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16 desembolso\"/>
    </mc:Choice>
  </mc:AlternateContent>
  <bookViews>
    <workbookView xWindow="-21720" yWindow="-120" windowWidth="21840" windowHeight="7770" activeTab="1"/>
  </bookViews>
  <sheets>
    <sheet name="DFP-Com" sheetId="1" r:id="rId1"/>
    <sheet name="DFP-CASH" sheetId="2" r:id="rId2"/>
    <sheet name="QFR - A" sheetId="3" r:id="rId3"/>
    <sheet name="QFR - B" sheetId="4" r:id="rId4"/>
    <sheet name="THP DR" sheetId="5" r:id="rId5"/>
    <sheet name="Contract level" sheetId="6" state="hidden" r:id="rId6"/>
    <sheet name="Error checks" sheetId="7" state="hidden" r:id="rId7"/>
    <sheet name="Historico" sheetId="9" state="hidden" r:id="rId8"/>
  </sheets>
  <externalReferences>
    <externalReference r:id="rId9"/>
  </externalReferences>
  <definedNames>
    <definedName name="_xlnm._FilterDatabase" localSheetId="5" hidden="1">'Contract level'!$A$3:$BR$192</definedName>
    <definedName name="_xlnm._FilterDatabase" localSheetId="1" hidden="1">'DFP-CASH'!$C$1:$E$85</definedName>
    <definedName name="_xlnm._FilterDatabase" localSheetId="7" hidden="1">Historico!$A$3:$BD$38</definedName>
    <definedName name="_xlnm.Print_Area" localSheetId="1">'DFP-CASH'!$B$11:$O$54</definedName>
    <definedName name="_xlnm.Print_Area" localSheetId="0">'DFP-Com'!$B$9:$O$52</definedName>
    <definedName name="ScheduleA" localSheetId="7">#REF!</definedName>
    <definedName name="ScheduleA">#REF!</definedName>
    <definedName name="ScheduleB" localSheetId="7">#REF!</definedName>
    <definedName name="ScheduleB">#REF!</definedName>
    <definedName name="ScheduleF" localSheetId="7">#REF!</definedName>
    <definedName name="ScheduleF">#REF!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X165" i="6" l="1"/>
  <c r="AQ156" i="6" l="1"/>
  <c r="E49" i="1"/>
  <c r="BQ140" i="6"/>
  <c r="BP140" i="6"/>
  <c r="BO140" i="6"/>
  <c r="BN140" i="6"/>
  <c r="BM140" i="6"/>
  <c r="BL140" i="6"/>
  <c r="BK140" i="6"/>
  <c r="BJ140" i="6"/>
  <c r="BI140" i="6"/>
  <c r="BH140" i="6"/>
  <c r="BG140" i="6"/>
  <c r="BF140" i="6"/>
  <c r="BE140" i="6"/>
  <c r="BD140" i="6"/>
  <c r="BC140" i="6"/>
  <c r="BB140" i="6"/>
  <c r="BA140" i="6"/>
  <c r="AZ140" i="6"/>
  <c r="AY140" i="6"/>
  <c r="AX140" i="6"/>
  <c r="AV140" i="6"/>
  <c r="AU140" i="6"/>
  <c r="AT140" i="6"/>
  <c r="AS140" i="6"/>
  <c r="AR140" i="6"/>
  <c r="AQ140" i="6"/>
  <c r="AP140" i="6"/>
  <c r="AO140" i="6"/>
  <c r="AN140" i="6"/>
  <c r="AM140" i="6"/>
  <c r="AL140" i="6"/>
  <c r="AK140" i="6"/>
  <c r="AJ140" i="6"/>
  <c r="AI140" i="6"/>
  <c r="AH140" i="6"/>
  <c r="AG140" i="6"/>
  <c r="AF140" i="6"/>
  <c r="AE140" i="6"/>
  <c r="AD140" i="6"/>
  <c r="AC140" i="6"/>
  <c r="Z140" i="6"/>
  <c r="D165" i="6"/>
  <c r="BR140" i="6" l="1"/>
  <c r="BL141" i="6" l="1"/>
  <c r="D22" i="7" l="1"/>
  <c r="E22" i="7"/>
  <c r="F22" i="7"/>
  <c r="G22" i="7"/>
  <c r="AT109" i="6" l="1"/>
  <c r="AS109" i="6"/>
  <c r="BN109" i="6"/>
  <c r="BN108" i="6" l="1"/>
  <c r="AT108" i="6"/>
  <c r="AS108" i="6"/>
  <c r="D18" i="7" l="1"/>
  <c r="E18" i="7"/>
  <c r="F18" i="7"/>
  <c r="G18" i="7"/>
  <c r="D19" i="7"/>
  <c r="E19" i="7"/>
  <c r="F19" i="7"/>
  <c r="G19" i="7"/>
  <c r="D20" i="7"/>
  <c r="E20" i="7"/>
  <c r="F20" i="7"/>
  <c r="G20" i="7"/>
  <c r="D24" i="7"/>
  <c r="E24" i="7"/>
  <c r="F24" i="7"/>
  <c r="G24" i="7"/>
  <c r="D25" i="7"/>
  <c r="E25" i="7"/>
  <c r="F25" i="7"/>
  <c r="G25" i="7"/>
  <c r="D26" i="7"/>
  <c r="E26" i="7"/>
  <c r="F26" i="7"/>
  <c r="G26" i="7"/>
  <c r="D28" i="7"/>
  <c r="E28" i="7"/>
  <c r="F28" i="7"/>
  <c r="G28" i="7"/>
  <c r="H28" i="7"/>
  <c r="I28" i="7"/>
  <c r="J28" i="7"/>
  <c r="D29" i="7"/>
  <c r="E29" i="7"/>
  <c r="F29" i="7"/>
  <c r="G29" i="7"/>
  <c r="H29" i="7"/>
  <c r="I29" i="7"/>
  <c r="J29" i="7"/>
  <c r="D31" i="7"/>
  <c r="E31" i="7"/>
  <c r="F31" i="7"/>
  <c r="G31" i="7"/>
  <c r="D33" i="7"/>
  <c r="E33" i="7"/>
  <c r="F33" i="7"/>
  <c r="G33" i="7"/>
  <c r="D34" i="7"/>
  <c r="E34" i="7"/>
  <c r="F34" i="7"/>
  <c r="G34" i="7"/>
  <c r="D35" i="7"/>
  <c r="E35" i="7"/>
  <c r="F35" i="7"/>
  <c r="G35" i="7"/>
  <c r="D37" i="7"/>
  <c r="E37" i="7"/>
  <c r="F37" i="7"/>
  <c r="G37" i="7"/>
  <c r="H37" i="7"/>
  <c r="I37" i="7"/>
  <c r="J37" i="7"/>
  <c r="D38" i="7"/>
  <c r="E38" i="7"/>
  <c r="F38" i="7"/>
  <c r="G38" i="7"/>
  <c r="H38" i="7"/>
  <c r="I38" i="7"/>
  <c r="J38" i="7"/>
  <c r="D41" i="7"/>
  <c r="E41" i="7"/>
  <c r="F41" i="7"/>
  <c r="G41" i="7"/>
  <c r="D42" i="7"/>
  <c r="E42" i="7"/>
  <c r="F42" i="7"/>
  <c r="G42" i="7"/>
  <c r="D43" i="7"/>
  <c r="E43" i="7"/>
  <c r="F43" i="7"/>
  <c r="G43" i="7"/>
  <c r="D45" i="7"/>
  <c r="E45" i="7"/>
  <c r="F45" i="7"/>
  <c r="G45" i="7"/>
  <c r="H45" i="7"/>
  <c r="I45" i="7"/>
  <c r="J45" i="7"/>
  <c r="D46" i="7"/>
  <c r="E46" i="7"/>
  <c r="F46" i="7"/>
  <c r="G46" i="7"/>
  <c r="H46" i="7"/>
  <c r="I46" i="7"/>
  <c r="J46" i="7"/>
  <c r="D48" i="7"/>
  <c r="E48" i="7"/>
  <c r="F48" i="7"/>
  <c r="G48" i="7"/>
  <c r="D49" i="7"/>
  <c r="E49" i="7"/>
  <c r="G49" i="7"/>
  <c r="D50" i="7"/>
  <c r="E50" i="7"/>
  <c r="F50" i="7"/>
  <c r="G50" i="7"/>
  <c r="D51" i="7"/>
  <c r="E51" i="7"/>
  <c r="F51" i="7"/>
  <c r="G51" i="7"/>
  <c r="D53" i="7"/>
  <c r="E53" i="7"/>
  <c r="F53" i="7"/>
  <c r="G53" i="7"/>
  <c r="H53" i="7"/>
  <c r="I53" i="7"/>
  <c r="J53" i="7"/>
  <c r="BQ166" i="6"/>
  <c r="BP166" i="6"/>
  <c r="BO166" i="6"/>
  <c r="BN166" i="6"/>
  <c r="BM166" i="6"/>
  <c r="BL166" i="6"/>
  <c r="BK166" i="6"/>
  <c r="BJ166" i="6"/>
  <c r="BI166" i="6"/>
  <c r="BH166" i="6"/>
  <c r="BG166" i="6"/>
  <c r="BF166" i="6"/>
  <c r="BE166" i="6"/>
  <c r="BD166" i="6"/>
  <c r="BC166" i="6"/>
  <c r="BB166" i="6"/>
  <c r="BA166" i="6"/>
  <c r="AZ166" i="6"/>
  <c r="AY166" i="6"/>
  <c r="AX166" i="6"/>
  <c r="AU166" i="6"/>
  <c r="AT166" i="6"/>
  <c r="AS166" i="6"/>
  <c r="AR166" i="6"/>
  <c r="AQ166" i="6"/>
  <c r="AP166" i="6"/>
  <c r="AO166" i="6"/>
  <c r="AN166" i="6"/>
  <c r="AM166" i="6"/>
  <c r="AL166" i="6"/>
  <c r="AK166" i="6"/>
  <c r="AJ166" i="6"/>
  <c r="AI166" i="6"/>
  <c r="AH166" i="6"/>
  <c r="AG166" i="6"/>
  <c r="AF166" i="6"/>
  <c r="AE166" i="6"/>
  <c r="AD166" i="6"/>
  <c r="AC166" i="6"/>
  <c r="Z166" i="6"/>
  <c r="V159" i="6"/>
  <c r="S168" i="6"/>
  <c r="BR166" i="6" l="1"/>
  <c r="BK168" i="6" l="1"/>
  <c r="X168" i="6"/>
  <c r="AU168" i="6" s="1"/>
  <c r="AP168" i="6"/>
  <c r="AF168" i="6"/>
  <c r="AG168" i="6"/>
  <c r="AH168" i="6"/>
  <c r="AI168" i="6"/>
  <c r="AJ168" i="6"/>
  <c r="AK168" i="6"/>
  <c r="AL168" i="6"/>
  <c r="AM168" i="6"/>
  <c r="AN168" i="6"/>
  <c r="AO168" i="6"/>
  <c r="AQ168" i="6"/>
  <c r="AR168" i="6"/>
  <c r="AS168" i="6"/>
  <c r="AT168" i="6"/>
  <c r="AD153" i="6"/>
  <c r="AE153" i="6"/>
  <c r="AF153" i="6"/>
  <c r="AG153" i="6"/>
  <c r="AH153" i="6"/>
  <c r="AI153" i="6"/>
  <c r="AJ153" i="6"/>
  <c r="AK153" i="6"/>
  <c r="AL153" i="6"/>
  <c r="AM153" i="6"/>
  <c r="AN153" i="6"/>
  <c r="AO153" i="6"/>
  <c r="AP153" i="6"/>
  <c r="AQ153" i="6"/>
  <c r="AR153" i="6"/>
  <c r="AS153" i="6"/>
  <c r="AT153" i="6"/>
  <c r="AU153" i="6"/>
  <c r="AV153" i="6"/>
  <c r="AC153" i="6"/>
  <c r="AD130" i="6"/>
  <c r="AE130" i="6"/>
  <c r="AF130" i="6"/>
  <c r="AG130" i="6"/>
  <c r="AH130" i="6"/>
  <c r="AI130" i="6"/>
  <c r="AJ130" i="6"/>
  <c r="AK130" i="6"/>
  <c r="AL130" i="6"/>
  <c r="AM130" i="6"/>
  <c r="AN130" i="6"/>
  <c r="AO130" i="6"/>
  <c r="AP130" i="6"/>
  <c r="AQ130" i="6"/>
  <c r="AR130" i="6"/>
  <c r="AS130" i="6"/>
  <c r="AT130" i="6"/>
  <c r="AU130" i="6"/>
  <c r="AC130" i="6"/>
  <c r="AC136" i="6"/>
  <c r="D130" i="6"/>
  <c r="AQ154" i="6" l="1"/>
  <c r="BQ150" i="6" l="1"/>
  <c r="BI150" i="6"/>
  <c r="BE150" i="6"/>
  <c r="BD150" i="6"/>
  <c r="BC150" i="6"/>
  <c r="BB150" i="6"/>
  <c r="BA150" i="6"/>
  <c r="AZ150" i="6"/>
  <c r="AY150" i="6"/>
  <c r="AV150" i="6"/>
  <c r="AU150" i="6"/>
  <c r="AT150" i="6"/>
  <c r="AS150" i="6"/>
  <c r="AR150" i="6"/>
  <c r="AQ150" i="6"/>
  <c r="AP150" i="6"/>
  <c r="AO150" i="6"/>
  <c r="AN150" i="6"/>
  <c r="AM150" i="6"/>
  <c r="AL150" i="6"/>
  <c r="AK150" i="6"/>
  <c r="AJ150" i="6"/>
  <c r="AI150" i="6"/>
  <c r="AH150" i="6"/>
  <c r="AG150" i="6"/>
  <c r="AF150" i="6"/>
  <c r="AE150" i="6"/>
  <c r="AD150" i="6"/>
  <c r="AC150" i="6"/>
  <c r="Z150" i="6"/>
  <c r="AX150" i="6" l="1"/>
  <c r="BR150" i="6" s="1"/>
  <c r="D41" i="1"/>
  <c r="D40" i="2"/>
  <c r="F40" i="7" l="1"/>
  <c r="G40" i="7"/>
  <c r="E40" i="7"/>
  <c r="D40" i="7"/>
  <c r="BQ99" i="6"/>
  <c r="BP99" i="6"/>
  <c r="BO99" i="6"/>
  <c r="BN99" i="6"/>
  <c r="BM99" i="6"/>
  <c r="BL99" i="6"/>
  <c r="BK99" i="6"/>
  <c r="BJ99" i="6"/>
  <c r="BI99" i="6"/>
  <c r="BH99" i="6"/>
  <c r="BG99" i="6"/>
  <c r="BF99" i="6"/>
  <c r="BE99" i="6"/>
  <c r="BD99" i="6"/>
  <c r="BC99" i="6"/>
  <c r="BB99" i="6"/>
  <c r="BA99" i="6"/>
  <c r="AZ99" i="6"/>
  <c r="AY99" i="6"/>
  <c r="AX99" i="6"/>
  <c r="AU99" i="6"/>
  <c r="AT99" i="6"/>
  <c r="AS99" i="6"/>
  <c r="AR99" i="6"/>
  <c r="AQ99" i="6"/>
  <c r="AP99" i="6"/>
  <c r="AO99" i="6"/>
  <c r="AN99" i="6"/>
  <c r="AM99" i="6"/>
  <c r="AL99" i="6"/>
  <c r="AK99" i="6"/>
  <c r="AJ99" i="6"/>
  <c r="AI99" i="6"/>
  <c r="AH99" i="6"/>
  <c r="AG99" i="6"/>
  <c r="AF99" i="6"/>
  <c r="AE99" i="6"/>
  <c r="AD99" i="6"/>
  <c r="AC99" i="6"/>
  <c r="Z99" i="6"/>
  <c r="BB81" i="6"/>
  <c r="BR99" i="6" l="1"/>
  <c r="BQ94" i="6" l="1"/>
  <c r="BP94" i="6"/>
  <c r="BO94" i="6"/>
  <c r="BN94" i="6"/>
  <c r="BM94" i="6"/>
  <c r="BL94" i="6"/>
  <c r="BK94" i="6"/>
  <c r="BJ94" i="6"/>
  <c r="BI94" i="6"/>
  <c r="BH94" i="6"/>
  <c r="BG94" i="6"/>
  <c r="BE94" i="6"/>
  <c r="BD94" i="6"/>
  <c r="BC94" i="6"/>
  <c r="BB94" i="6"/>
  <c r="BA94" i="6"/>
  <c r="AZ94" i="6"/>
  <c r="AY94" i="6"/>
  <c r="AX94" i="6"/>
  <c r="AS94" i="6"/>
  <c r="AK94" i="6"/>
  <c r="AH94" i="6"/>
  <c r="AF94" i="6"/>
  <c r="AD94" i="6"/>
  <c r="AC94" i="6"/>
  <c r="Z94" i="6"/>
  <c r="AR94" i="6"/>
  <c r="D93" i="6"/>
  <c r="AT94" i="6" l="1"/>
  <c r="AL94" i="6"/>
  <c r="AE94" i="6"/>
  <c r="AM94" i="6"/>
  <c r="AU94" i="6"/>
  <c r="BF94" i="6"/>
  <c r="AN94" i="6"/>
  <c r="AG94" i="6"/>
  <c r="AO94" i="6"/>
  <c r="AP94" i="6"/>
  <c r="AI94" i="6"/>
  <c r="AQ94" i="6"/>
  <c r="AJ94" i="6"/>
  <c r="BR94" i="6" l="1"/>
  <c r="BQ113" i="6"/>
  <c r="BP113" i="6"/>
  <c r="BO113" i="6"/>
  <c r="BN113" i="6"/>
  <c r="BM113" i="6"/>
  <c r="BL113" i="6"/>
  <c r="BK113" i="6"/>
  <c r="BJ113" i="6"/>
  <c r="BI113" i="6"/>
  <c r="BH113" i="6"/>
  <c r="BG113" i="6"/>
  <c r="BF113" i="6"/>
  <c r="BE113" i="6"/>
  <c r="BD113" i="6"/>
  <c r="BC113" i="6"/>
  <c r="BB113" i="6"/>
  <c r="BA113" i="6"/>
  <c r="AZ113" i="6"/>
  <c r="AY113" i="6"/>
  <c r="AX113" i="6"/>
  <c r="AU113" i="6"/>
  <c r="AS113" i="6"/>
  <c r="AR113" i="6"/>
  <c r="AQ113" i="6"/>
  <c r="AP113" i="6"/>
  <c r="AO113" i="6"/>
  <c r="AN113" i="6"/>
  <c r="AM113" i="6"/>
  <c r="AL113" i="6"/>
  <c r="AK113" i="6"/>
  <c r="AJ113" i="6"/>
  <c r="AI113" i="6"/>
  <c r="AH113" i="6"/>
  <c r="AG113" i="6"/>
  <c r="AF113" i="6"/>
  <c r="AE113" i="6"/>
  <c r="AD113" i="6"/>
  <c r="AC113" i="6"/>
  <c r="Z113" i="6"/>
  <c r="BQ107" i="6"/>
  <c r="BP107" i="6"/>
  <c r="BO107" i="6"/>
  <c r="BN107" i="6"/>
  <c r="BM107" i="6"/>
  <c r="BL107" i="6"/>
  <c r="BK107" i="6"/>
  <c r="BJ107" i="6"/>
  <c r="BI107" i="6"/>
  <c r="BH107" i="6"/>
  <c r="BG107" i="6"/>
  <c r="BF107" i="6"/>
  <c r="BE107" i="6"/>
  <c r="BD107" i="6"/>
  <c r="BC107" i="6"/>
  <c r="BB107" i="6"/>
  <c r="BA107" i="6"/>
  <c r="AZ107" i="6"/>
  <c r="AY107" i="6"/>
  <c r="AX107" i="6"/>
  <c r="AU107" i="6"/>
  <c r="AT107" i="6"/>
  <c r="AS107" i="6"/>
  <c r="AR107" i="6"/>
  <c r="AQ107" i="6"/>
  <c r="AP107" i="6"/>
  <c r="AO107" i="6"/>
  <c r="AN107" i="6"/>
  <c r="AM107" i="6"/>
  <c r="AL107" i="6"/>
  <c r="AK107" i="6"/>
  <c r="AJ107" i="6"/>
  <c r="AI107" i="6"/>
  <c r="AH107" i="6"/>
  <c r="AG107" i="6"/>
  <c r="AF107" i="6"/>
  <c r="AE107" i="6"/>
  <c r="AD107" i="6"/>
  <c r="AC107" i="6"/>
  <c r="Z107" i="6"/>
  <c r="AT113" i="6" l="1"/>
  <c r="BR113" i="6" s="1"/>
  <c r="BR107" i="6"/>
  <c r="Z61" i="6"/>
  <c r="BD37" i="6" l="1"/>
  <c r="BK37" i="6"/>
  <c r="BP148" i="6"/>
  <c r="AQ147" i="6"/>
  <c r="AR147" i="6"/>
  <c r="AS147" i="6"/>
  <c r="AT147" i="6"/>
  <c r="AU147" i="6"/>
  <c r="U162" i="6" l="1"/>
  <c r="V162" i="6"/>
  <c r="BQ23" i="6" l="1"/>
  <c r="BP23" i="6"/>
  <c r="BO23" i="6"/>
  <c r="BN23" i="6"/>
  <c r="BM23" i="6"/>
  <c r="BL23" i="6"/>
  <c r="BK23" i="6"/>
  <c r="BJ23" i="6"/>
  <c r="BI23" i="6"/>
  <c r="BH23" i="6"/>
  <c r="BG23" i="6"/>
  <c r="BF23" i="6"/>
  <c r="BE23" i="6"/>
  <c r="BD23" i="6"/>
  <c r="BC23" i="6"/>
  <c r="BB23" i="6"/>
  <c r="BA23" i="6"/>
  <c r="AZ23" i="6"/>
  <c r="AY23" i="6"/>
  <c r="AX23" i="6"/>
  <c r="AU23" i="6"/>
  <c r="AT23" i="6"/>
  <c r="AR23" i="6"/>
  <c r="AQ23" i="6"/>
  <c r="AP23" i="6"/>
  <c r="AO23" i="6"/>
  <c r="AN23" i="6"/>
  <c r="AM23" i="6"/>
  <c r="AL23" i="6"/>
  <c r="AK23" i="6"/>
  <c r="AJ23" i="6"/>
  <c r="AI23" i="6"/>
  <c r="AH23" i="6"/>
  <c r="AG23" i="6"/>
  <c r="AF23" i="6"/>
  <c r="AE23" i="6"/>
  <c r="AD23" i="6"/>
  <c r="AC23" i="6"/>
  <c r="Z23" i="6"/>
  <c r="AS23" i="6" l="1"/>
  <c r="BR23" i="6" s="1"/>
  <c r="BQ61" i="6"/>
  <c r="BP61" i="6"/>
  <c r="BO61" i="6"/>
  <c r="BN61" i="6"/>
  <c r="BM61" i="6"/>
  <c r="BL61" i="6"/>
  <c r="BK61" i="6"/>
  <c r="BJ61" i="6"/>
  <c r="BI61" i="6"/>
  <c r="BH61" i="6"/>
  <c r="BG61" i="6"/>
  <c r="BF61" i="6"/>
  <c r="BE61" i="6"/>
  <c r="BD61" i="6"/>
  <c r="BC61" i="6"/>
  <c r="BB61" i="6"/>
  <c r="BA61" i="6"/>
  <c r="AZ61" i="6"/>
  <c r="AY61" i="6"/>
  <c r="AX61" i="6"/>
  <c r="AU61" i="6"/>
  <c r="AT61" i="6"/>
  <c r="AS61" i="6"/>
  <c r="AR61" i="6"/>
  <c r="AQ61" i="6"/>
  <c r="AP61" i="6"/>
  <c r="AO61" i="6"/>
  <c r="AN61" i="6"/>
  <c r="AM61" i="6"/>
  <c r="AL61" i="6"/>
  <c r="AK61" i="6"/>
  <c r="AJ61" i="6"/>
  <c r="AI61" i="6"/>
  <c r="AH61" i="6"/>
  <c r="AG61" i="6"/>
  <c r="AF61" i="6"/>
  <c r="AE61" i="6"/>
  <c r="AD61" i="6"/>
  <c r="AC61" i="6"/>
  <c r="D57" i="6"/>
  <c r="BQ60" i="6"/>
  <c r="BP60" i="6"/>
  <c r="BO60" i="6"/>
  <c r="BN60" i="6"/>
  <c r="BM60" i="6"/>
  <c r="BL60" i="6"/>
  <c r="BK60" i="6"/>
  <c r="BJ60" i="6"/>
  <c r="BI60" i="6"/>
  <c r="BH60" i="6"/>
  <c r="BG60" i="6"/>
  <c r="BF60" i="6"/>
  <c r="BE60" i="6"/>
  <c r="BD60" i="6"/>
  <c r="BC60" i="6"/>
  <c r="BB60" i="6"/>
  <c r="BA60" i="6"/>
  <c r="AZ60" i="6"/>
  <c r="AY60" i="6"/>
  <c r="AX60" i="6"/>
  <c r="AU60" i="6"/>
  <c r="AT60" i="6"/>
  <c r="AS60" i="6"/>
  <c r="AR60" i="6"/>
  <c r="AQ60" i="6"/>
  <c r="AP60" i="6"/>
  <c r="AO60" i="6"/>
  <c r="AN60" i="6"/>
  <c r="AM60" i="6"/>
  <c r="AL60" i="6"/>
  <c r="AK60" i="6"/>
  <c r="AJ60" i="6"/>
  <c r="AI60" i="6"/>
  <c r="AH60" i="6"/>
  <c r="AG60" i="6"/>
  <c r="AF60" i="6"/>
  <c r="AE60" i="6"/>
  <c r="AD60" i="6"/>
  <c r="AC60" i="6"/>
  <c r="Z60" i="6"/>
  <c r="BQ59" i="6"/>
  <c r="BP59" i="6"/>
  <c r="BO59" i="6"/>
  <c r="BN59" i="6"/>
  <c r="BM59" i="6"/>
  <c r="BL59" i="6"/>
  <c r="BK59" i="6"/>
  <c r="BJ59" i="6"/>
  <c r="BI59" i="6"/>
  <c r="BH59" i="6"/>
  <c r="BG59" i="6"/>
  <c r="BF59" i="6"/>
  <c r="BE59" i="6"/>
  <c r="BD59" i="6"/>
  <c r="BC59" i="6"/>
  <c r="BB59" i="6"/>
  <c r="BA59" i="6"/>
  <c r="AZ59" i="6"/>
  <c r="AY59" i="6"/>
  <c r="AX59" i="6"/>
  <c r="AU59" i="6"/>
  <c r="AT59" i="6"/>
  <c r="AS59" i="6"/>
  <c r="AR59" i="6"/>
  <c r="AQ59" i="6"/>
  <c r="AP59" i="6"/>
  <c r="AO59" i="6"/>
  <c r="AN59" i="6"/>
  <c r="AM59" i="6"/>
  <c r="AL59" i="6"/>
  <c r="AK59" i="6"/>
  <c r="AJ59" i="6"/>
  <c r="AI59" i="6"/>
  <c r="AH59" i="6"/>
  <c r="AG59" i="6"/>
  <c r="AF59" i="6"/>
  <c r="AE59" i="6"/>
  <c r="AD59" i="6"/>
  <c r="AC59" i="6"/>
  <c r="Z59" i="6"/>
  <c r="BQ49" i="6"/>
  <c r="BP49" i="6"/>
  <c r="BO49" i="6"/>
  <c r="BN49" i="6"/>
  <c r="BM49" i="6"/>
  <c r="BL49" i="6"/>
  <c r="BK49" i="6"/>
  <c r="BJ49" i="6"/>
  <c r="BI49" i="6"/>
  <c r="BH49" i="6"/>
  <c r="BG49" i="6"/>
  <c r="BF49" i="6"/>
  <c r="BE49" i="6"/>
  <c r="BD49" i="6"/>
  <c r="BC49" i="6"/>
  <c r="BB49" i="6"/>
  <c r="BA49" i="6"/>
  <c r="AZ49" i="6"/>
  <c r="AY49" i="6"/>
  <c r="AX49" i="6"/>
  <c r="AU49" i="6"/>
  <c r="AT49" i="6"/>
  <c r="AS49" i="6"/>
  <c r="AR49" i="6"/>
  <c r="AQ49" i="6"/>
  <c r="AP49" i="6"/>
  <c r="AO49" i="6"/>
  <c r="AN49" i="6"/>
  <c r="AM49" i="6"/>
  <c r="AL49" i="6"/>
  <c r="AK49" i="6"/>
  <c r="AJ49" i="6"/>
  <c r="AI49" i="6"/>
  <c r="AH49" i="6"/>
  <c r="AG49" i="6"/>
  <c r="AF49" i="6"/>
  <c r="AE49" i="6"/>
  <c r="AD49" i="6"/>
  <c r="AC49" i="6"/>
  <c r="Z49" i="6"/>
  <c r="BQ48" i="6"/>
  <c r="BP48" i="6"/>
  <c r="BO48" i="6"/>
  <c r="BN48" i="6"/>
  <c r="BM48" i="6"/>
  <c r="BL48" i="6"/>
  <c r="BK48" i="6"/>
  <c r="BJ48" i="6"/>
  <c r="BI48" i="6"/>
  <c r="BH48" i="6"/>
  <c r="BG48" i="6"/>
  <c r="BF48" i="6"/>
  <c r="BE48" i="6"/>
  <c r="BD48" i="6"/>
  <c r="BC48" i="6"/>
  <c r="BB48" i="6"/>
  <c r="BA48" i="6"/>
  <c r="AZ48" i="6"/>
  <c r="AY48" i="6"/>
  <c r="AX48" i="6"/>
  <c r="AU48" i="6"/>
  <c r="AT48" i="6"/>
  <c r="AS48" i="6"/>
  <c r="AR48" i="6"/>
  <c r="AQ48" i="6"/>
  <c r="AP48" i="6"/>
  <c r="AO48" i="6"/>
  <c r="AN48" i="6"/>
  <c r="AM48" i="6"/>
  <c r="AL48" i="6"/>
  <c r="AK48" i="6"/>
  <c r="AJ48" i="6"/>
  <c r="AI48" i="6"/>
  <c r="AH48" i="6"/>
  <c r="AG48" i="6"/>
  <c r="AF48" i="6"/>
  <c r="AE48" i="6"/>
  <c r="AD48" i="6"/>
  <c r="AC48" i="6"/>
  <c r="Z48" i="6"/>
  <c r="Z16" i="6"/>
  <c r="AC16" i="6"/>
  <c r="AD16" i="6"/>
  <c r="AE16" i="6"/>
  <c r="AF16" i="6"/>
  <c r="AG16" i="6"/>
  <c r="AH16" i="6"/>
  <c r="AI16" i="6"/>
  <c r="AJ16" i="6"/>
  <c r="AK16" i="6"/>
  <c r="AL16" i="6"/>
  <c r="AM16" i="6"/>
  <c r="AN16" i="6"/>
  <c r="AO16" i="6"/>
  <c r="AP16" i="6"/>
  <c r="AQ16" i="6"/>
  <c r="AR16" i="6"/>
  <c r="AS16" i="6"/>
  <c r="AT16" i="6"/>
  <c r="AU16" i="6"/>
  <c r="AX16" i="6"/>
  <c r="AY16" i="6"/>
  <c r="AZ16" i="6"/>
  <c r="BA16" i="6"/>
  <c r="BB16" i="6"/>
  <c r="BC16" i="6"/>
  <c r="BD16" i="6"/>
  <c r="BE16" i="6"/>
  <c r="BF16" i="6"/>
  <c r="BG16" i="6"/>
  <c r="BH16" i="6"/>
  <c r="BI16" i="6"/>
  <c r="BJ16" i="6"/>
  <c r="BK16" i="6"/>
  <c r="BL16" i="6"/>
  <c r="BM16" i="6"/>
  <c r="BN16" i="6"/>
  <c r="BO16" i="6"/>
  <c r="BP16" i="6"/>
  <c r="BQ16" i="6"/>
  <c r="BR61" i="6" l="1"/>
  <c r="BR60" i="6"/>
  <c r="BR59" i="6"/>
  <c r="BR48" i="6"/>
  <c r="BR49" i="6"/>
  <c r="BR16" i="6"/>
  <c r="D18" i="6"/>
  <c r="Z55" i="6" l="1"/>
  <c r="AU55" i="6"/>
  <c r="AC55" i="6"/>
  <c r="AD55" i="6"/>
  <c r="AE55" i="6"/>
  <c r="AF55" i="6"/>
  <c r="AG55" i="6"/>
  <c r="AH55" i="6"/>
  <c r="AI55" i="6"/>
  <c r="AJ55" i="6"/>
  <c r="AK55" i="6"/>
  <c r="AL55" i="6"/>
  <c r="AM55" i="6"/>
  <c r="AN55" i="6"/>
  <c r="AO55" i="6"/>
  <c r="AP55" i="6"/>
  <c r="AQ55" i="6"/>
  <c r="AS55" i="6"/>
  <c r="AT55" i="6"/>
  <c r="AX55" i="6"/>
  <c r="AY55" i="6"/>
  <c r="AZ55" i="6"/>
  <c r="BA55" i="6"/>
  <c r="BB55" i="6"/>
  <c r="BC55" i="6"/>
  <c r="BD55" i="6"/>
  <c r="BE55" i="6"/>
  <c r="BF55" i="6"/>
  <c r="BG55" i="6"/>
  <c r="BH55" i="6"/>
  <c r="BI55" i="6"/>
  <c r="BJ55" i="6"/>
  <c r="BK55" i="6"/>
  <c r="BL55" i="6"/>
  <c r="BM55" i="6"/>
  <c r="BN55" i="6"/>
  <c r="BO55" i="6"/>
  <c r="BP55" i="6"/>
  <c r="BQ55" i="6"/>
  <c r="Z56" i="6"/>
  <c r="AC56" i="6"/>
  <c r="AD56" i="6"/>
  <c r="AE56" i="6"/>
  <c r="AF56" i="6"/>
  <c r="AG56" i="6"/>
  <c r="AH56" i="6"/>
  <c r="AI56" i="6"/>
  <c r="AJ56" i="6"/>
  <c r="AK56" i="6"/>
  <c r="AL56" i="6"/>
  <c r="AM56" i="6"/>
  <c r="AN56" i="6"/>
  <c r="AO56" i="6"/>
  <c r="AP56" i="6"/>
  <c r="AQ56" i="6"/>
  <c r="AR56" i="6"/>
  <c r="AS56" i="6"/>
  <c r="AT56" i="6"/>
  <c r="AX56" i="6"/>
  <c r="AY56" i="6"/>
  <c r="AZ56" i="6"/>
  <c r="BA56" i="6"/>
  <c r="BB56" i="6"/>
  <c r="BC56" i="6"/>
  <c r="BD56" i="6"/>
  <c r="BE56" i="6"/>
  <c r="BF56" i="6"/>
  <c r="BG56" i="6"/>
  <c r="BH56" i="6"/>
  <c r="BI56" i="6"/>
  <c r="BJ56" i="6"/>
  <c r="BK56" i="6"/>
  <c r="BL56" i="6"/>
  <c r="BM56" i="6"/>
  <c r="BN56" i="6"/>
  <c r="BO56" i="6"/>
  <c r="BP56" i="6"/>
  <c r="BQ56" i="6"/>
  <c r="Z57" i="6"/>
  <c r="AC57" i="6"/>
  <c r="AD57" i="6"/>
  <c r="AE57" i="6"/>
  <c r="AF57" i="6"/>
  <c r="AG57" i="6"/>
  <c r="AH57" i="6"/>
  <c r="AI57" i="6"/>
  <c r="AJ57" i="6"/>
  <c r="AK57" i="6"/>
  <c r="AL57" i="6"/>
  <c r="AM57" i="6"/>
  <c r="AN57" i="6"/>
  <c r="AO57" i="6"/>
  <c r="AP57" i="6"/>
  <c r="AQ57" i="6"/>
  <c r="AR57" i="6"/>
  <c r="AS57" i="6"/>
  <c r="AT57" i="6"/>
  <c r="AX57" i="6"/>
  <c r="AY57" i="6"/>
  <c r="AZ57" i="6"/>
  <c r="BA57" i="6"/>
  <c r="BB57" i="6"/>
  <c r="BC57" i="6"/>
  <c r="BD57" i="6"/>
  <c r="BE57" i="6"/>
  <c r="BF57" i="6"/>
  <c r="BG57" i="6"/>
  <c r="BH57" i="6"/>
  <c r="BI57" i="6"/>
  <c r="BJ57" i="6"/>
  <c r="BK57" i="6"/>
  <c r="BL57" i="6"/>
  <c r="BM57" i="6"/>
  <c r="BN57" i="6"/>
  <c r="BO57" i="6"/>
  <c r="BP57" i="6"/>
  <c r="BQ57" i="6"/>
  <c r="Z58" i="6"/>
  <c r="AC58" i="6"/>
  <c r="AD58" i="6"/>
  <c r="AE58" i="6"/>
  <c r="AF58" i="6"/>
  <c r="AG58" i="6"/>
  <c r="AH58" i="6"/>
  <c r="AI58" i="6"/>
  <c r="AJ58" i="6"/>
  <c r="AK58" i="6"/>
  <c r="AL58" i="6"/>
  <c r="AM58" i="6"/>
  <c r="AN58" i="6"/>
  <c r="AO58" i="6"/>
  <c r="AP58" i="6"/>
  <c r="AQ58" i="6"/>
  <c r="AR58" i="6"/>
  <c r="AS58" i="6"/>
  <c r="AT58" i="6"/>
  <c r="AX58" i="6"/>
  <c r="AY58" i="6"/>
  <c r="AZ58" i="6"/>
  <c r="BA58" i="6"/>
  <c r="BB58" i="6"/>
  <c r="BC58" i="6"/>
  <c r="BD58" i="6"/>
  <c r="BE58" i="6"/>
  <c r="BF58" i="6"/>
  <c r="BG58" i="6"/>
  <c r="BH58" i="6"/>
  <c r="BI58" i="6"/>
  <c r="BJ58" i="6"/>
  <c r="BK58" i="6"/>
  <c r="BL58" i="6"/>
  <c r="BM58" i="6"/>
  <c r="BN58" i="6"/>
  <c r="BO58" i="6"/>
  <c r="BP58" i="6"/>
  <c r="BQ58" i="6"/>
  <c r="AR55" i="6" l="1"/>
  <c r="AU56" i="6"/>
  <c r="BR56" i="6" s="1"/>
  <c r="AU58" i="6"/>
  <c r="BR58" i="6" s="1"/>
  <c r="AU57" i="6"/>
  <c r="BR57" i="6" s="1"/>
  <c r="BR55" i="6" l="1"/>
  <c r="Z15" i="6"/>
  <c r="AC15" i="6"/>
  <c r="AD15" i="6"/>
  <c r="AE15" i="6"/>
  <c r="AF15" i="6"/>
  <c r="AG15" i="6"/>
  <c r="AH15" i="6"/>
  <c r="AI15" i="6"/>
  <c r="AJ15" i="6"/>
  <c r="AK15" i="6"/>
  <c r="AL15" i="6"/>
  <c r="AM15" i="6"/>
  <c r="AN15" i="6"/>
  <c r="AO15" i="6"/>
  <c r="AP15" i="6"/>
  <c r="AQ15" i="6"/>
  <c r="AR15" i="6"/>
  <c r="AS15" i="6"/>
  <c r="AT15" i="6"/>
  <c r="AU15" i="6"/>
  <c r="AX15" i="6"/>
  <c r="AY15" i="6"/>
  <c r="AZ15" i="6"/>
  <c r="BA15" i="6"/>
  <c r="BB15" i="6"/>
  <c r="BC15" i="6"/>
  <c r="BD15" i="6"/>
  <c r="BE15" i="6"/>
  <c r="BF15" i="6"/>
  <c r="BG15" i="6"/>
  <c r="BH15" i="6"/>
  <c r="BI15" i="6"/>
  <c r="BJ15" i="6"/>
  <c r="BK15" i="6"/>
  <c r="BL15" i="6"/>
  <c r="BM15" i="6"/>
  <c r="BN15" i="6"/>
  <c r="BO15" i="6"/>
  <c r="BP15" i="6"/>
  <c r="BQ15" i="6"/>
  <c r="Z11" i="6"/>
  <c r="AS12" i="6"/>
  <c r="Z13" i="6"/>
  <c r="Z14" i="6"/>
  <c r="AC11" i="6"/>
  <c r="AD11" i="6"/>
  <c r="AE11" i="6"/>
  <c r="AF11" i="6"/>
  <c r="AG11" i="6"/>
  <c r="AH11" i="6"/>
  <c r="AI11" i="6"/>
  <c r="AJ11" i="6"/>
  <c r="AK11" i="6"/>
  <c r="AL11" i="6"/>
  <c r="AM11" i="6"/>
  <c r="AN11" i="6"/>
  <c r="AO11" i="6"/>
  <c r="AP11" i="6"/>
  <c r="AQ11" i="6"/>
  <c r="AR11" i="6"/>
  <c r="AT11" i="6"/>
  <c r="AU11" i="6"/>
  <c r="AX11" i="6"/>
  <c r="AY11" i="6"/>
  <c r="AZ11" i="6"/>
  <c r="BA11" i="6"/>
  <c r="BB11" i="6"/>
  <c r="BC11" i="6"/>
  <c r="BD11" i="6"/>
  <c r="BE11" i="6"/>
  <c r="BF11" i="6"/>
  <c r="BG11" i="6"/>
  <c r="BH11" i="6"/>
  <c r="BI11" i="6"/>
  <c r="BJ11" i="6"/>
  <c r="BK11" i="6"/>
  <c r="BL11" i="6"/>
  <c r="BM11" i="6"/>
  <c r="BN11" i="6"/>
  <c r="BO11" i="6"/>
  <c r="BP11" i="6"/>
  <c r="BQ11" i="6"/>
  <c r="AC12" i="6"/>
  <c r="AD12" i="6"/>
  <c r="AE12" i="6"/>
  <c r="AF12" i="6"/>
  <c r="AG12" i="6"/>
  <c r="AH12" i="6"/>
  <c r="AI12" i="6"/>
  <c r="AJ12" i="6"/>
  <c r="AK12" i="6"/>
  <c r="AL12" i="6"/>
  <c r="AM12" i="6"/>
  <c r="AN12" i="6"/>
  <c r="AO12" i="6"/>
  <c r="AP12" i="6"/>
  <c r="AQ12" i="6"/>
  <c r="AR12" i="6"/>
  <c r="AT12" i="6"/>
  <c r="AU12" i="6"/>
  <c r="AX12" i="6"/>
  <c r="AY12" i="6"/>
  <c r="AZ12" i="6"/>
  <c r="BA12" i="6"/>
  <c r="BB12" i="6"/>
  <c r="BC12" i="6"/>
  <c r="BD12" i="6"/>
  <c r="BE12" i="6"/>
  <c r="BF12" i="6"/>
  <c r="BG12" i="6"/>
  <c r="BH12" i="6"/>
  <c r="BI12" i="6"/>
  <c r="BJ12" i="6"/>
  <c r="BK12" i="6"/>
  <c r="BL12" i="6"/>
  <c r="BM12" i="6"/>
  <c r="BN12" i="6"/>
  <c r="BO12" i="6"/>
  <c r="BP12" i="6"/>
  <c r="BQ12" i="6"/>
  <c r="AC13" i="6"/>
  <c r="AD13" i="6"/>
  <c r="AE13" i="6"/>
  <c r="AF13" i="6"/>
  <c r="AG13" i="6"/>
  <c r="AH13" i="6"/>
  <c r="AI13" i="6"/>
  <c r="AJ13" i="6"/>
  <c r="AK13" i="6"/>
  <c r="AL13" i="6"/>
  <c r="AM13" i="6"/>
  <c r="AN13" i="6"/>
  <c r="AO13" i="6"/>
  <c r="AP13" i="6"/>
  <c r="AQ13" i="6"/>
  <c r="AR13" i="6"/>
  <c r="AT13" i="6"/>
  <c r="AU13" i="6"/>
  <c r="AX13" i="6"/>
  <c r="AY13" i="6"/>
  <c r="AZ13" i="6"/>
  <c r="BA13" i="6"/>
  <c r="BB13" i="6"/>
  <c r="BC13" i="6"/>
  <c r="BD13" i="6"/>
  <c r="BE13" i="6"/>
  <c r="BF13" i="6"/>
  <c r="BG13" i="6"/>
  <c r="BH13" i="6"/>
  <c r="BI13" i="6"/>
  <c r="BJ13" i="6"/>
  <c r="BK13" i="6"/>
  <c r="BL13" i="6"/>
  <c r="BM13" i="6"/>
  <c r="BN13" i="6"/>
  <c r="BO13" i="6"/>
  <c r="BP13" i="6"/>
  <c r="BQ13" i="6"/>
  <c r="AC14" i="6"/>
  <c r="AD14" i="6"/>
  <c r="AE14" i="6"/>
  <c r="AF14" i="6"/>
  <c r="AG14" i="6"/>
  <c r="AH14" i="6"/>
  <c r="AI14" i="6"/>
  <c r="AJ14" i="6"/>
  <c r="AK14" i="6"/>
  <c r="AL14" i="6"/>
  <c r="AM14" i="6"/>
  <c r="AN14" i="6"/>
  <c r="AO14" i="6"/>
  <c r="AP14" i="6"/>
  <c r="AQ14" i="6"/>
  <c r="AR14" i="6"/>
  <c r="AT14" i="6"/>
  <c r="AU14" i="6"/>
  <c r="AX14" i="6"/>
  <c r="AY14" i="6"/>
  <c r="AZ14" i="6"/>
  <c r="BA14" i="6"/>
  <c r="BB14" i="6"/>
  <c r="BC14" i="6"/>
  <c r="BD14" i="6"/>
  <c r="BE14" i="6"/>
  <c r="BF14" i="6"/>
  <c r="BG14" i="6"/>
  <c r="BH14" i="6"/>
  <c r="BI14" i="6"/>
  <c r="BJ14" i="6"/>
  <c r="BK14" i="6"/>
  <c r="BL14" i="6"/>
  <c r="BM14" i="6"/>
  <c r="BN14" i="6"/>
  <c r="BO14" i="6"/>
  <c r="BP14" i="6"/>
  <c r="BQ14" i="6"/>
  <c r="Z155" i="6"/>
  <c r="AC155" i="6"/>
  <c r="AD155" i="6"/>
  <c r="AF155" i="6"/>
  <c r="AG155" i="6"/>
  <c r="AH155" i="6"/>
  <c r="AI155" i="6"/>
  <c r="AJ155" i="6"/>
  <c r="AK155" i="6"/>
  <c r="AL155" i="6"/>
  <c r="AM155" i="6"/>
  <c r="AN155" i="6"/>
  <c r="AO155" i="6"/>
  <c r="AP155" i="6"/>
  <c r="AQ155" i="6"/>
  <c r="AR155" i="6"/>
  <c r="AS155" i="6"/>
  <c r="AT155" i="6"/>
  <c r="AU155" i="6"/>
  <c r="AV155" i="6"/>
  <c r="AX155" i="6"/>
  <c r="AZ155" i="6"/>
  <c r="BA155" i="6"/>
  <c r="BB155" i="6"/>
  <c r="BE155" i="6"/>
  <c r="BF155" i="6"/>
  <c r="BI155" i="6"/>
  <c r="BI154" i="6"/>
  <c r="BF154" i="6"/>
  <c r="BE154" i="6"/>
  <c r="BD154" i="6"/>
  <c r="BB154" i="6"/>
  <c r="BA154" i="6"/>
  <c r="AZ154" i="6"/>
  <c r="AX154" i="6"/>
  <c r="AV154" i="6"/>
  <c r="AU154" i="6"/>
  <c r="AT154" i="6"/>
  <c r="AS154" i="6"/>
  <c r="AR154" i="6"/>
  <c r="AP154" i="6"/>
  <c r="AO154" i="6"/>
  <c r="AN154" i="6"/>
  <c r="AM154" i="6"/>
  <c r="AL154" i="6"/>
  <c r="AK154" i="6"/>
  <c r="AJ154" i="6"/>
  <c r="AI154" i="6"/>
  <c r="AH154" i="6"/>
  <c r="AG154" i="6"/>
  <c r="AD154" i="6"/>
  <c r="AC154" i="6"/>
  <c r="I154" i="6"/>
  <c r="H154" i="6"/>
  <c r="D154" i="6" l="1"/>
  <c r="Z154" i="6"/>
  <c r="AE154" i="6"/>
  <c r="AF154" i="6"/>
  <c r="BR15" i="6"/>
  <c r="AS13" i="6"/>
  <c r="BR13" i="6" s="1"/>
  <c r="Z12" i="6"/>
  <c r="BR12" i="6"/>
  <c r="AS14" i="6"/>
  <c r="BR14" i="6" s="1"/>
  <c r="AS11" i="6"/>
  <c r="BR11" i="6" s="1"/>
  <c r="AE155" i="6"/>
  <c r="BR155" i="6" s="1"/>
  <c r="BR154" i="6" l="1"/>
  <c r="I14" i="4"/>
  <c r="H26" i="4"/>
  <c r="G23" i="4"/>
  <c r="H23" i="4"/>
  <c r="H19" i="4"/>
  <c r="G14" i="4"/>
  <c r="H14" i="4"/>
  <c r="F14" i="4"/>
  <c r="I27" i="4"/>
  <c r="I21" i="4"/>
  <c r="I17" i="4"/>
  <c r="P31" i="2" l="1"/>
  <c r="BQ125" i="6" l="1"/>
  <c r="BP125" i="6"/>
  <c r="BO125" i="6"/>
  <c r="BN125" i="6"/>
  <c r="BM125" i="6"/>
  <c r="BL125" i="6"/>
  <c r="BK125" i="6"/>
  <c r="BJ125" i="6"/>
  <c r="BI125" i="6"/>
  <c r="BH125" i="6"/>
  <c r="BG125" i="6"/>
  <c r="BF125" i="6"/>
  <c r="BE125" i="6"/>
  <c r="BD125" i="6"/>
  <c r="BC125" i="6"/>
  <c r="BB125" i="6"/>
  <c r="BA125" i="6"/>
  <c r="AZ125" i="6"/>
  <c r="AY125" i="6"/>
  <c r="AX125" i="6"/>
  <c r="AV125" i="6"/>
  <c r="AU125" i="6"/>
  <c r="AT125" i="6"/>
  <c r="AS125" i="6"/>
  <c r="AR125" i="6"/>
  <c r="AQ125" i="6"/>
  <c r="AP125" i="6"/>
  <c r="AO125" i="6"/>
  <c r="AN125" i="6"/>
  <c r="AM125" i="6"/>
  <c r="AL125" i="6"/>
  <c r="AK125" i="6"/>
  <c r="AJ125" i="6"/>
  <c r="AI125" i="6"/>
  <c r="AH125" i="6"/>
  <c r="AG125" i="6"/>
  <c r="AF125" i="6"/>
  <c r="AE125" i="6"/>
  <c r="AD125" i="6"/>
  <c r="AC125" i="6"/>
  <c r="Z125" i="6"/>
  <c r="Z168" i="6"/>
  <c r="AQ162" i="6"/>
  <c r="BR125" i="6" l="1"/>
  <c r="V29" i="6" l="1"/>
  <c r="P18" i="2" l="1"/>
  <c r="P19" i="2"/>
  <c r="P20" i="2"/>
  <c r="P22" i="2"/>
  <c r="P28" i="2"/>
  <c r="P29" i="2"/>
  <c r="P34" i="2"/>
  <c r="P35" i="2"/>
  <c r="P37" i="2"/>
  <c r="P38" i="2"/>
  <c r="P40" i="2"/>
  <c r="P41" i="2"/>
  <c r="P42" i="2"/>
  <c r="P43" i="2"/>
  <c r="P45" i="2"/>
  <c r="P46" i="2"/>
  <c r="P48" i="2"/>
  <c r="P49" i="2"/>
  <c r="P50" i="2"/>
  <c r="P51" i="2"/>
  <c r="P53" i="2"/>
  <c r="W28" i="6"/>
  <c r="W20" i="6"/>
  <c r="AN162" i="6"/>
  <c r="BQ27" i="6"/>
  <c r="BP27" i="6"/>
  <c r="BO27" i="6"/>
  <c r="BN27" i="6"/>
  <c r="BM27" i="6"/>
  <c r="BL27" i="6"/>
  <c r="BK27" i="6"/>
  <c r="BJ27" i="6"/>
  <c r="BI27" i="6"/>
  <c r="BH27" i="6"/>
  <c r="BG27" i="6"/>
  <c r="BF27" i="6"/>
  <c r="BE27" i="6"/>
  <c r="BD27" i="6"/>
  <c r="BC27" i="6"/>
  <c r="BB27" i="6"/>
  <c r="BA27" i="6"/>
  <c r="AZ27" i="6"/>
  <c r="AY27" i="6"/>
  <c r="AX27" i="6"/>
  <c r="AU27" i="6"/>
  <c r="AT27" i="6"/>
  <c r="AS27" i="6"/>
  <c r="AR27" i="6"/>
  <c r="AQ27" i="6"/>
  <c r="AP27" i="6"/>
  <c r="AO27" i="6"/>
  <c r="AN27" i="6"/>
  <c r="AM27" i="6"/>
  <c r="AL27" i="6"/>
  <c r="AK27" i="6"/>
  <c r="AJ27" i="6"/>
  <c r="AI27" i="6"/>
  <c r="AH27" i="6"/>
  <c r="AG27" i="6"/>
  <c r="AF27" i="6"/>
  <c r="AE27" i="6"/>
  <c r="AD27" i="6"/>
  <c r="AC27" i="6"/>
  <c r="Z27" i="6"/>
  <c r="BR27" i="6" l="1"/>
  <c r="Z141" i="6" l="1"/>
  <c r="AC141" i="6"/>
  <c r="AD141" i="6"/>
  <c r="AE141" i="6"/>
  <c r="AF141" i="6"/>
  <c r="AG141" i="6"/>
  <c r="AH141" i="6"/>
  <c r="AI141" i="6"/>
  <c r="AJ141" i="6"/>
  <c r="AK141" i="6"/>
  <c r="AL141" i="6"/>
  <c r="AM141" i="6"/>
  <c r="AN141" i="6"/>
  <c r="AO141" i="6"/>
  <c r="AP141" i="6"/>
  <c r="AQ141" i="6"/>
  <c r="AR141" i="6"/>
  <c r="AS141" i="6"/>
  <c r="AT141" i="6"/>
  <c r="AU141" i="6"/>
  <c r="AV141" i="6"/>
  <c r="AX141" i="6"/>
  <c r="AY141" i="6"/>
  <c r="AZ141" i="6"/>
  <c r="BA141" i="6"/>
  <c r="BB141" i="6"/>
  <c r="BC141" i="6"/>
  <c r="BD141" i="6"/>
  <c r="BE141" i="6"/>
  <c r="BF141" i="6"/>
  <c r="BG141" i="6"/>
  <c r="BH141" i="6"/>
  <c r="BI141" i="6"/>
  <c r="BJ141" i="6"/>
  <c r="BK141" i="6"/>
  <c r="BM141" i="6"/>
  <c r="BN141" i="6"/>
  <c r="BO141" i="6"/>
  <c r="BP141" i="6"/>
  <c r="BQ141" i="6"/>
  <c r="K134" i="6"/>
  <c r="R138" i="6"/>
  <c r="Z153" i="6"/>
  <c r="BR141" i="6" l="1"/>
  <c r="BK149" i="6"/>
  <c r="Z54" i="6"/>
  <c r="AU53" i="6"/>
  <c r="AP149" i="6"/>
  <c r="AQ149" i="6"/>
  <c r="AC54" i="6"/>
  <c r="AD54" i="6"/>
  <c r="AE54" i="6"/>
  <c r="AF54" i="6"/>
  <c r="AG54" i="6"/>
  <c r="AH54" i="6"/>
  <c r="AI54" i="6"/>
  <c r="AJ54" i="6"/>
  <c r="AK54" i="6"/>
  <c r="AL54" i="6"/>
  <c r="AM54" i="6"/>
  <c r="AN54" i="6"/>
  <c r="AO54" i="6"/>
  <c r="AP54" i="6"/>
  <c r="AQ54" i="6"/>
  <c r="AR54" i="6"/>
  <c r="AS54" i="6"/>
  <c r="AT54" i="6"/>
  <c r="AX54" i="6"/>
  <c r="AY54" i="6"/>
  <c r="AZ54" i="6"/>
  <c r="BA54" i="6"/>
  <c r="BB54" i="6"/>
  <c r="BC54" i="6"/>
  <c r="BD54" i="6"/>
  <c r="BE54" i="6"/>
  <c r="BF54" i="6"/>
  <c r="BG54" i="6"/>
  <c r="BH54" i="6"/>
  <c r="BI54" i="6"/>
  <c r="BJ54" i="6"/>
  <c r="BK54" i="6"/>
  <c r="BL54" i="6"/>
  <c r="BM54" i="6"/>
  <c r="BN54" i="6"/>
  <c r="BO54" i="6"/>
  <c r="BP54" i="6"/>
  <c r="BQ54" i="6"/>
  <c r="Z62" i="6"/>
  <c r="AC62" i="6"/>
  <c r="AD62" i="6"/>
  <c r="AE62" i="6"/>
  <c r="AF62" i="6"/>
  <c r="AG62" i="6"/>
  <c r="AH62" i="6"/>
  <c r="AI62" i="6"/>
  <c r="AJ62" i="6"/>
  <c r="AK62" i="6"/>
  <c r="AL62" i="6"/>
  <c r="AM62" i="6"/>
  <c r="AN62" i="6"/>
  <c r="AO62" i="6"/>
  <c r="AP62" i="6"/>
  <c r="AQ62" i="6"/>
  <c r="AR62" i="6"/>
  <c r="AS62" i="6"/>
  <c r="AT62" i="6"/>
  <c r="AU62" i="6"/>
  <c r="AX62" i="6"/>
  <c r="AY62" i="6"/>
  <c r="AZ62" i="6"/>
  <c r="BA62" i="6"/>
  <c r="BB62" i="6"/>
  <c r="BC62" i="6"/>
  <c r="BD62" i="6"/>
  <c r="BE62" i="6"/>
  <c r="BF62" i="6"/>
  <c r="BG62" i="6"/>
  <c r="BH62" i="6"/>
  <c r="BI62" i="6"/>
  <c r="BJ62" i="6"/>
  <c r="BK62" i="6"/>
  <c r="BL62" i="6"/>
  <c r="BM62" i="6"/>
  <c r="BN62" i="6"/>
  <c r="BO62" i="6"/>
  <c r="BP62" i="6"/>
  <c r="BQ62" i="6"/>
  <c r="BQ53" i="6"/>
  <c r="BP53" i="6"/>
  <c r="BO53" i="6"/>
  <c r="BN53" i="6"/>
  <c r="BM53" i="6"/>
  <c r="BL53" i="6"/>
  <c r="BK53" i="6"/>
  <c r="BJ53" i="6"/>
  <c r="BI53" i="6"/>
  <c r="BH53" i="6"/>
  <c r="BG53" i="6"/>
  <c r="BF53" i="6"/>
  <c r="BE53" i="6"/>
  <c r="BD53" i="6"/>
  <c r="BC53" i="6"/>
  <c r="BB53" i="6"/>
  <c r="BA53" i="6"/>
  <c r="AZ53" i="6"/>
  <c r="AY53" i="6"/>
  <c r="AX53" i="6"/>
  <c r="AT53" i="6"/>
  <c r="AS53" i="6"/>
  <c r="AR53" i="6"/>
  <c r="AQ53" i="6"/>
  <c r="AP53" i="6"/>
  <c r="AO53" i="6"/>
  <c r="AN53" i="6"/>
  <c r="AM53" i="6"/>
  <c r="AL53" i="6"/>
  <c r="AK53" i="6"/>
  <c r="AJ53" i="6"/>
  <c r="AI53" i="6"/>
  <c r="AH53" i="6"/>
  <c r="AG53" i="6"/>
  <c r="AF53" i="6"/>
  <c r="AE53" i="6"/>
  <c r="AD53" i="6"/>
  <c r="AC53" i="6"/>
  <c r="Z53" i="6" l="1"/>
  <c r="AU54" i="6"/>
  <c r="BR54" i="6" s="1"/>
  <c r="BR62" i="6"/>
  <c r="BR53" i="6"/>
  <c r="Z111" i="6" l="1"/>
  <c r="AC111" i="6"/>
  <c r="AD111" i="6"/>
  <c r="AE111" i="6"/>
  <c r="AF111" i="6"/>
  <c r="AG111" i="6"/>
  <c r="AH111" i="6"/>
  <c r="AI111" i="6"/>
  <c r="AJ111" i="6"/>
  <c r="AK111" i="6"/>
  <c r="AL111" i="6"/>
  <c r="AM111" i="6"/>
  <c r="AN111" i="6"/>
  <c r="AO111" i="6"/>
  <c r="AP111" i="6"/>
  <c r="AQ111" i="6"/>
  <c r="AR111" i="6"/>
  <c r="AS111" i="6"/>
  <c r="AT111" i="6"/>
  <c r="AU111" i="6"/>
  <c r="AX111" i="6"/>
  <c r="AY111" i="6"/>
  <c r="AZ111" i="6"/>
  <c r="BA111" i="6"/>
  <c r="BB111" i="6"/>
  <c r="BC111" i="6"/>
  <c r="BD111" i="6"/>
  <c r="BE111" i="6"/>
  <c r="BF111" i="6"/>
  <c r="BG111" i="6"/>
  <c r="BH111" i="6"/>
  <c r="BI111" i="6"/>
  <c r="BJ111" i="6"/>
  <c r="BK111" i="6"/>
  <c r="BL111" i="6"/>
  <c r="BM111" i="6"/>
  <c r="BN111" i="6"/>
  <c r="BO111" i="6"/>
  <c r="BP111" i="6"/>
  <c r="BQ111" i="6"/>
  <c r="W112" i="6"/>
  <c r="Z120" i="6"/>
  <c r="AC120" i="6"/>
  <c r="AD120" i="6"/>
  <c r="AE120" i="6"/>
  <c r="AF120" i="6"/>
  <c r="AG120" i="6"/>
  <c r="AH120" i="6"/>
  <c r="AI120" i="6"/>
  <c r="AJ120" i="6"/>
  <c r="AK120" i="6"/>
  <c r="AL120" i="6"/>
  <c r="AM120" i="6"/>
  <c r="AN120" i="6"/>
  <c r="AO120" i="6"/>
  <c r="AP120" i="6"/>
  <c r="AQ120" i="6"/>
  <c r="AR120" i="6"/>
  <c r="AS120" i="6"/>
  <c r="AT120" i="6"/>
  <c r="AU120" i="6"/>
  <c r="AX120" i="6"/>
  <c r="AY120" i="6"/>
  <c r="AZ120" i="6"/>
  <c r="BA120" i="6"/>
  <c r="BB120" i="6"/>
  <c r="BC120" i="6"/>
  <c r="BD120" i="6"/>
  <c r="BE120" i="6"/>
  <c r="BF120" i="6"/>
  <c r="BG120" i="6"/>
  <c r="BH120" i="6"/>
  <c r="BI120" i="6"/>
  <c r="BJ120" i="6"/>
  <c r="BK120" i="6"/>
  <c r="BL120" i="6"/>
  <c r="BM120" i="6"/>
  <c r="BN120" i="6"/>
  <c r="BO120" i="6"/>
  <c r="BP120" i="6"/>
  <c r="BQ120" i="6"/>
  <c r="V96" i="6"/>
  <c r="BR111" i="6" l="1"/>
  <c r="BR120" i="6"/>
  <c r="E39" i="2" l="1"/>
  <c r="L39" i="1" l="1"/>
  <c r="L40" i="1"/>
  <c r="L18" i="2"/>
  <c r="L19" i="2"/>
  <c r="L20" i="2"/>
  <c r="L24" i="2"/>
  <c r="L26" i="2"/>
  <c r="L31" i="2"/>
  <c r="L30" i="2" s="1"/>
  <c r="L33" i="2"/>
  <c r="L34" i="2"/>
  <c r="L35" i="2"/>
  <c r="L40" i="2"/>
  <c r="L41" i="2"/>
  <c r="L42" i="2"/>
  <c r="L43" i="2"/>
  <c r="L49" i="2"/>
  <c r="L32" i="2" l="1"/>
  <c r="L36" i="2" s="1"/>
  <c r="L39" i="2"/>
  <c r="L44" i="2" s="1"/>
  <c r="L17" i="2"/>
  <c r="Z28" i="6" l="1"/>
  <c r="AC28" i="6"/>
  <c r="AD28" i="6"/>
  <c r="AE28" i="6"/>
  <c r="AF28" i="6"/>
  <c r="AG28" i="6"/>
  <c r="AH28" i="6"/>
  <c r="AI28" i="6"/>
  <c r="AJ28" i="6"/>
  <c r="AK28" i="6"/>
  <c r="AL28" i="6"/>
  <c r="AM28" i="6"/>
  <c r="AN28" i="6"/>
  <c r="AO28" i="6"/>
  <c r="AP28" i="6"/>
  <c r="AQ28" i="6"/>
  <c r="AR28" i="6"/>
  <c r="AS28" i="6"/>
  <c r="AT28" i="6"/>
  <c r="AU28" i="6"/>
  <c r="AX28" i="6"/>
  <c r="AY28" i="6"/>
  <c r="AZ28" i="6"/>
  <c r="BA28" i="6"/>
  <c r="BB28" i="6"/>
  <c r="BC28" i="6"/>
  <c r="BD28" i="6"/>
  <c r="BE28" i="6"/>
  <c r="BF28" i="6"/>
  <c r="BG28" i="6"/>
  <c r="BH28" i="6"/>
  <c r="BI28" i="6"/>
  <c r="BL28" i="6"/>
  <c r="BM28" i="6"/>
  <c r="BN28" i="6"/>
  <c r="BO28" i="6"/>
  <c r="BP28" i="6"/>
  <c r="BQ28" i="6"/>
  <c r="BR28" i="6" l="1"/>
  <c r="Z116" i="6" l="1"/>
  <c r="AC116" i="6"/>
  <c r="AD116" i="6"/>
  <c r="AE116" i="6"/>
  <c r="AF116" i="6"/>
  <c r="AG116" i="6"/>
  <c r="AH116" i="6"/>
  <c r="AI116" i="6"/>
  <c r="AJ116" i="6"/>
  <c r="AK116" i="6"/>
  <c r="AL116" i="6"/>
  <c r="AM116" i="6"/>
  <c r="AN116" i="6"/>
  <c r="AO116" i="6"/>
  <c r="AP116" i="6"/>
  <c r="AQ116" i="6"/>
  <c r="AR116" i="6"/>
  <c r="AS116" i="6"/>
  <c r="AT116" i="6"/>
  <c r="AU116" i="6"/>
  <c r="AX116" i="6"/>
  <c r="AY116" i="6"/>
  <c r="AZ116" i="6"/>
  <c r="BA116" i="6"/>
  <c r="BB116" i="6"/>
  <c r="BC116" i="6"/>
  <c r="BD116" i="6"/>
  <c r="BE116" i="6"/>
  <c r="BF116" i="6"/>
  <c r="BG116" i="6"/>
  <c r="BH116" i="6"/>
  <c r="BI116" i="6"/>
  <c r="BJ116" i="6"/>
  <c r="BK116" i="6"/>
  <c r="BL116" i="6"/>
  <c r="BM116" i="6"/>
  <c r="BN116" i="6"/>
  <c r="BO116" i="6"/>
  <c r="BP116" i="6"/>
  <c r="BQ116" i="6"/>
  <c r="Z112" i="6"/>
  <c r="Z106" i="6"/>
  <c r="Z100" i="6"/>
  <c r="AC106" i="6"/>
  <c r="AD106" i="6"/>
  <c r="AE106" i="6"/>
  <c r="AF106" i="6"/>
  <c r="AG106" i="6"/>
  <c r="AH106" i="6"/>
  <c r="AI106" i="6"/>
  <c r="AJ106" i="6"/>
  <c r="AK106" i="6"/>
  <c r="AL106" i="6"/>
  <c r="AM106" i="6"/>
  <c r="AN106" i="6"/>
  <c r="AO106" i="6"/>
  <c r="AP106" i="6"/>
  <c r="AQ106" i="6"/>
  <c r="AR106" i="6"/>
  <c r="AS106" i="6"/>
  <c r="AT106" i="6"/>
  <c r="AU106" i="6"/>
  <c r="AX106" i="6"/>
  <c r="AY106" i="6"/>
  <c r="AZ106" i="6"/>
  <c r="BA106" i="6"/>
  <c r="BB106" i="6"/>
  <c r="BC106" i="6"/>
  <c r="BD106" i="6"/>
  <c r="BE106" i="6"/>
  <c r="BF106" i="6"/>
  <c r="BG106" i="6"/>
  <c r="BH106" i="6"/>
  <c r="BI106" i="6"/>
  <c r="BJ106" i="6"/>
  <c r="BK106" i="6"/>
  <c r="BL106" i="6"/>
  <c r="BM106" i="6"/>
  <c r="BN106" i="6"/>
  <c r="BO106" i="6"/>
  <c r="BP106" i="6"/>
  <c r="BQ106" i="6"/>
  <c r="BR116" i="6" l="1"/>
  <c r="BR106" i="6"/>
  <c r="AE151" i="6" l="1"/>
  <c r="AF151" i="6"/>
  <c r="AG151" i="6"/>
  <c r="AH151" i="6"/>
  <c r="AI151" i="6"/>
  <c r="AJ151" i="6"/>
  <c r="AK151" i="6"/>
  <c r="AL151" i="6"/>
  <c r="AM151" i="6"/>
  <c r="AN151" i="6"/>
  <c r="AD151" i="6"/>
  <c r="AC151" i="6"/>
  <c r="D151" i="6"/>
  <c r="D152" i="6"/>
  <c r="D158" i="6"/>
  <c r="D153" i="6"/>
  <c r="BQ167" i="6"/>
  <c r="BP167" i="6"/>
  <c r="BO167" i="6"/>
  <c r="BN167" i="6"/>
  <c r="BM167" i="6"/>
  <c r="BL167" i="6"/>
  <c r="BK167" i="6"/>
  <c r="BJ167" i="6"/>
  <c r="BI167" i="6"/>
  <c r="BH167" i="6"/>
  <c r="BG167" i="6"/>
  <c r="BF167" i="6"/>
  <c r="BE167" i="6"/>
  <c r="BD167" i="6"/>
  <c r="BC167" i="6"/>
  <c r="BB167" i="6"/>
  <c r="BA167" i="6"/>
  <c r="AZ167" i="6"/>
  <c r="AY167" i="6"/>
  <c r="AX167" i="6"/>
  <c r="AU167" i="6"/>
  <c r="AT167" i="6"/>
  <c r="AS167" i="6"/>
  <c r="AR167" i="6"/>
  <c r="AQ167" i="6"/>
  <c r="AP167" i="6"/>
  <c r="AO167" i="6"/>
  <c r="AN167" i="6"/>
  <c r="AM167" i="6"/>
  <c r="AL167" i="6"/>
  <c r="AK167" i="6"/>
  <c r="AJ167" i="6"/>
  <c r="AI167" i="6"/>
  <c r="AH167" i="6"/>
  <c r="AG167" i="6"/>
  <c r="AF167" i="6"/>
  <c r="AE167" i="6"/>
  <c r="AD167" i="6"/>
  <c r="AC167" i="6"/>
  <c r="Z167" i="6"/>
  <c r="BR167" i="6" l="1"/>
  <c r="D157" i="6" l="1"/>
  <c r="BG157" i="6"/>
  <c r="BF157" i="6"/>
  <c r="BE157" i="6"/>
  <c r="BD157" i="6"/>
  <c r="BC157" i="6"/>
  <c r="BB157" i="6"/>
  <c r="BA157" i="6"/>
  <c r="AZ157" i="6"/>
  <c r="AY157" i="6"/>
  <c r="AX157" i="6"/>
  <c r="AV157" i="6"/>
  <c r="AU157" i="6"/>
  <c r="AT157" i="6"/>
  <c r="AS157" i="6"/>
  <c r="AR157" i="6"/>
  <c r="AQ157" i="6"/>
  <c r="AP157" i="6"/>
  <c r="AO157" i="6"/>
  <c r="AN157" i="6"/>
  <c r="AM157" i="6"/>
  <c r="AL157" i="6"/>
  <c r="AK157" i="6"/>
  <c r="AJ157" i="6"/>
  <c r="AI157" i="6"/>
  <c r="AH157" i="6"/>
  <c r="AG157" i="6"/>
  <c r="AF157" i="6"/>
  <c r="AE157" i="6"/>
  <c r="AD157" i="6"/>
  <c r="AC157" i="6"/>
  <c r="Z157" i="6"/>
  <c r="BQ139" i="6"/>
  <c r="BP139" i="6"/>
  <c r="BO139" i="6"/>
  <c r="BN139" i="6"/>
  <c r="BM139" i="6"/>
  <c r="BI139" i="6"/>
  <c r="BH139" i="6"/>
  <c r="BG139" i="6"/>
  <c r="BF139" i="6"/>
  <c r="BE139" i="6"/>
  <c r="BD139" i="6"/>
  <c r="BC139" i="6"/>
  <c r="BB139" i="6"/>
  <c r="BA139" i="6"/>
  <c r="AZ139" i="6"/>
  <c r="AY139" i="6"/>
  <c r="AX139" i="6"/>
  <c r="AV139" i="6"/>
  <c r="AU139" i="6"/>
  <c r="AT139" i="6"/>
  <c r="AS139" i="6"/>
  <c r="AR139" i="6"/>
  <c r="AQ139" i="6"/>
  <c r="AP139" i="6"/>
  <c r="AO139" i="6"/>
  <c r="AN139" i="6"/>
  <c r="AM139" i="6"/>
  <c r="AL139" i="6"/>
  <c r="AK139" i="6"/>
  <c r="AJ139" i="6"/>
  <c r="AI139" i="6"/>
  <c r="AH139" i="6"/>
  <c r="AG139" i="6"/>
  <c r="AF139" i="6"/>
  <c r="AE139" i="6"/>
  <c r="AD139" i="6"/>
  <c r="AC139" i="6"/>
  <c r="Z139" i="6"/>
  <c r="AV131" i="6"/>
  <c r="AV132" i="6"/>
  <c r="AV133" i="6"/>
  <c r="AV134" i="6"/>
  <c r="AV135" i="6"/>
  <c r="AV136" i="6"/>
  <c r="AV137" i="6"/>
  <c r="AV138" i="6"/>
  <c r="AV124" i="6"/>
  <c r="AV126" i="6"/>
  <c r="AV127" i="6"/>
  <c r="AV128" i="6"/>
  <c r="AV129" i="6"/>
  <c r="AV130" i="6"/>
  <c r="AU126" i="6"/>
  <c r="AU127" i="6"/>
  <c r="AU128" i="6"/>
  <c r="AV123" i="6"/>
  <c r="AV122" i="6"/>
  <c r="L50" i="2" s="1"/>
  <c r="Z156" i="6"/>
  <c r="Z137" i="6"/>
  <c r="Z136" i="6"/>
  <c r="Z133" i="6"/>
  <c r="Z134" i="6"/>
  <c r="Z135" i="6"/>
  <c r="Z132" i="6"/>
  <c r="Z131" i="6"/>
  <c r="Z129" i="6"/>
  <c r="Z128" i="6"/>
  <c r="Z127" i="6"/>
  <c r="Z123" i="6"/>
  <c r="Z124" i="6"/>
  <c r="Z126" i="6"/>
  <c r="Z130" i="6"/>
  <c r="BQ102" i="6"/>
  <c r="BP102" i="6"/>
  <c r="BO102" i="6"/>
  <c r="BN102" i="6"/>
  <c r="BM102" i="6"/>
  <c r="BL102" i="6"/>
  <c r="BK102" i="6"/>
  <c r="BJ102" i="6"/>
  <c r="BI102" i="6"/>
  <c r="BH102" i="6"/>
  <c r="BG102" i="6"/>
  <c r="BF102" i="6"/>
  <c r="BE102" i="6"/>
  <c r="BD102" i="6"/>
  <c r="BC102" i="6"/>
  <c r="BB102" i="6"/>
  <c r="BA102" i="6"/>
  <c r="AZ102" i="6"/>
  <c r="AY102" i="6"/>
  <c r="AX102" i="6"/>
  <c r="AU102" i="6"/>
  <c r="AT102" i="6"/>
  <c r="AS102" i="6"/>
  <c r="AR102" i="6"/>
  <c r="AQ102" i="6"/>
  <c r="AP102" i="6"/>
  <c r="AO102" i="6"/>
  <c r="AN102" i="6"/>
  <c r="AM102" i="6"/>
  <c r="AL102" i="6"/>
  <c r="AK102" i="6"/>
  <c r="AJ102" i="6"/>
  <c r="AI102" i="6"/>
  <c r="AH102" i="6"/>
  <c r="AG102" i="6"/>
  <c r="AF102" i="6"/>
  <c r="AE102" i="6"/>
  <c r="AD102" i="6"/>
  <c r="AC102" i="6"/>
  <c r="Z102" i="6"/>
  <c r="BQ112" i="6"/>
  <c r="BP112" i="6"/>
  <c r="BO112" i="6"/>
  <c r="BN112" i="6"/>
  <c r="BM112" i="6"/>
  <c r="BL112" i="6"/>
  <c r="BK112" i="6"/>
  <c r="BJ112" i="6"/>
  <c r="BI112" i="6"/>
  <c r="BH112" i="6"/>
  <c r="BG112" i="6"/>
  <c r="BF112" i="6"/>
  <c r="BE112" i="6"/>
  <c r="BD112" i="6"/>
  <c r="BC112" i="6"/>
  <c r="BB112" i="6"/>
  <c r="BA112" i="6"/>
  <c r="AZ112" i="6"/>
  <c r="AY112" i="6"/>
  <c r="AX112" i="6"/>
  <c r="AU112" i="6"/>
  <c r="AT112" i="6"/>
  <c r="AS112" i="6"/>
  <c r="AR112" i="6"/>
  <c r="AQ112" i="6"/>
  <c r="AP112" i="6"/>
  <c r="AO112" i="6"/>
  <c r="AN112" i="6"/>
  <c r="AM112" i="6"/>
  <c r="AL112" i="6"/>
  <c r="AK112" i="6"/>
  <c r="AJ112" i="6"/>
  <c r="AI112" i="6"/>
  <c r="AH112" i="6"/>
  <c r="AG112" i="6"/>
  <c r="AF112" i="6"/>
  <c r="AE112" i="6"/>
  <c r="AD112" i="6"/>
  <c r="AC112" i="6"/>
  <c r="L51" i="2" l="1"/>
  <c r="BR157" i="6"/>
  <c r="BR139" i="6"/>
  <c r="BR102" i="6"/>
  <c r="BR112" i="6"/>
  <c r="BQ119" i="6" l="1"/>
  <c r="BP119" i="6"/>
  <c r="BO119" i="6"/>
  <c r="BN119" i="6"/>
  <c r="BM119" i="6"/>
  <c r="BL119" i="6"/>
  <c r="BK119" i="6"/>
  <c r="BJ119" i="6"/>
  <c r="BI119" i="6"/>
  <c r="BH119" i="6"/>
  <c r="BG119" i="6"/>
  <c r="BF119" i="6"/>
  <c r="BE119" i="6"/>
  <c r="BD119" i="6"/>
  <c r="BC119" i="6"/>
  <c r="BB119" i="6"/>
  <c r="BA119" i="6"/>
  <c r="AZ119" i="6"/>
  <c r="AY119" i="6"/>
  <c r="AX119" i="6"/>
  <c r="AU119" i="6"/>
  <c r="AT119" i="6"/>
  <c r="AS119" i="6"/>
  <c r="AR119" i="6"/>
  <c r="AQ119" i="6"/>
  <c r="AP119" i="6"/>
  <c r="AO119" i="6"/>
  <c r="AN119" i="6"/>
  <c r="AM119" i="6"/>
  <c r="AL119" i="6"/>
  <c r="AK119" i="6"/>
  <c r="AJ119" i="6"/>
  <c r="AI119" i="6"/>
  <c r="AH119" i="6"/>
  <c r="AG119" i="6"/>
  <c r="AF119" i="6"/>
  <c r="AE119" i="6"/>
  <c r="AD119" i="6"/>
  <c r="AC119" i="6"/>
  <c r="Z119" i="6"/>
  <c r="BQ118" i="6"/>
  <c r="BP118" i="6"/>
  <c r="BO118" i="6"/>
  <c r="BN118" i="6"/>
  <c r="BM118" i="6"/>
  <c r="BL118" i="6"/>
  <c r="BK118" i="6"/>
  <c r="BJ118" i="6"/>
  <c r="BI118" i="6"/>
  <c r="BH118" i="6"/>
  <c r="BG118" i="6"/>
  <c r="BF118" i="6"/>
  <c r="BE118" i="6"/>
  <c r="BD118" i="6"/>
  <c r="BC118" i="6"/>
  <c r="BB118" i="6"/>
  <c r="BA118" i="6"/>
  <c r="AZ118" i="6"/>
  <c r="AY118" i="6"/>
  <c r="AX118" i="6"/>
  <c r="AU118" i="6"/>
  <c r="AT118" i="6"/>
  <c r="AS118" i="6"/>
  <c r="AR118" i="6"/>
  <c r="AQ118" i="6"/>
  <c r="AP118" i="6"/>
  <c r="AO118" i="6"/>
  <c r="AN118" i="6"/>
  <c r="AM118" i="6"/>
  <c r="AL118" i="6"/>
  <c r="AK118" i="6"/>
  <c r="AJ118" i="6"/>
  <c r="AI118" i="6"/>
  <c r="AH118" i="6"/>
  <c r="AG118" i="6"/>
  <c r="AF118" i="6"/>
  <c r="AE118" i="6"/>
  <c r="AD118" i="6"/>
  <c r="AC118" i="6"/>
  <c r="Z118" i="6"/>
  <c r="BQ117" i="6"/>
  <c r="BP117" i="6"/>
  <c r="BO117" i="6"/>
  <c r="BN117" i="6"/>
  <c r="BM117" i="6"/>
  <c r="BL117" i="6"/>
  <c r="BK117" i="6"/>
  <c r="BJ117" i="6"/>
  <c r="BI117" i="6"/>
  <c r="BH117" i="6"/>
  <c r="BG117" i="6"/>
  <c r="BF117" i="6"/>
  <c r="BE117" i="6"/>
  <c r="BD117" i="6"/>
  <c r="BC117" i="6"/>
  <c r="BB117" i="6"/>
  <c r="BA117" i="6"/>
  <c r="AZ117" i="6"/>
  <c r="AY117" i="6"/>
  <c r="AX117" i="6"/>
  <c r="AU117" i="6"/>
  <c r="AT117" i="6"/>
  <c r="AS117" i="6"/>
  <c r="AR117" i="6"/>
  <c r="AQ117" i="6"/>
  <c r="AP117" i="6"/>
  <c r="AO117" i="6"/>
  <c r="AN117" i="6"/>
  <c r="AM117" i="6"/>
  <c r="AL117" i="6"/>
  <c r="AK117" i="6"/>
  <c r="AJ117" i="6"/>
  <c r="AI117" i="6"/>
  <c r="AH117" i="6"/>
  <c r="AG117" i="6"/>
  <c r="AF117" i="6"/>
  <c r="AE117" i="6"/>
  <c r="AD117" i="6"/>
  <c r="AC117" i="6"/>
  <c r="Z117" i="6"/>
  <c r="BQ115" i="6"/>
  <c r="BP115" i="6"/>
  <c r="BO115" i="6"/>
  <c r="BN115" i="6"/>
  <c r="BM115" i="6"/>
  <c r="BL115" i="6"/>
  <c r="BK115" i="6"/>
  <c r="BJ115" i="6"/>
  <c r="BI115" i="6"/>
  <c r="BH115" i="6"/>
  <c r="BG115" i="6"/>
  <c r="BF115" i="6"/>
  <c r="BE115" i="6"/>
  <c r="BD115" i="6"/>
  <c r="BC115" i="6"/>
  <c r="BB115" i="6"/>
  <c r="BA115" i="6"/>
  <c r="AZ115" i="6"/>
  <c r="AY115" i="6"/>
  <c r="AX115" i="6"/>
  <c r="AU115" i="6"/>
  <c r="AT115" i="6"/>
  <c r="AS115" i="6"/>
  <c r="AR115" i="6"/>
  <c r="AQ115" i="6"/>
  <c r="AP115" i="6"/>
  <c r="AO115" i="6"/>
  <c r="AN115" i="6"/>
  <c r="AM115" i="6"/>
  <c r="AL115" i="6"/>
  <c r="AK115" i="6"/>
  <c r="AJ115" i="6"/>
  <c r="AI115" i="6"/>
  <c r="AH115" i="6"/>
  <c r="AG115" i="6"/>
  <c r="AF115" i="6"/>
  <c r="AE115" i="6"/>
  <c r="AD115" i="6"/>
  <c r="AC115" i="6"/>
  <c r="Z115" i="6"/>
  <c r="BQ114" i="6"/>
  <c r="BP114" i="6"/>
  <c r="BO114" i="6"/>
  <c r="BN114" i="6"/>
  <c r="BM114" i="6"/>
  <c r="BL114" i="6"/>
  <c r="BK114" i="6"/>
  <c r="BJ114" i="6"/>
  <c r="BI114" i="6"/>
  <c r="BH114" i="6"/>
  <c r="BG114" i="6"/>
  <c r="BF114" i="6"/>
  <c r="BE114" i="6"/>
  <c r="BD114" i="6"/>
  <c r="BC114" i="6"/>
  <c r="BB114" i="6"/>
  <c r="BA114" i="6"/>
  <c r="AZ114" i="6"/>
  <c r="AY114" i="6"/>
  <c r="AX114" i="6"/>
  <c r="AU114" i="6"/>
  <c r="AT114" i="6"/>
  <c r="AS114" i="6"/>
  <c r="AR114" i="6"/>
  <c r="AQ114" i="6"/>
  <c r="AP114" i="6"/>
  <c r="AO114" i="6"/>
  <c r="AN114" i="6"/>
  <c r="AM114" i="6"/>
  <c r="AL114" i="6"/>
  <c r="AK114" i="6"/>
  <c r="AJ114" i="6"/>
  <c r="AI114" i="6"/>
  <c r="AH114" i="6"/>
  <c r="AG114" i="6"/>
  <c r="AF114" i="6"/>
  <c r="AE114" i="6"/>
  <c r="AD114" i="6"/>
  <c r="AC114" i="6"/>
  <c r="Z114" i="6"/>
  <c r="BR114" i="6" l="1"/>
  <c r="BR117" i="6"/>
  <c r="BR119" i="6"/>
  <c r="BR118" i="6"/>
  <c r="BR115" i="6"/>
  <c r="D162" i="6" l="1"/>
  <c r="BQ51" i="6" l="1"/>
  <c r="BP51" i="6"/>
  <c r="BO51" i="6"/>
  <c r="BN51" i="6"/>
  <c r="BM51" i="6"/>
  <c r="BL51" i="6"/>
  <c r="BK51" i="6"/>
  <c r="BJ51" i="6"/>
  <c r="BI51" i="6"/>
  <c r="BH51" i="6"/>
  <c r="BG51" i="6"/>
  <c r="BF51" i="6"/>
  <c r="BE51" i="6"/>
  <c r="BD51" i="6"/>
  <c r="BC51" i="6"/>
  <c r="BB51" i="6"/>
  <c r="BA51" i="6"/>
  <c r="AZ51" i="6"/>
  <c r="AY51" i="6"/>
  <c r="AX51" i="6"/>
  <c r="AU51" i="6"/>
  <c r="AT51" i="6"/>
  <c r="AS51" i="6"/>
  <c r="AR51" i="6"/>
  <c r="AQ51" i="6"/>
  <c r="AP51" i="6"/>
  <c r="AO51" i="6"/>
  <c r="AN51" i="6"/>
  <c r="AL51" i="6"/>
  <c r="AK51" i="6"/>
  <c r="AJ51" i="6"/>
  <c r="AI51" i="6"/>
  <c r="AH51" i="6"/>
  <c r="AG51" i="6"/>
  <c r="AF51" i="6"/>
  <c r="AE51" i="6"/>
  <c r="AD51" i="6"/>
  <c r="AC51" i="6"/>
  <c r="AM51" i="6"/>
  <c r="BR51" i="6" l="1"/>
  <c r="Z51" i="6"/>
  <c r="BI158" i="6" l="1"/>
  <c r="AV158" i="6"/>
  <c r="Z158" i="6"/>
  <c r="AO151" i="6"/>
  <c r="AP151" i="6"/>
  <c r="AQ151" i="6"/>
  <c r="AR151" i="6"/>
  <c r="AS151" i="6"/>
  <c r="AT151" i="6"/>
  <c r="AU151" i="6"/>
  <c r="AV151" i="6"/>
  <c r="L48" i="2" s="1"/>
  <c r="L47" i="2" s="1"/>
  <c r="L52" i="2" s="1"/>
  <c r="Z151" i="6"/>
  <c r="AV152" i="6"/>
  <c r="Z152" i="6"/>
  <c r="BJ149" i="6" l="1"/>
  <c r="Z52" i="6"/>
  <c r="AC52" i="6"/>
  <c r="AD52" i="6"/>
  <c r="AE52" i="6"/>
  <c r="AF52" i="6"/>
  <c r="AG52" i="6"/>
  <c r="AH52" i="6"/>
  <c r="AI52" i="6"/>
  <c r="AJ52" i="6"/>
  <c r="AK52" i="6"/>
  <c r="AL52" i="6"/>
  <c r="AM52" i="6"/>
  <c r="AN52" i="6"/>
  <c r="AO52" i="6"/>
  <c r="AP52" i="6"/>
  <c r="AR52" i="6"/>
  <c r="AS52" i="6"/>
  <c r="AT52" i="6"/>
  <c r="AU52" i="6"/>
  <c r="AX52" i="6"/>
  <c r="AY52" i="6"/>
  <c r="AZ52" i="6"/>
  <c r="BA52" i="6"/>
  <c r="BB52" i="6"/>
  <c r="BC52" i="6"/>
  <c r="BD52" i="6"/>
  <c r="BE52" i="6"/>
  <c r="BF52" i="6"/>
  <c r="BG52" i="6"/>
  <c r="BI52" i="6"/>
  <c r="BJ52" i="6"/>
  <c r="BL52" i="6"/>
  <c r="BM52" i="6"/>
  <c r="BN52" i="6"/>
  <c r="BO52" i="6"/>
  <c r="BP52" i="6"/>
  <c r="BQ52" i="6"/>
  <c r="AQ52" i="6" l="1"/>
  <c r="BR52" i="6" s="1"/>
  <c r="AV148" i="6" l="1"/>
  <c r="AV147" i="6"/>
  <c r="AC147" i="6"/>
  <c r="AD147" i="6"/>
  <c r="L25" i="2" l="1"/>
  <c r="L23" i="2" s="1"/>
  <c r="BQ162" i="6"/>
  <c r="BR143" i="6"/>
  <c r="BR144" i="6"/>
  <c r="BR163" i="6"/>
  <c r="BR164" i="6"/>
  <c r="BR169" i="6"/>
  <c r="BR170" i="6"/>
  <c r="BR171" i="6"/>
  <c r="BR172" i="6"/>
  <c r="BR173" i="6"/>
  <c r="BR174" i="6"/>
  <c r="BR175" i="6"/>
  <c r="BR176" i="6"/>
  <c r="BR177" i="6"/>
  <c r="BR178" i="6"/>
  <c r="BR179" i="6"/>
  <c r="BR180" i="6"/>
  <c r="BR181" i="6"/>
  <c r="BR182" i="6"/>
  <c r="BR183" i="6"/>
  <c r="BR184" i="6"/>
  <c r="BR185" i="6"/>
  <c r="BR186" i="6"/>
  <c r="BR187" i="6"/>
  <c r="BR188" i="6"/>
  <c r="BR189" i="6"/>
  <c r="BR190" i="6"/>
  <c r="BR191" i="6"/>
  <c r="BR192" i="6"/>
  <c r="BR193" i="6"/>
  <c r="BQ4" i="6"/>
  <c r="L16" i="1" s="1"/>
  <c r="BQ5" i="6"/>
  <c r="BQ6" i="6"/>
  <c r="BQ7" i="6"/>
  <c r="BQ8" i="6"/>
  <c r="BQ9" i="6"/>
  <c r="L18" i="1" s="1"/>
  <c r="BQ10" i="6"/>
  <c r="BQ17" i="6"/>
  <c r="BQ18" i="6"/>
  <c r="BQ19" i="6"/>
  <c r="BQ20" i="6"/>
  <c r="BQ21" i="6"/>
  <c r="BQ22" i="6"/>
  <c r="BQ24" i="6"/>
  <c r="BQ25" i="6"/>
  <c r="BQ26" i="6"/>
  <c r="BQ29" i="6"/>
  <c r="L22" i="1" s="1"/>
  <c r="BQ30" i="6"/>
  <c r="BQ31" i="6"/>
  <c r="BQ32" i="6"/>
  <c r="BQ33" i="6"/>
  <c r="BQ34" i="6"/>
  <c r="BQ35" i="6"/>
  <c r="BQ36" i="6"/>
  <c r="BQ37" i="6"/>
  <c r="BQ38" i="6"/>
  <c r="BQ39" i="6"/>
  <c r="BQ40" i="6"/>
  <c r="BQ41" i="6"/>
  <c r="BQ42" i="6"/>
  <c r="BQ43" i="6"/>
  <c r="BQ44" i="6"/>
  <c r="BQ45" i="6"/>
  <c r="BQ46" i="6"/>
  <c r="BQ47" i="6"/>
  <c r="BQ50" i="6"/>
  <c r="BQ63" i="6"/>
  <c r="BQ64" i="6"/>
  <c r="BQ65" i="6"/>
  <c r="BQ66" i="6"/>
  <c r="BQ67" i="6"/>
  <c r="BQ68" i="6"/>
  <c r="BQ69" i="6"/>
  <c r="BQ70" i="6"/>
  <c r="BQ71" i="6"/>
  <c r="BQ72" i="6"/>
  <c r="BQ73" i="6"/>
  <c r="BQ74" i="6"/>
  <c r="BQ75" i="6"/>
  <c r="BQ76" i="6"/>
  <c r="BQ77" i="6"/>
  <c r="BQ78" i="6"/>
  <c r="BQ79" i="6"/>
  <c r="BQ80" i="6"/>
  <c r="BQ81" i="6"/>
  <c r="BQ82" i="6"/>
  <c r="BQ83" i="6"/>
  <c r="BQ84" i="6"/>
  <c r="BQ85" i="6"/>
  <c r="BQ86" i="6"/>
  <c r="BQ87" i="6"/>
  <c r="BQ88" i="6"/>
  <c r="BQ89" i="6"/>
  <c r="BQ90" i="6"/>
  <c r="BQ91" i="6"/>
  <c r="BQ92" i="6"/>
  <c r="BQ93" i="6"/>
  <c r="BQ95" i="6"/>
  <c r="BQ96" i="6"/>
  <c r="BQ97" i="6"/>
  <c r="BQ98" i="6"/>
  <c r="BQ100" i="6"/>
  <c r="BQ101" i="6"/>
  <c r="BQ103" i="6"/>
  <c r="BQ104" i="6"/>
  <c r="BQ105" i="6"/>
  <c r="BQ110" i="6"/>
  <c r="BQ121" i="6"/>
  <c r="BQ122" i="6"/>
  <c r="L48" i="1" s="1"/>
  <c r="BQ123" i="6"/>
  <c r="BQ124" i="6"/>
  <c r="BQ126" i="6"/>
  <c r="BQ127" i="6"/>
  <c r="BQ129" i="6"/>
  <c r="BQ131" i="6"/>
  <c r="BQ132" i="6"/>
  <c r="BQ133" i="6"/>
  <c r="BQ134" i="6"/>
  <c r="BQ135" i="6"/>
  <c r="BQ136" i="6"/>
  <c r="BQ137" i="6"/>
  <c r="BQ138" i="6"/>
  <c r="BQ142" i="6"/>
  <c r="BQ145" i="6"/>
  <c r="BQ146" i="6"/>
  <c r="BQ148" i="6"/>
  <c r="L23" i="1" s="1"/>
  <c r="BQ149" i="6"/>
  <c r="BQ151" i="6"/>
  <c r="BQ156" i="6"/>
  <c r="BQ159" i="6"/>
  <c r="BQ160" i="6"/>
  <c r="BQ161" i="6"/>
  <c r="BQ165" i="6"/>
  <c r="BQ168" i="6"/>
  <c r="L47" i="1" s="1"/>
  <c r="AV162" i="6"/>
  <c r="L22" i="2" s="1"/>
  <c r="L21" i="2" s="1"/>
  <c r="Z162" i="6"/>
  <c r="L27" i="2" l="1"/>
  <c r="L54" i="2" s="1"/>
  <c r="L46" i="1"/>
  <c r="L32" i="1"/>
  <c r="L49" i="1"/>
  <c r="L17" i="1"/>
  <c r="L31" i="1"/>
  <c r="L24" i="1"/>
  <c r="L21" i="1" s="1"/>
  <c r="L38" i="1"/>
  <c r="L29" i="1"/>
  <c r="L28" i="1" s="1"/>
  <c r="L41" i="1"/>
  <c r="L33" i="1"/>
  <c r="L20" i="1"/>
  <c r="L19" i="1" s="1"/>
  <c r="BQ194" i="6"/>
  <c r="AV194" i="6"/>
  <c r="L45" i="1" l="1"/>
  <c r="L50" i="1" s="1"/>
  <c r="L37" i="1"/>
  <c r="L42" i="1" s="1"/>
  <c r="L30" i="1"/>
  <c r="L34" i="1" s="1"/>
  <c r="L25" i="1"/>
  <c r="X29" i="6"/>
  <c r="X4" i="6"/>
  <c r="L52" i="1" l="1"/>
  <c r="C18" i="7"/>
  <c r="C19" i="7"/>
  <c r="C20" i="7"/>
  <c r="C22" i="7"/>
  <c r="C24" i="7"/>
  <c r="C25" i="7"/>
  <c r="C26" i="7"/>
  <c r="C28" i="7"/>
  <c r="C29" i="7"/>
  <c r="C31" i="7"/>
  <c r="C33" i="7"/>
  <c r="C34" i="7"/>
  <c r="C35" i="7"/>
  <c r="C37" i="7"/>
  <c r="C38" i="7"/>
  <c r="C40" i="7"/>
  <c r="C41" i="7"/>
  <c r="C42" i="7"/>
  <c r="C43" i="7"/>
  <c r="C45" i="7"/>
  <c r="C46" i="7"/>
  <c r="C50" i="7"/>
  <c r="C53" i="7"/>
  <c r="BP71" i="6" l="1"/>
  <c r="BO71" i="6"/>
  <c r="BN71" i="6"/>
  <c r="BM71" i="6"/>
  <c r="BL71" i="6"/>
  <c r="BK71" i="6"/>
  <c r="BJ71" i="6"/>
  <c r="BI71" i="6"/>
  <c r="BH71" i="6"/>
  <c r="BG71" i="6"/>
  <c r="BF71" i="6"/>
  <c r="BE71" i="6"/>
  <c r="BD71" i="6"/>
  <c r="BC71" i="6"/>
  <c r="BB71" i="6"/>
  <c r="BA71" i="6"/>
  <c r="AZ71" i="6"/>
  <c r="AY71" i="6"/>
  <c r="AX71" i="6"/>
  <c r="AU71" i="6"/>
  <c r="AT71" i="6"/>
  <c r="AS71" i="6"/>
  <c r="AR71" i="6"/>
  <c r="AQ71" i="6"/>
  <c r="AO71" i="6"/>
  <c r="AN71" i="6"/>
  <c r="AM71" i="6"/>
  <c r="AL71" i="6"/>
  <c r="AK71" i="6"/>
  <c r="AJ71" i="6"/>
  <c r="AI71" i="6"/>
  <c r="AH71" i="6"/>
  <c r="AG71" i="6"/>
  <c r="AF71" i="6"/>
  <c r="AE71" i="6"/>
  <c r="AD71" i="6"/>
  <c r="AC71" i="6"/>
  <c r="AP71" i="6"/>
  <c r="BR71" i="6" l="1"/>
  <c r="Z71" i="6"/>
  <c r="BP19" i="6" l="1"/>
  <c r="BO19" i="6"/>
  <c r="BN19" i="6"/>
  <c r="BM19" i="6"/>
  <c r="BL19" i="6"/>
  <c r="BI19" i="6"/>
  <c r="BH19" i="6"/>
  <c r="BG19" i="6"/>
  <c r="BF19" i="6"/>
  <c r="BE19" i="6"/>
  <c r="BD19" i="6"/>
  <c r="BC19" i="6"/>
  <c r="BB19" i="6"/>
  <c r="BA19" i="6"/>
  <c r="AZ19" i="6"/>
  <c r="AY19" i="6"/>
  <c r="AX19" i="6"/>
  <c r="AU19" i="6"/>
  <c r="AT19" i="6"/>
  <c r="AS19" i="6"/>
  <c r="AR19" i="6"/>
  <c r="AQ19" i="6"/>
  <c r="AP19" i="6"/>
  <c r="AO19" i="6"/>
  <c r="AN19" i="6"/>
  <c r="AM19" i="6"/>
  <c r="AL19" i="6"/>
  <c r="AK19" i="6"/>
  <c r="AJ19" i="6"/>
  <c r="AI19" i="6"/>
  <c r="AH19" i="6"/>
  <c r="AG19" i="6"/>
  <c r="AF19" i="6"/>
  <c r="AE19" i="6"/>
  <c r="AD19" i="6"/>
  <c r="AC19" i="6"/>
  <c r="Z19" i="6"/>
  <c r="BR19" i="6" l="1"/>
  <c r="C48" i="7"/>
  <c r="BP138" i="6" l="1"/>
  <c r="BO138" i="6"/>
  <c r="BN138" i="6"/>
  <c r="BM138" i="6"/>
  <c r="BL138" i="6"/>
  <c r="BK138" i="6"/>
  <c r="BJ138" i="6"/>
  <c r="BI138" i="6"/>
  <c r="BH138" i="6"/>
  <c r="BG138" i="6"/>
  <c r="BF138" i="6"/>
  <c r="BE138" i="6"/>
  <c r="BD138" i="6"/>
  <c r="BC138" i="6"/>
  <c r="BB138" i="6"/>
  <c r="BA138" i="6"/>
  <c r="AZ138" i="6"/>
  <c r="AY138" i="6"/>
  <c r="AX138" i="6"/>
  <c r="AU138" i="6"/>
  <c r="AT138" i="6"/>
  <c r="AS138" i="6"/>
  <c r="AR138" i="6"/>
  <c r="AQ138" i="6"/>
  <c r="AP138" i="6"/>
  <c r="AN138" i="6"/>
  <c r="AM138" i="6"/>
  <c r="AL138" i="6"/>
  <c r="AK138" i="6"/>
  <c r="AJ138" i="6"/>
  <c r="AI138" i="6"/>
  <c r="AH138" i="6"/>
  <c r="AG138" i="6"/>
  <c r="AF138" i="6"/>
  <c r="AE138" i="6"/>
  <c r="AD138" i="6"/>
  <c r="AC138" i="6"/>
  <c r="AU158" i="6"/>
  <c r="AQ158" i="6"/>
  <c r="AO138" i="6" l="1"/>
  <c r="BR138" i="6" s="1"/>
  <c r="Z138" i="6"/>
  <c r="C51" i="7"/>
  <c r="C49" i="7"/>
  <c r="Z159" i="6" l="1"/>
  <c r="R70" i="6" l="1"/>
  <c r="AO162" i="6" l="1"/>
  <c r="AM162" i="6"/>
  <c r="V10" i="6"/>
  <c r="BP25" i="6" l="1"/>
  <c r="BO25" i="6"/>
  <c r="BN25" i="6"/>
  <c r="BM25" i="6"/>
  <c r="BL25" i="6"/>
  <c r="BK25" i="6"/>
  <c r="BJ25" i="6"/>
  <c r="BI25" i="6"/>
  <c r="BH25" i="6"/>
  <c r="BG25" i="6"/>
  <c r="BF25" i="6"/>
  <c r="BE25" i="6"/>
  <c r="BD25" i="6"/>
  <c r="BC25" i="6"/>
  <c r="BB25" i="6"/>
  <c r="BA25" i="6"/>
  <c r="AZ25" i="6"/>
  <c r="AY25" i="6"/>
  <c r="AX25" i="6"/>
  <c r="AU25" i="6"/>
  <c r="AT25" i="6"/>
  <c r="AS25" i="6"/>
  <c r="AR25" i="6"/>
  <c r="AQ25" i="6"/>
  <c r="AP25" i="6"/>
  <c r="AO25" i="6"/>
  <c r="AN25" i="6"/>
  <c r="AM25" i="6"/>
  <c r="AL25" i="6"/>
  <c r="AK25" i="6"/>
  <c r="AJ25" i="6"/>
  <c r="AI25" i="6"/>
  <c r="AH25" i="6"/>
  <c r="AG25" i="6"/>
  <c r="AF25" i="6"/>
  <c r="AE25" i="6"/>
  <c r="AD25" i="6"/>
  <c r="AC25" i="6"/>
  <c r="Z25" i="6"/>
  <c r="Z149" i="6"/>
  <c r="BR25" i="6" l="1"/>
  <c r="D15" i="1"/>
  <c r="G19" i="4" l="1"/>
  <c r="G26" i="4"/>
  <c r="G29" i="4" l="1"/>
  <c r="B28" i="7" l="1"/>
  <c r="B29" i="7"/>
  <c r="B37" i="7"/>
  <c r="B38" i="7"/>
  <c r="B45" i="7"/>
  <c r="B46" i="7"/>
  <c r="B53" i="7"/>
  <c r="BP103" i="6" l="1"/>
  <c r="BO103" i="6"/>
  <c r="BN103" i="6"/>
  <c r="BM103" i="6"/>
  <c r="BL103" i="6"/>
  <c r="BK103" i="6"/>
  <c r="BJ103" i="6"/>
  <c r="BI103" i="6"/>
  <c r="BH103" i="6"/>
  <c r="BG103" i="6"/>
  <c r="BF103" i="6"/>
  <c r="BE103" i="6"/>
  <c r="BD103" i="6"/>
  <c r="BC103" i="6"/>
  <c r="BB103" i="6"/>
  <c r="BA103" i="6"/>
  <c r="AZ103" i="6"/>
  <c r="AY103" i="6"/>
  <c r="AX103" i="6"/>
  <c r="AU103" i="6"/>
  <c r="AT103" i="6"/>
  <c r="AS103" i="6"/>
  <c r="AR103" i="6"/>
  <c r="AQ103" i="6"/>
  <c r="AP103" i="6"/>
  <c r="AO103" i="6"/>
  <c r="AN103" i="6"/>
  <c r="AM103" i="6"/>
  <c r="AL103" i="6"/>
  <c r="AK103" i="6"/>
  <c r="AJ103" i="6"/>
  <c r="AI103" i="6"/>
  <c r="AH103" i="6"/>
  <c r="AG103" i="6"/>
  <c r="AF103" i="6"/>
  <c r="AE103" i="6"/>
  <c r="AD103" i="6"/>
  <c r="AC103" i="6"/>
  <c r="Z103" i="6"/>
  <c r="BP101" i="6"/>
  <c r="BO101" i="6"/>
  <c r="BN101" i="6"/>
  <c r="BM101" i="6"/>
  <c r="BL101" i="6"/>
  <c r="BK101" i="6"/>
  <c r="BJ101" i="6"/>
  <c r="BI101" i="6"/>
  <c r="BH101" i="6"/>
  <c r="BG101" i="6"/>
  <c r="BF101" i="6"/>
  <c r="BE101" i="6"/>
  <c r="BD101" i="6"/>
  <c r="BC101" i="6"/>
  <c r="BB101" i="6"/>
  <c r="BA101" i="6"/>
  <c r="AZ101" i="6"/>
  <c r="AY101" i="6"/>
  <c r="AX101" i="6"/>
  <c r="AU101" i="6"/>
  <c r="AT101" i="6"/>
  <c r="AS101" i="6"/>
  <c r="AR101" i="6"/>
  <c r="AQ101" i="6"/>
  <c r="AP101" i="6"/>
  <c r="AO101" i="6"/>
  <c r="AN101" i="6"/>
  <c r="AM101" i="6"/>
  <c r="AL101" i="6"/>
  <c r="AK101" i="6"/>
  <c r="AJ101" i="6"/>
  <c r="AI101" i="6"/>
  <c r="AH101" i="6"/>
  <c r="AG101" i="6"/>
  <c r="AF101" i="6"/>
  <c r="AE101" i="6"/>
  <c r="AD101" i="6"/>
  <c r="AC101" i="6"/>
  <c r="Z101" i="6"/>
  <c r="BR103" i="6" l="1"/>
  <c r="BR101" i="6"/>
  <c r="BP159" i="6"/>
  <c r="BO159" i="6"/>
  <c r="BN159" i="6"/>
  <c r="BM159" i="6"/>
  <c r="BL159" i="6"/>
  <c r="BK159" i="6"/>
  <c r="BJ159" i="6"/>
  <c r="BI159" i="6"/>
  <c r="BH159" i="6"/>
  <c r="BG159" i="6"/>
  <c r="BF159" i="6"/>
  <c r="BE159" i="6"/>
  <c r="BD159" i="6"/>
  <c r="BC159" i="6"/>
  <c r="BB159" i="6"/>
  <c r="BA159" i="6"/>
  <c r="AZ159" i="6"/>
  <c r="AY159" i="6"/>
  <c r="AX159" i="6"/>
  <c r="AU159" i="6"/>
  <c r="AT159" i="6"/>
  <c r="AS159" i="6"/>
  <c r="AR159" i="6"/>
  <c r="AQ159" i="6"/>
  <c r="AP159" i="6"/>
  <c r="AO159" i="6"/>
  <c r="AN159" i="6"/>
  <c r="AM159" i="6"/>
  <c r="AL159" i="6"/>
  <c r="AK159" i="6"/>
  <c r="AJ159" i="6"/>
  <c r="AI159" i="6"/>
  <c r="AH159" i="6"/>
  <c r="AG159" i="6"/>
  <c r="AF159" i="6"/>
  <c r="AE159" i="6"/>
  <c r="AD159" i="6"/>
  <c r="AC159" i="6"/>
  <c r="Z122" i="6"/>
  <c r="BR159" i="6" l="1"/>
  <c r="Z22" i="6"/>
  <c r="AC22" i="6"/>
  <c r="AD22" i="6"/>
  <c r="AE22" i="6"/>
  <c r="AF22" i="6"/>
  <c r="AG22" i="6"/>
  <c r="AH22" i="6"/>
  <c r="AI22" i="6"/>
  <c r="AJ22" i="6"/>
  <c r="AK22" i="6"/>
  <c r="AL22" i="6"/>
  <c r="AM22" i="6"/>
  <c r="AN22" i="6"/>
  <c r="AO22" i="6"/>
  <c r="AP22" i="6"/>
  <c r="AQ22" i="6"/>
  <c r="AR22" i="6"/>
  <c r="AS22" i="6"/>
  <c r="AT22" i="6"/>
  <c r="AU22" i="6"/>
  <c r="AX22" i="6"/>
  <c r="AY22" i="6"/>
  <c r="AZ22" i="6"/>
  <c r="BA22" i="6"/>
  <c r="BB22" i="6"/>
  <c r="BC22" i="6"/>
  <c r="BD22" i="6"/>
  <c r="BE22" i="6"/>
  <c r="BF22" i="6"/>
  <c r="BG22" i="6"/>
  <c r="BH22" i="6"/>
  <c r="BI22" i="6"/>
  <c r="BM22" i="6"/>
  <c r="BN22" i="6"/>
  <c r="BO22" i="6"/>
  <c r="BP22" i="6"/>
  <c r="Z24" i="6"/>
  <c r="AC24" i="6"/>
  <c r="AD24" i="6"/>
  <c r="AE24" i="6"/>
  <c r="AF24" i="6"/>
  <c r="AG24" i="6"/>
  <c r="AH24" i="6"/>
  <c r="AI24" i="6"/>
  <c r="AJ24" i="6"/>
  <c r="AK24" i="6"/>
  <c r="AL24" i="6"/>
  <c r="AM24" i="6"/>
  <c r="AN24" i="6"/>
  <c r="AO24" i="6"/>
  <c r="AP24" i="6"/>
  <c r="AQ24" i="6"/>
  <c r="AR24" i="6"/>
  <c r="AS24" i="6"/>
  <c r="AT24" i="6"/>
  <c r="AU24" i="6"/>
  <c r="AX24" i="6"/>
  <c r="AY24" i="6"/>
  <c r="AZ24" i="6"/>
  <c r="BA24" i="6"/>
  <c r="BB24" i="6"/>
  <c r="BC24" i="6"/>
  <c r="BD24" i="6"/>
  <c r="BE24" i="6"/>
  <c r="BF24" i="6"/>
  <c r="BG24" i="6"/>
  <c r="BH24" i="6"/>
  <c r="BI24" i="6"/>
  <c r="BL24" i="6"/>
  <c r="BM24" i="6"/>
  <c r="BN24" i="6"/>
  <c r="BO24" i="6"/>
  <c r="BP24" i="6"/>
  <c r="BR22" i="6" l="1"/>
  <c r="BR24" i="6"/>
  <c r="Z75" i="6"/>
  <c r="AC75" i="6"/>
  <c r="AD75" i="6"/>
  <c r="AE75" i="6"/>
  <c r="AF75" i="6"/>
  <c r="AG75" i="6"/>
  <c r="AH75" i="6"/>
  <c r="AI75" i="6"/>
  <c r="AJ75" i="6"/>
  <c r="AK75" i="6"/>
  <c r="AL75" i="6"/>
  <c r="AM75" i="6"/>
  <c r="AN75" i="6"/>
  <c r="AO75" i="6"/>
  <c r="AP75" i="6"/>
  <c r="AQ75" i="6"/>
  <c r="AR75" i="6"/>
  <c r="AS75" i="6"/>
  <c r="AT75" i="6"/>
  <c r="AU75" i="6"/>
  <c r="AX75" i="6"/>
  <c r="AY75" i="6"/>
  <c r="AZ75" i="6"/>
  <c r="BA75" i="6"/>
  <c r="BB75" i="6"/>
  <c r="BC75" i="6"/>
  <c r="BD75" i="6"/>
  <c r="BE75" i="6"/>
  <c r="BF75" i="6"/>
  <c r="BG75" i="6"/>
  <c r="BH75" i="6"/>
  <c r="BI75" i="6"/>
  <c r="BJ75" i="6"/>
  <c r="BK75" i="6"/>
  <c r="BL75" i="6"/>
  <c r="BM75" i="6"/>
  <c r="BN75" i="6"/>
  <c r="BO75" i="6"/>
  <c r="BP75" i="6"/>
  <c r="D92" i="6"/>
  <c r="D86" i="6"/>
  <c r="BR75" i="6" l="1"/>
  <c r="BJ35" i="6"/>
  <c r="Z47" i="6"/>
  <c r="AC47" i="6"/>
  <c r="AD47" i="6"/>
  <c r="AE47" i="6"/>
  <c r="AF47" i="6"/>
  <c r="AG47" i="6"/>
  <c r="AH47" i="6"/>
  <c r="AI47" i="6"/>
  <c r="AJ47" i="6"/>
  <c r="AK47" i="6"/>
  <c r="AL47" i="6"/>
  <c r="AM47" i="6"/>
  <c r="AN47" i="6"/>
  <c r="AO47" i="6"/>
  <c r="AP47" i="6"/>
  <c r="AQ47" i="6"/>
  <c r="AR47" i="6"/>
  <c r="AS47" i="6"/>
  <c r="AT47" i="6"/>
  <c r="AU47" i="6"/>
  <c r="AX47" i="6"/>
  <c r="AY47" i="6"/>
  <c r="AZ47" i="6"/>
  <c r="BA47" i="6"/>
  <c r="BB47" i="6"/>
  <c r="BC47" i="6"/>
  <c r="BD47" i="6"/>
  <c r="BE47" i="6"/>
  <c r="BF47" i="6"/>
  <c r="BG47" i="6"/>
  <c r="BH47" i="6"/>
  <c r="BI47" i="6"/>
  <c r="BJ47" i="6"/>
  <c r="BK47" i="6"/>
  <c r="BL47" i="6"/>
  <c r="BM47" i="6"/>
  <c r="BN47" i="6"/>
  <c r="BO47" i="6"/>
  <c r="BP47" i="6"/>
  <c r="BR47" i="6" l="1"/>
  <c r="T6" i="6"/>
  <c r="Z95" i="6" l="1"/>
  <c r="AC95" i="6"/>
  <c r="AD95" i="6"/>
  <c r="AE95" i="6"/>
  <c r="AF95" i="6"/>
  <c r="AG95" i="6"/>
  <c r="AH95" i="6"/>
  <c r="AI95" i="6"/>
  <c r="AJ95" i="6"/>
  <c r="AK95" i="6"/>
  <c r="AL95" i="6"/>
  <c r="AM95" i="6"/>
  <c r="AN95" i="6"/>
  <c r="AO95" i="6"/>
  <c r="AP95" i="6"/>
  <c r="AQ95" i="6"/>
  <c r="AR95" i="6"/>
  <c r="AS95" i="6"/>
  <c r="AT95" i="6"/>
  <c r="AU95" i="6"/>
  <c r="AX95" i="6"/>
  <c r="AY95" i="6"/>
  <c r="AZ95" i="6"/>
  <c r="BA95" i="6"/>
  <c r="BB95" i="6"/>
  <c r="BC95" i="6"/>
  <c r="BD95" i="6"/>
  <c r="BE95" i="6"/>
  <c r="BF95" i="6"/>
  <c r="BG95" i="6"/>
  <c r="BH95" i="6"/>
  <c r="BI95" i="6"/>
  <c r="BJ95" i="6"/>
  <c r="BK95" i="6"/>
  <c r="BL95" i="6"/>
  <c r="BM95" i="6"/>
  <c r="BN95" i="6"/>
  <c r="BO95" i="6"/>
  <c r="BP95" i="6"/>
  <c r="BR95" i="6" l="1"/>
  <c r="BP63" i="6"/>
  <c r="BO63" i="6"/>
  <c r="BN63" i="6"/>
  <c r="BM63" i="6"/>
  <c r="BL63" i="6"/>
  <c r="BK63" i="6"/>
  <c r="BJ63" i="6"/>
  <c r="BI63" i="6"/>
  <c r="BH63" i="6"/>
  <c r="BG63" i="6"/>
  <c r="BF63" i="6"/>
  <c r="BE63" i="6"/>
  <c r="BD63" i="6"/>
  <c r="BC63" i="6"/>
  <c r="BB63" i="6"/>
  <c r="BA63" i="6"/>
  <c r="AZ63" i="6"/>
  <c r="AY63" i="6"/>
  <c r="AX63" i="6"/>
  <c r="AU63" i="6"/>
  <c r="AT63" i="6"/>
  <c r="AS63" i="6"/>
  <c r="AR63" i="6"/>
  <c r="AQ63" i="6"/>
  <c r="AP63" i="6"/>
  <c r="AO63" i="6"/>
  <c r="AN63" i="6"/>
  <c r="AM63" i="6"/>
  <c r="AL63" i="6"/>
  <c r="AK63" i="6"/>
  <c r="AJ63" i="6"/>
  <c r="AI63" i="6"/>
  <c r="AH63" i="6"/>
  <c r="AG63" i="6"/>
  <c r="AF63" i="6"/>
  <c r="AE63" i="6"/>
  <c r="AD63" i="6"/>
  <c r="AC63" i="6"/>
  <c r="Z63" i="6"/>
  <c r="BR63" i="6" l="1"/>
  <c r="BG7" i="6"/>
  <c r="Z74" i="6" l="1"/>
  <c r="AC74" i="6"/>
  <c r="AD74" i="6"/>
  <c r="AE74" i="6"/>
  <c r="AF74" i="6"/>
  <c r="AG74" i="6"/>
  <c r="AH74" i="6"/>
  <c r="AI74" i="6"/>
  <c r="AJ74" i="6"/>
  <c r="AK74" i="6"/>
  <c r="AL74" i="6"/>
  <c r="AM74" i="6"/>
  <c r="AN74" i="6"/>
  <c r="AO74" i="6"/>
  <c r="AP74" i="6"/>
  <c r="AQ74" i="6"/>
  <c r="AR74" i="6"/>
  <c r="AS74" i="6"/>
  <c r="AT74" i="6"/>
  <c r="AU74" i="6"/>
  <c r="AX74" i="6"/>
  <c r="AY74" i="6"/>
  <c r="AZ74" i="6"/>
  <c r="BA74" i="6"/>
  <c r="BB74" i="6"/>
  <c r="BC74" i="6"/>
  <c r="BD74" i="6"/>
  <c r="BE74" i="6"/>
  <c r="BF74" i="6"/>
  <c r="BG74" i="6"/>
  <c r="BH74" i="6"/>
  <c r="BI74" i="6"/>
  <c r="BJ74" i="6"/>
  <c r="BK74" i="6"/>
  <c r="BL74" i="6"/>
  <c r="BM74" i="6"/>
  <c r="BN74" i="6"/>
  <c r="BO74" i="6"/>
  <c r="BP74" i="6"/>
  <c r="BC158" i="6"/>
  <c r="BD158" i="6"/>
  <c r="BE158" i="6"/>
  <c r="BF158" i="6"/>
  <c r="BG158" i="6"/>
  <c r="BB158" i="6"/>
  <c r="BA158" i="6"/>
  <c r="AC158" i="6"/>
  <c r="AD158" i="6"/>
  <c r="AE158" i="6"/>
  <c r="AF158" i="6"/>
  <c r="AG158" i="6"/>
  <c r="AH158" i="6"/>
  <c r="AI158" i="6"/>
  <c r="AJ158" i="6"/>
  <c r="AK158" i="6"/>
  <c r="AL158" i="6"/>
  <c r="AM158" i="6"/>
  <c r="AN158" i="6"/>
  <c r="AO158" i="6"/>
  <c r="AP158" i="6"/>
  <c r="AR158" i="6"/>
  <c r="AS158" i="6"/>
  <c r="AT158" i="6"/>
  <c r="AX158" i="6"/>
  <c r="AY158" i="6"/>
  <c r="AZ158" i="6"/>
  <c r="BR158" i="6" l="1"/>
  <c r="BR74" i="6"/>
  <c r="AK10" i="6" l="1"/>
  <c r="AK29" i="6"/>
  <c r="AK4" i="6"/>
  <c r="F39" i="2" l="1"/>
  <c r="G39" i="2"/>
  <c r="D23" i="2"/>
  <c r="BN149" i="6" l="1"/>
  <c r="AX149" i="6"/>
  <c r="AC149" i="6"/>
  <c r="AD149" i="6"/>
  <c r="AE149" i="6"/>
  <c r="AF149" i="6"/>
  <c r="AG149" i="6"/>
  <c r="AH149" i="6"/>
  <c r="AI149" i="6"/>
  <c r="AJ149" i="6"/>
  <c r="AK149" i="6"/>
  <c r="AL149" i="6"/>
  <c r="AM149" i="6"/>
  <c r="AN149" i="6"/>
  <c r="AO149" i="6"/>
  <c r="AR149" i="6"/>
  <c r="AS149" i="6"/>
  <c r="AT149" i="6"/>
  <c r="AU149" i="6"/>
  <c r="AY149" i="6"/>
  <c r="AZ149" i="6"/>
  <c r="BA149" i="6"/>
  <c r="BB149" i="6"/>
  <c r="BC149" i="6"/>
  <c r="BD149" i="6"/>
  <c r="BE149" i="6"/>
  <c r="BF149" i="6"/>
  <c r="BG149" i="6"/>
  <c r="BH149" i="6"/>
  <c r="BO149" i="6"/>
  <c r="BP149" i="6"/>
  <c r="Z34" i="6"/>
  <c r="BR149" i="6" l="1"/>
  <c r="BA128" i="6"/>
  <c r="BH136" i="6"/>
  <c r="BI136" i="6"/>
  <c r="BJ136" i="6"/>
  <c r="BK136" i="6"/>
  <c r="BL136" i="6"/>
  <c r="BM136" i="6"/>
  <c r="BN136" i="6"/>
  <c r="BO136" i="6"/>
  <c r="BP136" i="6"/>
  <c r="P86" i="6" l="1"/>
  <c r="Z97" i="6"/>
  <c r="AC97" i="6"/>
  <c r="AD97" i="6"/>
  <c r="AE97" i="6"/>
  <c r="AF97" i="6"/>
  <c r="AG97" i="6"/>
  <c r="AH97" i="6"/>
  <c r="AI97" i="6"/>
  <c r="AJ97" i="6"/>
  <c r="AK97" i="6"/>
  <c r="AL97" i="6"/>
  <c r="AM97" i="6"/>
  <c r="AN97" i="6"/>
  <c r="AO97" i="6"/>
  <c r="AP97" i="6"/>
  <c r="AQ97" i="6"/>
  <c r="AR97" i="6"/>
  <c r="AS97" i="6"/>
  <c r="AT97" i="6"/>
  <c r="AU97" i="6"/>
  <c r="AX97" i="6"/>
  <c r="AY97" i="6"/>
  <c r="AZ97" i="6"/>
  <c r="BA97" i="6"/>
  <c r="BB97" i="6"/>
  <c r="BC97" i="6"/>
  <c r="BD97" i="6"/>
  <c r="BE97" i="6"/>
  <c r="BF97" i="6"/>
  <c r="BG97" i="6"/>
  <c r="BI97" i="6"/>
  <c r="BJ97" i="6"/>
  <c r="BK97" i="6"/>
  <c r="BM97" i="6"/>
  <c r="BN97" i="6"/>
  <c r="BO97" i="6"/>
  <c r="BP97" i="6"/>
  <c r="Z96" i="6"/>
  <c r="AC96" i="6"/>
  <c r="AD96" i="6"/>
  <c r="AE96" i="6"/>
  <c r="AF96" i="6"/>
  <c r="AG96" i="6"/>
  <c r="AH96" i="6"/>
  <c r="AI96" i="6"/>
  <c r="AJ96" i="6"/>
  <c r="AK96" i="6"/>
  <c r="AL96" i="6"/>
  <c r="AM96" i="6"/>
  <c r="AN96" i="6"/>
  <c r="AO96" i="6"/>
  <c r="AP96" i="6"/>
  <c r="AQ96" i="6"/>
  <c r="AR96" i="6"/>
  <c r="AS96" i="6"/>
  <c r="AT96" i="6"/>
  <c r="AU96" i="6"/>
  <c r="AX96" i="6"/>
  <c r="AY96" i="6"/>
  <c r="AZ96" i="6"/>
  <c r="BA96" i="6"/>
  <c r="BB96" i="6"/>
  <c r="BC96" i="6"/>
  <c r="BD96" i="6"/>
  <c r="BE96" i="6"/>
  <c r="BF96" i="6"/>
  <c r="BG96" i="6"/>
  <c r="BI96" i="6"/>
  <c r="BJ96" i="6"/>
  <c r="BK96" i="6"/>
  <c r="BM96" i="6"/>
  <c r="BN96" i="6"/>
  <c r="BO96" i="6"/>
  <c r="BP96" i="6"/>
  <c r="P92" i="6"/>
  <c r="BR97" i="6" l="1"/>
  <c r="BR96" i="6"/>
  <c r="Z92" i="6"/>
  <c r="AC92" i="6"/>
  <c r="AD92" i="6"/>
  <c r="AE92" i="6"/>
  <c r="AF92" i="6"/>
  <c r="AG92" i="6"/>
  <c r="AH92" i="6"/>
  <c r="AI92" i="6"/>
  <c r="AJ92" i="6"/>
  <c r="AK92" i="6"/>
  <c r="AL92" i="6"/>
  <c r="AM92" i="6"/>
  <c r="AO92" i="6"/>
  <c r="AP92" i="6"/>
  <c r="AQ92" i="6"/>
  <c r="AR92" i="6"/>
  <c r="AS92" i="6"/>
  <c r="AT92" i="6"/>
  <c r="AU92" i="6"/>
  <c r="AX92" i="6"/>
  <c r="AY92" i="6"/>
  <c r="AZ92" i="6"/>
  <c r="BA92" i="6"/>
  <c r="BB92" i="6"/>
  <c r="BC92" i="6"/>
  <c r="BD92" i="6"/>
  <c r="BE92" i="6"/>
  <c r="BF92" i="6"/>
  <c r="BG92" i="6"/>
  <c r="BH92" i="6"/>
  <c r="BI92" i="6"/>
  <c r="BJ92" i="6"/>
  <c r="BK92" i="6"/>
  <c r="BL92" i="6"/>
  <c r="BM92" i="6"/>
  <c r="BN92" i="6"/>
  <c r="BO92" i="6"/>
  <c r="BP92" i="6"/>
  <c r="Z69" i="6"/>
  <c r="AC69" i="6"/>
  <c r="AD69" i="6"/>
  <c r="AE69" i="6"/>
  <c r="AF69" i="6"/>
  <c r="AG69" i="6"/>
  <c r="AH69" i="6"/>
  <c r="AI69" i="6"/>
  <c r="AJ69" i="6"/>
  <c r="AK69" i="6"/>
  <c r="AL69" i="6"/>
  <c r="AM69" i="6"/>
  <c r="AN69" i="6"/>
  <c r="AO69" i="6"/>
  <c r="AP69" i="6"/>
  <c r="AQ69" i="6"/>
  <c r="AR69" i="6"/>
  <c r="AS69" i="6"/>
  <c r="AT69" i="6"/>
  <c r="AU69" i="6"/>
  <c r="AX69" i="6"/>
  <c r="AY69" i="6"/>
  <c r="AZ69" i="6"/>
  <c r="BA69" i="6"/>
  <c r="BB69" i="6"/>
  <c r="BC69" i="6"/>
  <c r="BD69" i="6"/>
  <c r="BE69" i="6"/>
  <c r="BF69" i="6"/>
  <c r="BG69" i="6"/>
  <c r="BH69" i="6"/>
  <c r="BI69" i="6"/>
  <c r="BJ69" i="6"/>
  <c r="BK69" i="6"/>
  <c r="BL69" i="6"/>
  <c r="BM69" i="6"/>
  <c r="BN69" i="6"/>
  <c r="BO69" i="6"/>
  <c r="BP69" i="6"/>
  <c r="BR69" i="6" l="1"/>
  <c r="AN92" i="6"/>
  <c r="BR92" i="6" s="1"/>
  <c r="Z45" i="6"/>
  <c r="AC45" i="6"/>
  <c r="AD45" i="6"/>
  <c r="AE45" i="6"/>
  <c r="AF45" i="6"/>
  <c r="AG45" i="6"/>
  <c r="AH45" i="6"/>
  <c r="AI45" i="6"/>
  <c r="AJ45" i="6"/>
  <c r="AK45" i="6"/>
  <c r="AL45" i="6"/>
  <c r="AM45" i="6"/>
  <c r="AN45" i="6"/>
  <c r="AO45" i="6"/>
  <c r="AP45" i="6"/>
  <c r="AQ45" i="6"/>
  <c r="AR45" i="6"/>
  <c r="AS45" i="6"/>
  <c r="AT45" i="6"/>
  <c r="AU45" i="6"/>
  <c r="AX45" i="6"/>
  <c r="AY45" i="6"/>
  <c r="AZ45" i="6"/>
  <c r="BA45" i="6"/>
  <c r="BB45" i="6"/>
  <c r="BC45" i="6"/>
  <c r="BD45" i="6"/>
  <c r="BE45" i="6"/>
  <c r="BF45" i="6"/>
  <c r="BG45" i="6"/>
  <c r="BH45" i="6"/>
  <c r="BI45" i="6"/>
  <c r="BJ45" i="6"/>
  <c r="BK45" i="6"/>
  <c r="BL45" i="6"/>
  <c r="BM45" i="6"/>
  <c r="BN45" i="6"/>
  <c r="BO45" i="6"/>
  <c r="BP45" i="6"/>
  <c r="BR45" i="6" l="1"/>
  <c r="Z46" i="6"/>
  <c r="AC46" i="6"/>
  <c r="AD46" i="6"/>
  <c r="AE46" i="6"/>
  <c r="AF46" i="6"/>
  <c r="AG46" i="6"/>
  <c r="AH46" i="6"/>
  <c r="AI46" i="6"/>
  <c r="AJ46" i="6"/>
  <c r="AK46" i="6"/>
  <c r="AL46" i="6"/>
  <c r="AM46" i="6"/>
  <c r="AN46" i="6"/>
  <c r="AO46" i="6"/>
  <c r="AP46" i="6"/>
  <c r="AQ46" i="6"/>
  <c r="AR46" i="6"/>
  <c r="AS46" i="6"/>
  <c r="AT46" i="6"/>
  <c r="AU46" i="6"/>
  <c r="AX46" i="6"/>
  <c r="AY46" i="6"/>
  <c r="AZ46" i="6"/>
  <c r="BA46" i="6"/>
  <c r="BB46" i="6"/>
  <c r="BC46" i="6"/>
  <c r="BD46" i="6"/>
  <c r="BE46" i="6"/>
  <c r="BF46" i="6"/>
  <c r="BG46" i="6"/>
  <c r="BH46" i="6"/>
  <c r="BI46" i="6"/>
  <c r="BJ46" i="6"/>
  <c r="BK46" i="6"/>
  <c r="BL46" i="6"/>
  <c r="BM46" i="6"/>
  <c r="BN46" i="6"/>
  <c r="BO46" i="6"/>
  <c r="BP46" i="6"/>
  <c r="Z50" i="6"/>
  <c r="AC50" i="6"/>
  <c r="AD50" i="6"/>
  <c r="AE50" i="6"/>
  <c r="AF50" i="6"/>
  <c r="AG50" i="6"/>
  <c r="AH50" i="6"/>
  <c r="AI50" i="6"/>
  <c r="AJ50" i="6"/>
  <c r="AK50" i="6"/>
  <c r="AL50" i="6"/>
  <c r="AM50" i="6"/>
  <c r="AN50" i="6"/>
  <c r="AO50" i="6"/>
  <c r="AP50" i="6"/>
  <c r="AQ50" i="6"/>
  <c r="AR50" i="6"/>
  <c r="AS50" i="6"/>
  <c r="AT50" i="6"/>
  <c r="AU50" i="6"/>
  <c r="AX50" i="6"/>
  <c r="AY50" i="6"/>
  <c r="AZ50" i="6"/>
  <c r="BA50" i="6"/>
  <c r="BB50" i="6"/>
  <c r="BC50" i="6"/>
  <c r="BD50" i="6"/>
  <c r="BE50" i="6"/>
  <c r="BF50" i="6"/>
  <c r="BG50" i="6"/>
  <c r="BI50" i="6"/>
  <c r="BJ50" i="6"/>
  <c r="BK50" i="6"/>
  <c r="BM50" i="6"/>
  <c r="BN50" i="6"/>
  <c r="BO50" i="6"/>
  <c r="BP50" i="6"/>
  <c r="Z44" i="6"/>
  <c r="AC44" i="6"/>
  <c r="AD44" i="6"/>
  <c r="AE44" i="6"/>
  <c r="AF44" i="6"/>
  <c r="AG44" i="6"/>
  <c r="AH44" i="6"/>
  <c r="AI44" i="6"/>
  <c r="AJ44" i="6"/>
  <c r="AK44" i="6"/>
  <c r="AL44" i="6"/>
  <c r="AM44" i="6"/>
  <c r="AN44" i="6"/>
  <c r="AO44" i="6"/>
  <c r="AP44" i="6"/>
  <c r="AQ44" i="6"/>
  <c r="AR44" i="6"/>
  <c r="AS44" i="6"/>
  <c r="AT44" i="6"/>
  <c r="AU44" i="6"/>
  <c r="AX44" i="6"/>
  <c r="AY44" i="6"/>
  <c r="AZ44" i="6"/>
  <c r="BA44" i="6"/>
  <c r="BB44" i="6"/>
  <c r="BC44" i="6"/>
  <c r="BD44" i="6"/>
  <c r="BE44" i="6"/>
  <c r="BF44" i="6"/>
  <c r="BG44" i="6"/>
  <c r="BI44" i="6"/>
  <c r="BJ44" i="6"/>
  <c r="BL44" i="6"/>
  <c r="BM44" i="6"/>
  <c r="BN44" i="6"/>
  <c r="BO44" i="6"/>
  <c r="BP44" i="6"/>
  <c r="BR50" i="6" l="1"/>
  <c r="BR46" i="6"/>
  <c r="BR44" i="6"/>
  <c r="AL29" i="6"/>
  <c r="Z146" i="6" l="1"/>
  <c r="AC146" i="6"/>
  <c r="AD146" i="6"/>
  <c r="AE146" i="6"/>
  <c r="AF146" i="6"/>
  <c r="AG146" i="6"/>
  <c r="AH146" i="6"/>
  <c r="AI146" i="6"/>
  <c r="AJ146" i="6"/>
  <c r="AK146" i="6"/>
  <c r="AL146" i="6"/>
  <c r="AM146" i="6"/>
  <c r="AN146" i="6"/>
  <c r="AO146" i="6"/>
  <c r="AP146" i="6"/>
  <c r="AQ146" i="6"/>
  <c r="AR146" i="6"/>
  <c r="AS146" i="6"/>
  <c r="AT146" i="6"/>
  <c r="AU146" i="6"/>
  <c r="AX146" i="6"/>
  <c r="AY146" i="6"/>
  <c r="AZ146" i="6"/>
  <c r="BA146" i="6"/>
  <c r="BD146" i="6"/>
  <c r="BE146" i="6"/>
  <c r="BF146" i="6"/>
  <c r="BG146" i="6"/>
  <c r="BH146" i="6"/>
  <c r="BI146" i="6"/>
  <c r="BJ146" i="6"/>
  <c r="BK146" i="6"/>
  <c r="BL146" i="6"/>
  <c r="BM146" i="6"/>
  <c r="BN146" i="6"/>
  <c r="BO146" i="6"/>
  <c r="BP146" i="6"/>
  <c r="BR146" i="6" l="1"/>
  <c r="E37" i="4"/>
  <c r="BP156" i="6"/>
  <c r="BO156" i="6"/>
  <c r="BN156" i="6"/>
  <c r="BM156" i="6"/>
  <c r="BL156" i="6"/>
  <c r="BK156" i="6"/>
  <c r="BJ156" i="6"/>
  <c r="BI156" i="6"/>
  <c r="BH156" i="6"/>
  <c r="BG156" i="6"/>
  <c r="BF156" i="6"/>
  <c r="BE156" i="6"/>
  <c r="BD156" i="6"/>
  <c r="BC156" i="6"/>
  <c r="BB156" i="6"/>
  <c r="BA156" i="6"/>
  <c r="AZ156" i="6"/>
  <c r="AY156" i="6"/>
  <c r="AX156" i="6"/>
  <c r="AU156" i="6"/>
  <c r="AT156" i="6"/>
  <c r="AS156" i="6"/>
  <c r="AR156" i="6"/>
  <c r="AP156" i="6"/>
  <c r="AO156" i="6"/>
  <c r="AN156" i="6"/>
  <c r="AM156" i="6"/>
  <c r="AL156" i="6"/>
  <c r="AK156" i="6"/>
  <c r="AJ156" i="6"/>
  <c r="AI156" i="6"/>
  <c r="AH156" i="6"/>
  <c r="AG156" i="6"/>
  <c r="AF156" i="6"/>
  <c r="AE156" i="6"/>
  <c r="AD156" i="6"/>
  <c r="AC156" i="6"/>
  <c r="BR156" i="6" l="1"/>
  <c r="I34" i="4"/>
  <c r="AK136" i="6" l="1"/>
  <c r="D127" i="6" l="1"/>
  <c r="BM127" i="6"/>
  <c r="BN127" i="6"/>
  <c r="BO127" i="6"/>
  <c r="BP127" i="6"/>
  <c r="AZ151" i="6" l="1"/>
  <c r="BA151" i="6"/>
  <c r="BC151" i="6"/>
  <c r="BD151" i="6"/>
  <c r="BE151" i="6"/>
  <c r="BG151" i="6"/>
  <c r="BH151" i="6"/>
  <c r="BI151" i="6"/>
  <c r="Z93" i="6" l="1"/>
  <c r="AC93" i="6"/>
  <c r="AD93" i="6"/>
  <c r="AE93" i="6"/>
  <c r="AF93" i="6"/>
  <c r="AG93" i="6"/>
  <c r="AH93" i="6"/>
  <c r="AI93" i="6"/>
  <c r="AJ93" i="6"/>
  <c r="AK93" i="6"/>
  <c r="AL93" i="6"/>
  <c r="AM93" i="6"/>
  <c r="AN93" i="6"/>
  <c r="AO93" i="6"/>
  <c r="AP93" i="6"/>
  <c r="AQ93" i="6"/>
  <c r="AR93" i="6"/>
  <c r="AS93" i="6"/>
  <c r="AT93" i="6"/>
  <c r="AU93" i="6"/>
  <c r="AX93" i="6"/>
  <c r="AY93" i="6"/>
  <c r="AZ93" i="6"/>
  <c r="BA93" i="6"/>
  <c r="BB93" i="6"/>
  <c r="BC93" i="6"/>
  <c r="BD93" i="6"/>
  <c r="BE93" i="6"/>
  <c r="BF93" i="6"/>
  <c r="BG93" i="6"/>
  <c r="BH93" i="6"/>
  <c r="BI93" i="6"/>
  <c r="BJ93" i="6"/>
  <c r="BK93" i="6"/>
  <c r="BL93" i="6"/>
  <c r="BM93" i="6"/>
  <c r="BN93" i="6"/>
  <c r="BO93" i="6"/>
  <c r="BP93" i="6"/>
  <c r="AK104" i="6"/>
  <c r="Q78" i="6"/>
  <c r="BR93" i="6" l="1"/>
  <c r="Z98" i="6"/>
  <c r="AC98" i="6"/>
  <c r="AD98" i="6"/>
  <c r="AE98" i="6"/>
  <c r="AF98" i="6"/>
  <c r="AG98" i="6"/>
  <c r="AH98" i="6"/>
  <c r="AI98" i="6"/>
  <c r="AJ98" i="6"/>
  <c r="AK98" i="6"/>
  <c r="AL98" i="6"/>
  <c r="AM98" i="6"/>
  <c r="AN98" i="6"/>
  <c r="AO98" i="6"/>
  <c r="AP98" i="6"/>
  <c r="AQ98" i="6"/>
  <c r="AR98" i="6"/>
  <c r="AS98" i="6"/>
  <c r="AT98" i="6"/>
  <c r="AU98" i="6"/>
  <c r="AX98" i="6"/>
  <c r="AY98" i="6"/>
  <c r="AZ98" i="6"/>
  <c r="BA98" i="6"/>
  <c r="BB98" i="6"/>
  <c r="BC98" i="6"/>
  <c r="BD98" i="6"/>
  <c r="BE98" i="6"/>
  <c r="BF98" i="6"/>
  <c r="BG98" i="6"/>
  <c r="BH98" i="6"/>
  <c r="BI98" i="6"/>
  <c r="BJ98" i="6"/>
  <c r="BK98" i="6"/>
  <c r="BL98" i="6"/>
  <c r="BM98" i="6"/>
  <c r="BN98" i="6"/>
  <c r="BO98" i="6"/>
  <c r="BP98" i="6"/>
  <c r="S67" i="6"/>
  <c r="P36" i="6"/>
  <c r="P194" i="6" s="1"/>
  <c r="BR98" i="6" l="1"/>
  <c r="AR162" i="6"/>
  <c r="AT162" i="6"/>
  <c r="I39" i="1" l="1"/>
  <c r="J39" i="1"/>
  <c r="K39" i="1"/>
  <c r="I46" i="1"/>
  <c r="J46" i="1"/>
  <c r="K46" i="1"/>
  <c r="BP161" i="6"/>
  <c r="BP160" i="6"/>
  <c r="K23" i="1"/>
  <c r="BP145" i="6"/>
  <c r="BO161" i="6"/>
  <c r="BO160" i="6"/>
  <c r="BO145" i="6"/>
  <c r="BN161" i="6"/>
  <c r="BN160" i="6"/>
  <c r="BN145" i="6"/>
  <c r="I23" i="1" l="1"/>
  <c r="J23" i="1"/>
  <c r="Z6" i="6" l="1"/>
  <c r="Z7" i="6"/>
  <c r="Z8" i="6"/>
  <c r="Z9" i="6"/>
  <c r="Z10" i="6"/>
  <c r="Z26" i="6"/>
  <c r="Z18" i="6"/>
  <c r="Z20" i="6"/>
  <c r="Z21" i="6"/>
  <c r="Z17" i="6"/>
  <c r="Z29" i="6"/>
  <c r="Z30" i="6"/>
  <c r="Z31" i="6"/>
  <c r="Z32" i="6"/>
  <c r="Z36" i="6"/>
  <c r="Z43" i="6"/>
  <c r="Z37" i="6"/>
  <c r="Z38" i="6"/>
  <c r="Z33" i="6"/>
  <c r="Z39" i="6"/>
  <c r="Z40" i="6"/>
  <c r="Z41" i="6"/>
  <c r="Z42" i="6"/>
  <c r="Z35" i="6"/>
  <c r="Z67" i="6"/>
  <c r="Z64" i="6"/>
  <c r="Z68" i="6"/>
  <c r="Z73" i="6"/>
  <c r="Z70" i="6"/>
  <c r="Z76" i="6"/>
  <c r="Z72" i="6"/>
  <c r="Z66" i="6"/>
  <c r="Z81" i="6"/>
  <c r="Z85" i="6"/>
  <c r="Z86" i="6"/>
  <c r="Z87" i="6"/>
  <c r="Z88" i="6"/>
  <c r="Z79" i="6"/>
  <c r="Z80" i="6"/>
  <c r="Z77" i="6"/>
  <c r="Z78" i="6"/>
  <c r="Z91" i="6"/>
  <c r="Z82" i="6"/>
  <c r="Z83" i="6"/>
  <c r="Z84" i="6"/>
  <c r="Z89" i="6"/>
  <c r="Z90" i="6"/>
  <c r="Z104" i="6"/>
  <c r="Z105" i="6"/>
  <c r="Z110" i="6"/>
  <c r="Z121" i="6"/>
  <c r="Z5" i="6"/>
  <c r="AC7" i="6"/>
  <c r="AD7" i="6"/>
  <c r="AE7" i="6"/>
  <c r="AF7" i="6"/>
  <c r="AG7" i="6"/>
  <c r="AH7" i="6"/>
  <c r="AI7" i="6"/>
  <c r="AJ7" i="6"/>
  <c r="AK7" i="6"/>
  <c r="AL7" i="6"/>
  <c r="AM7" i="6"/>
  <c r="AN7" i="6"/>
  <c r="AO7" i="6"/>
  <c r="AP7" i="6"/>
  <c r="AQ7" i="6"/>
  <c r="AR7" i="6"/>
  <c r="AS7" i="6"/>
  <c r="AT7" i="6"/>
  <c r="AU7" i="6"/>
  <c r="AX7" i="6"/>
  <c r="AY7" i="6"/>
  <c r="AZ7" i="6"/>
  <c r="BA7" i="6"/>
  <c r="BB7" i="6"/>
  <c r="BC7" i="6"/>
  <c r="BD7" i="6"/>
  <c r="BE7" i="6"/>
  <c r="BF7" i="6"/>
  <c r="BH7" i="6"/>
  <c r="BI7" i="6"/>
  <c r="BJ7" i="6"/>
  <c r="BK7" i="6"/>
  <c r="BL7" i="6"/>
  <c r="BM7" i="6"/>
  <c r="BN7" i="6"/>
  <c r="BO7" i="6"/>
  <c r="BP7" i="6"/>
  <c r="AE8" i="6"/>
  <c r="AC8" i="6"/>
  <c r="AD8" i="6"/>
  <c r="AF8" i="6"/>
  <c r="AG8" i="6"/>
  <c r="AH8" i="6"/>
  <c r="AJ8" i="6"/>
  <c r="AK8" i="6"/>
  <c r="AL8" i="6"/>
  <c r="AN8" i="6"/>
  <c r="AO8" i="6"/>
  <c r="AP8" i="6"/>
  <c r="AR8" i="6"/>
  <c r="AS8" i="6"/>
  <c r="AT8" i="6"/>
  <c r="AX8" i="6"/>
  <c r="AY8" i="6"/>
  <c r="AZ8" i="6"/>
  <c r="BA8" i="6"/>
  <c r="BB8" i="6"/>
  <c r="BC8" i="6"/>
  <c r="BD8" i="6"/>
  <c r="BE8" i="6"/>
  <c r="BF8" i="6"/>
  <c r="BG8" i="6"/>
  <c r="BH8" i="6"/>
  <c r="BI8" i="6"/>
  <c r="BJ8" i="6"/>
  <c r="BK8" i="6"/>
  <c r="BL8" i="6"/>
  <c r="BM8" i="6"/>
  <c r="BN8" i="6"/>
  <c r="BO8" i="6"/>
  <c r="BP8" i="6"/>
  <c r="BR7" i="6" l="1"/>
  <c r="AU8" i="6"/>
  <c r="AQ8" i="6"/>
  <c r="AM8" i="6"/>
  <c r="AI8" i="6"/>
  <c r="BR8" i="6" l="1"/>
  <c r="AC105" i="6"/>
  <c r="AD105" i="6"/>
  <c r="AE105" i="6"/>
  <c r="AF105" i="6"/>
  <c r="AG105" i="6"/>
  <c r="AH105" i="6"/>
  <c r="AI105" i="6"/>
  <c r="AJ105" i="6"/>
  <c r="AK105" i="6"/>
  <c r="AL105" i="6"/>
  <c r="AM105" i="6"/>
  <c r="AN105" i="6"/>
  <c r="AO105" i="6"/>
  <c r="AP105" i="6"/>
  <c r="AQ105" i="6"/>
  <c r="AR105" i="6"/>
  <c r="AS105" i="6"/>
  <c r="AT105" i="6"/>
  <c r="AU105" i="6"/>
  <c r="AX105" i="6"/>
  <c r="AY105" i="6"/>
  <c r="AZ105" i="6"/>
  <c r="BA105" i="6"/>
  <c r="BB105" i="6"/>
  <c r="BC105" i="6"/>
  <c r="BD105" i="6"/>
  <c r="BE105" i="6"/>
  <c r="BF105" i="6"/>
  <c r="BG105" i="6"/>
  <c r="BH105" i="6"/>
  <c r="BI105" i="6"/>
  <c r="BJ105" i="6"/>
  <c r="BK105" i="6"/>
  <c r="BL105" i="6"/>
  <c r="BM105" i="6"/>
  <c r="BN105" i="6"/>
  <c r="BO105" i="6"/>
  <c r="BP105" i="6"/>
  <c r="AC110" i="6"/>
  <c r="AD110" i="6"/>
  <c r="AE110" i="6"/>
  <c r="AF110" i="6"/>
  <c r="AG110" i="6"/>
  <c r="AH110" i="6"/>
  <c r="AI110" i="6"/>
  <c r="AJ110" i="6"/>
  <c r="AK110" i="6"/>
  <c r="AL110" i="6"/>
  <c r="AM110" i="6"/>
  <c r="AN110" i="6"/>
  <c r="AO110" i="6"/>
  <c r="AP110" i="6"/>
  <c r="AQ110" i="6"/>
  <c r="AR110" i="6"/>
  <c r="AS110" i="6"/>
  <c r="AT110" i="6"/>
  <c r="AU110" i="6"/>
  <c r="AX110" i="6"/>
  <c r="AY110" i="6"/>
  <c r="AZ110" i="6"/>
  <c r="BA110" i="6"/>
  <c r="BB110" i="6"/>
  <c r="BC110" i="6"/>
  <c r="BD110" i="6"/>
  <c r="BE110" i="6"/>
  <c r="BF110" i="6"/>
  <c r="BG110" i="6"/>
  <c r="BH110" i="6"/>
  <c r="BI110" i="6"/>
  <c r="BJ110" i="6"/>
  <c r="BK110" i="6"/>
  <c r="BL110" i="6"/>
  <c r="BM110" i="6"/>
  <c r="BN110" i="6"/>
  <c r="BO110" i="6"/>
  <c r="BP110" i="6"/>
  <c r="AC121" i="6"/>
  <c r="AD121" i="6"/>
  <c r="AE121" i="6"/>
  <c r="AF121" i="6"/>
  <c r="AG121" i="6"/>
  <c r="AH121" i="6"/>
  <c r="AI121" i="6"/>
  <c r="AJ121" i="6"/>
  <c r="AK121" i="6"/>
  <c r="AL121" i="6"/>
  <c r="AM121" i="6"/>
  <c r="AN121" i="6"/>
  <c r="AO121" i="6"/>
  <c r="AP121" i="6"/>
  <c r="AQ121" i="6"/>
  <c r="AR121" i="6"/>
  <c r="AS121" i="6"/>
  <c r="AT121" i="6"/>
  <c r="AU121" i="6"/>
  <c r="AX121" i="6"/>
  <c r="AY121" i="6"/>
  <c r="AZ121" i="6"/>
  <c r="BA121" i="6"/>
  <c r="BB121" i="6"/>
  <c r="BC121" i="6"/>
  <c r="BD121" i="6"/>
  <c r="BE121" i="6"/>
  <c r="BF121" i="6"/>
  <c r="BG121" i="6"/>
  <c r="BH121" i="6"/>
  <c r="BI121" i="6"/>
  <c r="BJ121" i="6"/>
  <c r="BK121" i="6"/>
  <c r="BL121" i="6"/>
  <c r="BM121" i="6"/>
  <c r="BN121" i="6"/>
  <c r="BO121" i="6"/>
  <c r="BP121" i="6"/>
  <c r="AC100" i="6"/>
  <c r="AD100" i="6"/>
  <c r="AE100" i="6"/>
  <c r="AF100" i="6"/>
  <c r="AG100" i="6"/>
  <c r="AH100" i="6"/>
  <c r="AI100" i="6"/>
  <c r="AJ100" i="6"/>
  <c r="AK100" i="6"/>
  <c r="AL100" i="6"/>
  <c r="AM100" i="6"/>
  <c r="AN100" i="6"/>
  <c r="AO100" i="6"/>
  <c r="AP100" i="6"/>
  <c r="AQ100" i="6"/>
  <c r="AR100" i="6"/>
  <c r="AS100" i="6"/>
  <c r="AT100" i="6"/>
  <c r="AU100" i="6"/>
  <c r="AX100" i="6"/>
  <c r="AY100" i="6"/>
  <c r="AZ100" i="6"/>
  <c r="BA100" i="6"/>
  <c r="BB100" i="6"/>
  <c r="BC100" i="6"/>
  <c r="BD100" i="6"/>
  <c r="BE100" i="6"/>
  <c r="BF100" i="6"/>
  <c r="BG100" i="6"/>
  <c r="BH100" i="6"/>
  <c r="BI100" i="6"/>
  <c r="BJ100" i="6"/>
  <c r="BK100" i="6"/>
  <c r="BL100" i="6"/>
  <c r="BM100" i="6"/>
  <c r="BN100" i="6"/>
  <c r="BO100" i="6"/>
  <c r="BP100" i="6"/>
  <c r="I40" i="1"/>
  <c r="J40" i="1"/>
  <c r="K40" i="1"/>
  <c r="AC104" i="6"/>
  <c r="AD104" i="6"/>
  <c r="AE104" i="6"/>
  <c r="AF104" i="6"/>
  <c r="AG104" i="6"/>
  <c r="AH104" i="6"/>
  <c r="AI104" i="6"/>
  <c r="AJ104" i="6"/>
  <c r="AL104" i="6"/>
  <c r="AM104" i="6"/>
  <c r="AN104" i="6"/>
  <c r="AO104" i="6"/>
  <c r="AP104" i="6"/>
  <c r="AQ104" i="6"/>
  <c r="AR104" i="6"/>
  <c r="AS104" i="6"/>
  <c r="AT104" i="6"/>
  <c r="AU104" i="6"/>
  <c r="AX104" i="6"/>
  <c r="AY104" i="6"/>
  <c r="AZ104" i="6"/>
  <c r="BA104" i="6"/>
  <c r="BB104" i="6"/>
  <c r="BC104" i="6"/>
  <c r="BD104" i="6"/>
  <c r="BE104" i="6"/>
  <c r="BF104" i="6"/>
  <c r="BG104" i="6"/>
  <c r="BH104" i="6"/>
  <c r="BI104" i="6"/>
  <c r="BJ104" i="6"/>
  <c r="BK104" i="6"/>
  <c r="BL104" i="6"/>
  <c r="BM104" i="6"/>
  <c r="BN104" i="6"/>
  <c r="BO104" i="6"/>
  <c r="BP104" i="6"/>
  <c r="AC43" i="6"/>
  <c r="AD43" i="6"/>
  <c r="AE43" i="6"/>
  <c r="AF43" i="6"/>
  <c r="AG43" i="6"/>
  <c r="AH43" i="6"/>
  <c r="AI43" i="6"/>
  <c r="AJ43" i="6"/>
  <c r="AK43" i="6"/>
  <c r="AL43" i="6"/>
  <c r="AM43" i="6"/>
  <c r="AN43" i="6"/>
  <c r="AO43" i="6"/>
  <c r="AP43" i="6"/>
  <c r="AQ43" i="6"/>
  <c r="AR43" i="6"/>
  <c r="AS43" i="6"/>
  <c r="AT43" i="6"/>
  <c r="AU43" i="6"/>
  <c r="AX43" i="6"/>
  <c r="AY43" i="6"/>
  <c r="AZ43" i="6"/>
  <c r="BA43" i="6"/>
  <c r="BB43" i="6"/>
  <c r="BC43" i="6"/>
  <c r="BD43" i="6"/>
  <c r="BE43" i="6"/>
  <c r="BF43" i="6"/>
  <c r="BG43" i="6"/>
  <c r="BI43" i="6"/>
  <c r="BJ43" i="6"/>
  <c r="BK43" i="6"/>
  <c r="BM43" i="6"/>
  <c r="BN43" i="6"/>
  <c r="BO43" i="6"/>
  <c r="BP43" i="6"/>
  <c r="BP20" i="6"/>
  <c r="BO20" i="6"/>
  <c r="BN20" i="6"/>
  <c r="BM20" i="6"/>
  <c r="BL20" i="6"/>
  <c r="BK20" i="6"/>
  <c r="BJ20" i="6"/>
  <c r="BI20" i="6"/>
  <c r="BH20" i="6"/>
  <c r="BG20" i="6"/>
  <c r="BF20" i="6"/>
  <c r="BE20" i="6"/>
  <c r="BD20" i="6"/>
  <c r="BC20" i="6"/>
  <c r="BB20" i="6"/>
  <c r="BA20" i="6"/>
  <c r="AZ20" i="6"/>
  <c r="AY20" i="6"/>
  <c r="AX20" i="6"/>
  <c r="AU20" i="6"/>
  <c r="AT20" i="6"/>
  <c r="AS20" i="6"/>
  <c r="AR20" i="6"/>
  <c r="AQ20" i="6"/>
  <c r="AP20" i="6"/>
  <c r="AO20" i="6"/>
  <c r="AN20" i="6"/>
  <c r="AM20" i="6"/>
  <c r="AL20" i="6"/>
  <c r="AK20" i="6"/>
  <c r="AJ20" i="6"/>
  <c r="AI20" i="6"/>
  <c r="AH20" i="6"/>
  <c r="AG20" i="6"/>
  <c r="AF20" i="6"/>
  <c r="AE20" i="6"/>
  <c r="AD20" i="6"/>
  <c r="AC20" i="6"/>
  <c r="AC18" i="6"/>
  <c r="AD18" i="6"/>
  <c r="AE18" i="6"/>
  <c r="AF18" i="6"/>
  <c r="AG18" i="6"/>
  <c r="AH18" i="6"/>
  <c r="AI18" i="6"/>
  <c r="AJ18" i="6"/>
  <c r="AK18" i="6"/>
  <c r="AL18" i="6"/>
  <c r="AM18" i="6"/>
  <c r="AN18" i="6"/>
  <c r="AO18" i="6"/>
  <c r="AP18" i="6"/>
  <c r="AQ18" i="6"/>
  <c r="AR18" i="6"/>
  <c r="AS18" i="6"/>
  <c r="AT18" i="6"/>
  <c r="AU18" i="6"/>
  <c r="AX18" i="6"/>
  <c r="AY18" i="6"/>
  <c r="AZ18" i="6"/>
  <c r="BA18" i="6"/>
  <c r="BB18" i="6"/>
  <c r="BC18" i="6"/>
  <c r="BD18" i="6"/>
  <c r="BE18" i="6"/>
  <c r="BF18" i="6"/>
  <c r="BG18" i="6"/>
  <c r="BH18" i="6"/>
  <c r="BI18" i="6"/>
  <c r="BJ18" i="6"/>
  <c r="BK18" i="6"/>
  <c r="BL18" i="6"/>
  <c r="BM18" i="6"/>
  <c r="BN18" i="6"/>
  <c r="BO18" i="6"/>
  <c r="BP18" i="6"/>
  <c r="BR100" i="6" l="1"/>
  <c r="BR121" i="6"/>
  <c r="BR43" i="6"/>
  <c r="BR104" i="6"/>
  <c r="BR110" i="6"/>
  <c r="BR18" i="6"/>
  <c r="BR20" i="6"/>
  <c r="BR105" i="6"/>
  <c r="I41" i="2"/>
  <c r="J41" i="2"/>
  <c r="K41" i="2"/>
  <c r="AS4" i="6"/>
  <c r="AT4" i="6"/>
  <c r="AU4" i="6"/>
  <c r="AS5" i="6"/>
  <c r="AT5" i="6"/>
  <c r="AU5" i="6"/>
  <c r="AS9" i="6"/>
  <c r="I20" i="2" s="1"/>
  <c r="AT9" i="6"/>
  <c r="J20" i="2" s="1"/>
  <c r="AU9" i="6"/>
  <c r="K20" i="2" s="1"/>
  <c r="AS10" i="6"/>
  <c r="AT10" i="6"/>
  <c r="AU10" i="6"/>
  <c r="AS21" i="6"/>
  <c r="AT21" i="6"/>
  <c r="AU21" i="6"/>
  <c r="AS17" i="6"/>
  <c r="AT17" i="6"/>
  <c r="AU17" i="6"/>
  <c r="AS29" i="6"/>
  <c r="I24" i="2" s="1"/>
  <c r="AT29" i="6"/>
  <c r="J24" i="2" s="1"/>
  <c r="AU29" i="6"/>
  <c r="K24" i="2" s="1"/>
  <c r="AS30" i="6"/>
  <c r="AT30" i="6"/>
  <c r="AU30" i="6"/>
  <c r="AS31" i="6"/>
  <c r="AT31" i="6"/>
  <c r="AU31" i="6"/>
  <c r="AS32" i="6"/>
  <c r="AT32" i="6"/>
  <c r="AU32" i="6"/>
  <c r="AS36" i="6"/>
  <c r="AT36" i="6"/>
  <c r="AU36" i="6"/>
  <c r="AS37" i="6"/>
  <c r="AT37" i="6"/>
  <c r="AU37" i="6"/>
  <c r="AS34" i="6"/>
  <c r="AT34" i="6"/>
  <c r="AU34" i="6"/>
  <c r="AS38" i="6"/>
  <c r="AT38" i="6"/>
  <c r="AU38" i="6"/>
  <c r="AS39" i="6"/>
  <c r="AT39" i="6"/>
  <c r="AU39" i="6"/>
  <c r="AS40" i="6"/>
  <c r="AT40" i="6"/>
  <c r="AU40" i="6"/>
  <c r="AS41" i="6"/>
  <c r="AT41" i="6"/>
  <c r="AU41" i="6"/>
  <c r="AS42" i="6"/>
  <c r="AT42" i="6"/>
  <c r="AU42" i="6"/>
  <c r="AS35" i="6"/>
  <c r="AT35" i="6"/>
  <c r="AU35" i="6"/>
  <c r="AS65" i="6"/>
  <c r="AT65" i="6"/>
  <c r="AU65" i="6"/>
  <c r="AS67" i="6"/>
  <c r="AT67" i="6"/>
  <c r="AU67" i="6"/>
  <c r="AS64" i="6"/>
  <c r="AT64" i="6"/>
  <c r="AU64" i="6"/>
  <c r="AS70" i="6"/>
  <c r="AT70" i="6"/>
  <c r="AU70" i="6"/>
  <c r="AS76" i="6"/>
  <c r="AT76" i="6"/>
  <c r="AU76" i="6"/>
  <c r="AS72" i="6"/>
  <c r="AT72" i="6"/>
  <c r="AU72" i="6"/>
  <c r="AS66" i="6"/>
  <c r="AT66" i="6"/>
  <c r="AU66" i="6"/>
  <c r="AS81" i="6"/>
  <c r="AT81" i="6"/>
  <c r="AU81" i="6"/>
  <c r="AS85" i="6"/>
  <c r="AT85" i="6"/>
  <c r="AU85" i="6"/>
  <c r="AS86" i="6"/>
  <c r="AT86" i="6"/>
  <c r="AU86" i="6"/>
  <c r="AS87" i="6"/>
  <c r="AT87" i="6"/>
  <c r="AU87" i="6"/>
  <c r="AS88" i="6"/>
  <c r="AT88" i="6"/>
  <c r="AU88" i="6"/>
  <c r="AS79" i="6"/>
  <c r="AT79" i="6"/>
  <c r="AU79" i="6"/>
  <c r="AS80" i="6"/>
  <c r="AT80" i="6"/>
  <c r="AU80" i="6"/>
  <c r="AS77" i="6"/>
  <c r="AT77" i="6"/>
  <c r="AU77" i="6"/>
  <c r="AS78" i="6"/>
  <c r="AT78" i="6"/>
  <c r="AU78" i="6"/>
  <c r="AS91" i="6"/>
  <c r="AT91" i="6"/>
  <c r="AU91" i="6"/>
  <c r="I42" i="2"/>
  <c r="J42" i="2"/>
  <c r="K42" i="2"/>
  <c r="AS82" i="6"/>
  <c r="AT82" i="6"/>
  <c r="AU82" i="6"/>
  <c r="AS89" i="6"/>
  <c r="AT89" i="6"/>
  <c r="AU89" i="6"/>
  <c r="AS90" i="6"/>
  <c r="AT90" i="6"/>
  <c r="AU90" i="6"/>
  <c r="AS122" i="6"/>
  <c r="I50" i="2" s="1"/>
  <c r="AT122" i="6"/>
  <c r="J50" i="2" s="1"/>
  <c r="AU122" i="6"/>
  <c r="K50" i="2" s="1"/>
  <c r="AS123" i="6"/>
  <c r="AT123" i="6"/>
  <c r="AU123" i="6"/>
  <c r="AS124" i="6"/>
  <c r="AT124" i="6"/>
  <c r="AU124" i="6"/>
  <c r="AS131" i="6"/>
  <c r="AT131" i="6"/>
  <c r="AU131" i="6"/>
  <c r="AS132" i="6"/>
  <c r="AT132" i="6"/>
  <c r="AU132" i="6"/>
  <c r="AS129" i="6"/>
  <c r="AT129" i="6"/>
  <c r="AU129" i="6"/>
  <c r="AS133" i="6"/>
  <c r="AT133" i="6"/>
  <c r="AU133" i="6"/>
  <c r="AS134" i="6"/>
  <c r="AT134" i="6"/>
  <c r="AU134" i="6"/>
  <c r="AS126" i="6"/>
  <c r="AT126" i="6"/>
  <c r="AS135" i="6"/>
  <c r="AT135" i="6"/>
  <c r="AU135" i="6"/>
  <c r="AS137" i="6"/>
  <c r="AT137" i="6"/>
  <c r="AU137" i="6"/>
  <c r="AS142" i="6"/>
  <c r="AT142" i="6"/>
  <c r="AU142" i="6"/>
  <c r="AS145" i="6"/>
  <c r="AT145" i="6"/>
  <c r="AU145" i="6"/>
  <c r="AS148" i="6"/>
  <c r="AT148" i="6"/>
  <c r="AU148" i="6"/>
  <c r="AS136" i="6"/>
  <c r="AT136" i="6"/>
  <c r="AU136" i="6"/>
  <c r="AS127" i="6"/>
  <c r="AT127" i="6"/>
  <c r="AS152" i="6"/>
  <c r="AT152" i="6"/>
  <c r="AU152" i="6"/>
  <c r="AS128" i="6"/>
  <c r="AT128" i="6"/>
  <c r="AS160" i="6"/>
  <c r="AT160" i="6"/>
  <c r="AU160" i="6"/>
  <c r="AS161" i="6"/>
  <c r="AT161" i="6"/>
  <c r="AU161" i="6"/>
  <c r="AS162" i="6"/>
  <c r="AU162" i="6"/>
  <c r="AS165" i="6"/>
  <c r="BN165" i="6" s="1"/>
  <c r="AT165" i="6"/>
  <c r="BO165" i="6" s="1"/>
  <c r="AU165" i="6"/>
  <c r="BP165" i="6" s="1"/>
  <c r="BN168" i="6"/>
  <c r="I47" i="1" s="1"/>
  <c r="BO168" i="6"/>
  <c r="J47" i="1" s="1"/>
  <c r="BP168" i="6"/>
  <c r="K47" i="1" s="1"/>
  <c r="BN4" i="6"/>
  <c r="BO4" i="6"/>
  <c r="BP4" i="6"/>
  <c r="BN5" i="6"/>
  <c r="BO5" i="6"/>
  <c r="BP5" i="6"/>
  <c r="BN6" i="6"/>
  <c r="BO6" i="6"/>
  <c r="BP6" i="6"/>
  <c r="BN9" i="6"/>
  <c r="I18" i="1" s="1"/>
  <c r="BO9" i="6"/>
  <c r="J18" i="1" s="1"/>
  <c r="BP9" i="6"/>
  <c r="K18" i="1" s="1"/>
  <c r="BN10" i="6"/>
  <c r="BO10" i="6"/>
  <c r="BP10" i="6"/>
  <c r="BN26" i="6"/>
  <c r="BO26" i="6"/>
  <c r="BP26" i="6"/>
  <c r="BN21" i="6"/>
  <c r="BO21" i="6"/>
  <c r="BP21" i="6"/>
  <c r="BN17" i="6"/>
  <c r="BO17" i="6"/>
  <c r="BP17" i="6"/>
  <c r="BN29" i="6"/>
  <c r="I22" i="1" s="1"/>
  <c r="BO29" i="6"/>
  <c r="J22" i="1" s="1"/>
  <c r="BP29" i="6"/>
  <c r="K22" i="1" s="1"/>
  <c r="BN30" i="6"/>
  <c r="BO30" i="6"/>
  <c r="BP30" i="6"/>
  <c r="BN31" i="6"/>
  <c r="BO31" i="6"/>
  <c r="BP31" i="6"/>
  <c r="BN32" i="6"/>
  <c r="BO32" i="6"/>
  <c r="BP32" i="6"/>
  <c r="BN36" i="6"/>
  <c r="BO36" i="6"/>
  <c r="BP36" i="6"/>
  <c r="BN37" i="6"/>
  <c r="BO37" i="6"/>
  <c r="BP37" i="6"/>
  <c r="BN34" i="6"/>
  <c r="BO34" i="6"/>
  <c r="BP34" i="6"/>
  <c r="BN38" i="6"/>
  <c r="BO38" i="6"/>
  <c r="BP38" i="6"/>
  <c r="BN33" i="6"/>
  <c r="BO33" i="6"/>
  <c r="BP33" i="6"/>
  <c r="BN39" i="6"/>
  <c r="BO39" i="6"/>
  <c r="BP39" i="6"/>
  <c r="BN40" i="6"/>
  <c r="BO40" i="6"/>
  <c r="BP40" i="6"/>
  <c r="BN41" i="6"/>
  <c r="BO41" i="6"/>
  <c r="BP41" i="6"/>
  <c r="BN42" i="6"/>
  <c r="BO42" i="6"/>
  <c r="BP42" i="6"/>
  <c r="BN35" i="6"/>
  <c r="BO35" i="6"/>
  <c r="BP35" i="6"/>
  <c r="BN65" i="6"/>
  <c r="BO65" i="6"/>
  <c r="BP65" i="6"/>
  <c r="BN67" i="6"/>
  <c r="BO67" i="6"/>
  <c r="BP67" i="6"/>
  <c r="BN64" i="6"/>
  <c r="BO64" i="6"/>
  <c r="BP64" i="6"/>
  <c r="BN68" i="6"/>
  <c r="BO68" i="6"/>
  <c r="BP68" i="6"/>
  <c r="BN73" i="6"/>
  <c r="BO73" i="6"/>
  <c r="BP73" i="6"/>
  <c r="BN70" i="6"/>
  <c r="BO70" i="6"/>
  <c r="BP70" i="6"/>
  <c r="BN76" i="6"/>
  <c r="BO76" i="6"/>
  <c r="BP76" i="6"/>
  <c r="BN72" i="6"/>
  <c r="BO72" i="6"/>
  <c r="BP72" i="6"/>
  <c r="BN66" i="6"/>
  <c r="BO66" i="6"/>
  <c r="BP66" i="6"/>
  <c r="BN81" i="6"/>
  <c r="BO81" i="6"/>
  <c r="BP81" i="6"/>
  <c r="BN85" i="6"/>
  <c r="BO85" i="6"/>
  <c r="BP85" i="6"/>
  <c r="BN86" i="6"/>
  <c r="BO86" i="6"/>
  <c r="BP86" i="6"/>
  <c r="BN87" i="6"/>
  <c r="BO87" i="6"/>
  <c r="BP87" i="6"/>
  <c r="BN88" i="6"/>
  <c r="BO88" i="6"/>
  <c r="BP88" i="6"/>
  <c r="BN79" i="6"/>
  <c r="BO79" i="6"/>
  <c r="BP79" i="6"/>
  <c r="BN80" i="6"/>
  <c r="BO80" i="6"/>
  <c r="BP80" i="6"/>
  <c r="BN77" i="6"/>
  <c r="BO77" i="6"/>
  <c r="BP77" i="6"/>
  <c r="BN78" i="6"/>
  <c r="BO78" i="6"/>
  <c r="BP78" i="6"/>
  <c r="BN91" i="6"/>
  <c r="BO91" i="6"/>
  <c r="BP91" i="6"/>
  <c r="BN82" i="6"/>
  <c r="BO82" i="6"/>
  <c r="BP82" i="6"/>
  <c r="BN83" i="6"/>
  <c r="BO83" i="6"/>
  <c r="BP83" i="6"/>
  <c r="BN84" i="6"/>
  <c r="BO84" i="6"/>
  <c r="BP84" i="6"/>
  <c r="BN89" i="6"/>
  <c r="BO89" i="6"/>
  <c r="BP89" i="6"/>
  <c r="BN90" i="6"/>
  <c r="BO90" i="6"/>
  <c r="BP90" i="6"/>
  <c r="BN122" i="6"/>
  <c r="BO122" i="6"/>
  <c r="BP122" i="6"/>
  <c r="BN123" i="6"/>
  <c r="BO123" i="6"/>
  <c r="BP123" i="6"/>
  <c r="BN124" i="6"/>
  <c r="BO124" i="6"/>
  <c r="BP124" i="6"/>
  <c r="BN131" i="6"/>
  <c r="BO131" i="6"/>
  <c r="BP131" i="6"/>
  <c r="BN132" i="6"/>
  <c r="BO132" i="6"/>
  <c r="BP132" i="6"/>
  <c r="BN129" i="6"/>
  <c r="BO129" i="6"/>
  <c r="BP129" i="6"/>
  <c r="BN133" i="6"/>
  <c r="BO133" i="6"/>
  <c r="BP133" i="6"/>
  <c r="BN134" i="6"/>
  <c r="BO134" i="6"/>
  <c r="BP134" i="6"/>
  <c r="BN126" i="6"/>
  <c r="BO126" i="6"/>
  <c r="BP126" i="6"/>
  <c r="BN135" i="6"/>
  <c r="BO135" i="6"/>
  <c r="BP135" i="6"/>
  <c r="BN137" i="6"/>
  <c r="BO137" i="6"/>
  <c r="BP137" i="6"/>
  <c r="BN142" i="6"/>
  <c r="BO142" i="6"/>
  <c r="BP142" i="6"/>
  <c r="AW4" i="6" l="1"/>
  <c r="J17" i="1"/>
  <c r="K17" i="1"/>
  <c r="I17" i="1"/>
  <c r="K48" i="1"/>
  <c r="BP194" i="6"/>
  <c r="J48" i="1"/>
  <c r="BO194" i="6"/>
  <c r="I48" i="1"/>
  <c r="BN194" i="6"/>
  <c r="I16" i="1"/>
  <c r="K16" i="1"/>
  <c r="I32" i="1"/>
  <c r="K20" i="1"/>
  <c r="K19" i="1" s="1"/>
  <c r="K49" i="2"/>
  <c r="I25" i="2"/>
  <c r="J24" i="1"/>
  <c r="J21" i="1" s="1"/>
  <c r="I41" i="1"/>
  <c r="I31" i="1"/>
  <c r="J29" i="1"/>
  <c r="J28" i="1" s="1"/>
  <c r="K49" i="1"/>
  <c r="J38" i="1"/>
  <c r="K33" i="1"/>
  <c r="I29" i="1"/>
  <c r="I28" i="1" s="1"/>
  <c r="K24" i="1"/>
  <c r="K21" i="1" s="1"/>
  <c r="J20" i="1"/>
  <c r="J19" i="1" s="1"/>
  <c r="J16" i="1"/>
  <c r="I38" i="1"/>
  <c r="K32" i="1"/>
  <c r="K38" i="1"/>
  <c r="J49" i="1"/>
  <c r="K41" i="1"/>
  <c r="J33" i="1"/>
  <c r="K31" i="1"/>
  <c r="I20" i="1"/>
  <c r="I19" i="1" s="1"/>
  <c r="I49" i="1"/>
  <c r="J41" i="1"/>
  <c r="I33" i="1"/>
  <c r="J32" i="1"/>
  <c r="J31" i="1"/>
  <c r="K29" i="1"/>
  <c r="K28" i="1" s="1"/>
  <c r="I24" i="1"/>
  <c r="I21" i="1" s="1"/>
  <c r="J49" i="2"/>
  <c r="I49" i="2"/>
  <c r="K25" i="2"/>
  <c r="J25" i="2"/>
  <c r="K34" i="2"/>
  <c r="J26" i="2"/>
  <c r="K35" i="2"/>
  <c r="K26" i="2"/>
  <c r="I26" i="2"/>
  <c r="J40" i="2"/>
  <c r="K51" i="2"/>
  <c r="I40" i="2"/>
  <c r="I51" i="2"/>
  <c r="K40" i="2"/>
  <c r="J35" i="2"/>
  <c r="I35" i="2"/>
  <c r="I34" i="2"/>
  <c r="J51" i="2"/>
  <c r="J34" i="2"/>
  <c r="K18" i="2"/>
  <c r="J18" i="2"/>
  <c r="I18" i="2"/>
  <c r="K48" i="2"/>
  <c r="J48" i="2"/>
  <c r="I48" i="2"/>
  <c r="J45" i="1" l="1"/>
  <c r="J50" i="1" s="1"/>
  <c r="I45" i="1"/>
  <c r="I50" i="1" s="1"/>
  <c r="K45" i="1"/>
  <c r="K50" i="1" s="1"/>
  <c r="I37" i="1"/>
  <c r="I42" i="1" s="1"/>
  <c r="K37" i="1"/>
  <c r="K42" i="1" s="1"/>
  <c r="J37" i="1"/>
  <c r="J42" i="1" s="1"/>
  <c r="K25" i="1"/>
  <c r="I30" i="1"/>
  <c r="I34" i="1" s="1"/>
  <c r="I23" i="2"/>
  <c r="I25" i="1"/>
  <c r="J25" i="1"/>
  <c r="J30" i="1"/>
  <c r="J34" i="1" s="1"/>
  <c r="K30" i="1"/>
  <c r="K34" i="1" s="1"/>
  <c r="J23" i="2"/>
  <c r="K23" i="2"/>
  <c r="I47" i="2"/>
  <c r="J47" i="2"/>
  <c r="K47" i="2"/>
  <c r="K52" i="2" s="1"/>
  <c r="J52" i="2" l="1"/>
  <c r="I52" i="2"/>
  <c r="K52" i="1"/>
  <c r="J52" i="1"/>
  <c r="I52" i="1"/>
  <c r="AS6" i="6"/>
  <c r="AU6" i="6"/>
  <c r="AT6" i="6"/>
  <c r="K19" i="2" l="1"/>
  <c r="K17" i="2" s="1"/>
  <c r="J19" i="2"/>
  <c r="I19" i="2"/>
  <c r="AK137" i="6"/>
  <c r="AC90" i="6"/>
  <c r="AD90" i="6"/>
  <c r="AE90" i="6"/>
  <c r="AF90" i="6"/>
  <c r="AG90" i="6"/>
  <c r="AH90" i="6"/>
  <c r="AI90" i="6"/>
  <c r="AJ90" i="6"/>
  <c r="AK90" i="6"/>
  <c r="AL90" i="6"/>
  <c r="AM90" i="6"/>
  <c r="AN90" i="6"/>
  <c r="AO90" i="6"/>
  <c r="AP90" i="6"/>
  <c r="AQ90" i="6"/>
  <c r="AR90" i="6"/>
  <c r="AX90" i="6"/>
  <c r="AY90" i="6"/>
  <c r="AZ90" i="6"/>
  <c r="BA90" i="6"/>
  <c r="BB90" i="6"/>
  <c r="BC90" i="6"/>
  <c r="BD90" i="6"/>
  <c r="BE90" i="6"/>
  <c r="BF90" i="6"/>
  <c r="BG90" i="6"/>
  <c r="BH90" i="6"/>
  <c r="BI90" i="6"/>
  <c r="BJ90" i="6"/>
  <c r="BK90" i="6"/>
  <c r="BL90" i="6"/>
  <c r="BM90" i="6"/>
  <c r="BR90" i="6" l="1"/>
  <c r="I17" i="2"/>
  <c r="J17" i="2"/>
  <c r="AC72" i="6"/>
  <c r="AD72" i="6"/>
  <c r="AE72" i="6"/>
  <c r="AF72" i="6"/>
  <c r="AG72" i="6"/>
  <c r="AH72" i="6"/>
  <c r="AI72" i="6"/>
  <c r="AJ72" i="6"/>
  <c r="AK72" i="6"/>
  <c r="AL72" i="6"/>
  <c r="AM72" i="6"/>
  <c r="AN72" i="6"/>
  <c r="AO72" i="6"/>
  <c r="AP72" i="6"/>
  <c r="AQ72" i="6"/>
  <c r="AR72" i="6"/>
  <c r="AX72" i="6"/>
  <c r="AY72" i="6"/>
  <c r="AZ72" i="6"/>
  <c r="BA72" i="6"/>
  <c r="BB72" i="6"/>
  <c r="BC72" i="6"/>
  <c r="BD72" i="6"/>
  <c r="BE72" i="6"/>
  <c r="BF72" i="6"/>
  <c r="BG72" i="6"/>
  <c r="BH72" i="6"/>
  <c r="BI72" i="6"/>
  <c r="BJ72" i="6"/>
  <c r="BK72" i="6"/>
  <c r="BL72" i="6"/>
  <c r="BM72" i="6"/>
  <c r="Z161" i="6"/>
  <c r="AC161" i="6"/>
  <c r="AD161" i="6"/>
  <c r="AE161" i="6"/>
  <c r="AF161" i="6"/>
  <c r="AG161" i="6"/>
  <c r="AH161" i="6"/>
  <c r="AI161" i="6"/>
  <c r="AJ161" i="6"/>
  <c r="AK161" i="6"/>
  <c r="AL161" i="6"/>
  <c r="AM161" i="6"/>
  <c r="AN161" i="6"/>
  <c r="AO161" i="6"/>
  <c r="AP161" i="6"/>
  <c r="AQ161" i="6"/>
  <c r="AR161" i="6"/>
  <c r="AX161" i="6"/>
  <c r="AY161" i="6"/>
  <c r="AZ161" i="6"/>
  <c r="BA161" i="6"/>
  <c r="BB161" i="6"/>
  <c r="BC161" i="6"/>
  <c r="BD161" i="6"/>
  <c r="BE161" i="6"/>
  <c r="BF161" i="6"/>
  <c r="BG161" i="6"/>
  <c r="BH161" i="6"/>
  <c r="BI161" i="6"/>
  <c r="BJ161" i="6"/>
  <c r="BK161" i="6"/>
  <c r="BL161" i="6"/>
  <c r="BM161" i="6"/>
  <c r="BR72" i="6" l="1"/>
  <c r="BR161" i="6"/>
  <c r="Z4" i="6"/>
  <c r="BE5" i="6" l="1"/>
  <c r="BF5" i="6"/>
  <c r="BA32" i="6" l="1"/>
  <c r="BA36" i="6"/>
  <c r="BA37" i="6"/>
  <c r="BA34" i="6"/>
  <c r="BA38" i="6"/>
  <c r="BA33" i="6"/>
  <c r="BA39" i="6"/>
  <c r="BA40" i="6"/>
  <c r="BA41" i="6"/>
  <c r="BA42" i="6"/>
  <c r="AZ32" i="6"/>
  <c r="AC30" i="6" l="1"/>
  <c r="AD30" i="6"/>
  <c r="AE30" i="6"/>
  <c r="AF30" i="6"/>
  <c r="AG30" i="6"/>
  <c r="AH30" i="6"/>
  <c r="AI30" i="6"/>
  <c r="AJ30" i="6"/>
  <c r="AK30" i="6"/>
  <c r="AL30" i="6"/>
  <c r="AM30" i="6"/>
  <c r="AN30" i="6"/>
  <c r="AO30" i="6"/>
  <c r="AP30" i="6"/>
  <c r="AQ30" i="6"/>
  <c r="AR30" i="6"/>
  <c r="AX30" i="6"/>
  <c r="AY30" i="6"/>
  <c r="AZ30" i="6"/>
  <c r="BA30" i="6"/>
  <c r="BD30" i="6"/>
  <c r="BE30" i="6"/>
  <c r="BF30" i="6"/>
  <c r="BG30" i="6"/>
  <c r="BH30" i="6"/>
  <c r="BI30" i="6"/>
  <c r="BJ30" i="6"/>
  <c r="BK30" i="6"/>
  <c r="BL30" i="6"/>
  <c r="BM30" i="6"/>
  <c r="BM145" i="6"/>
  <c r="BL145" i="6"/>
  <c r="BK145" i="6"/>
  <c r="BJ145" i="6"/>
  <c r="BI145" i="6"/>
  <c r="BH145" i="6"/>
  <c r="BG145" i="6"/>
  <c r="BF145" i="6"/>
  <c r="BE145" i="6"/>
  <c r="BD145" i="6"/>
  <c r="BA145" i="6"/>
  <c r="AZ145" i="6"/>
  <c r="AY145" i="6"/>
  <c r="AX145" i="6"/>
  <c r="AR145" i="6"/>
  <c r="AQ145" i="6"/>
  <c r="AP145" i="6"/>
  <c r="AO145" i="6"/>
  <c r="AN145" i="6"/>
  <c r="AM145" i="6"/>
  <c r="AL145" i="6"/>
  <c r="AK145" i="6"/>
  <c r="AJ145" i="6"/>
  <c r="AI145" i="6"/>
  <c r="AH145" i="6"/>
  <c r="AG145" i="6"/>
  <c r="AF145" i="6"/>
  <c r="AE145" i="6"/>
  <c r="AD145" i="6"/>
  <c r="AC145" i="6"/>
  <c r="Z145" i="6"/>
  <c r="D148" i="6"/>
  <c r="AI162" i="6"/>
  <c r="AC160" i="6"/>
  <c r="AD160" i="6"/>
  <c r="AJ160" i="6"/>
  <c r="AH160" i="6"/>
  <c r="BE9" i="6"/>
  <c r="D147" i="6" l="1"/>
  <c r="Z147" i="6"/>
  <c r="Z148" i="6"/>
  <c r="BR145" i="6"/>
  <c r="BR30" i="6"/>
  <c r="AT26" i="6"/>
  <c r="AS26" i="6"/>
  <c r="AU26" i="6"/>
  <c r="I22" i="2" l="1"/>
  <c r="K22" i="2"/>
  <c r="K21" i="2" s="1"/>
  <c r="K27" i="2" s="1"/>
  <c r="J22" i="2"/>
  <c r="J21" i="2" l="1"/>
  <c r="I21" i="2"/>
  <c r="AC82" i="6"/>
  <c r="AD82" i="6"/>
  <c r="AE82" i="6"/>
  <c r="AF82" i="6"/>
  <c r="AG82" i="6"/>
  <c r="AH82" i="6"/>
  <c r="AI82" i="6"/>
  <c r="AJ82" i="6"/>
  <c r="AK82" i="6"/>
  <c r="AL82" i="6"/>
  <c r="AM82" i="6"/>
  <c r="AN82" i="6"/>
  <c r="AO82" i="6"/>
  <c r="AP82" i="6"/>
  <c r="AQ82" i="6"/>
  <c r="AR82" i="6"/>
  <c r="AX82" i="6"/>
  <c r="AY82" i="6"/>
  <c r="AZ82" i="6"/>
  <c r="BA82" i="6"/>
  <c r="BB82" i="6"/>
  <c r="BC82" i="6"/>
  <c r="BD82" i="6"/>
  <c r="BE82" i="6"/>
  <c r="BF82" i="6"/>
  <c r="BG82" i="6"/>
  <c r="BH82" i="6"/>
  <c r="BI82" i="6"/>
  <c r="BJ82" i="6"/>
  <c r="BK82" i="6"/>
  <c r="BL82" i="6"/>
  <c r="BM82" i="6"/>
  <c r="J194" i="6"/>
  <c r="K194" i="6"/>
  <c r="L194" i="6"/>
  <c r="O194" i="6"/>
  <c r="AA194" i="6"/>
  <c r="AB194" i="6"/>
  <c r="G194" i="6"/>
  <c r="BR82" i="6" l="1"/>
  <c r="J27" i="2"/>
  <c r="I27" i="2"/>
  <c r="AU83" i="6"/>
  <c r="AS83" i="6"/>
  <c r="AT83" i="6"/>
  <c r="AT84" i="6"/>
  <c r="AS84" i="6"/>
  <c r="AU84" i="6"/>
  <c r="AI67" i="6"/>
  <c r="AC42" i="6"/>
  <c r="AD42" i="6"/>
  <c r="AE42" i="6"/>
  <c r="AF42" i="6"/>
  <c r="AG42" i="6"/>
  <c r="AH42" i="6"/>
  <c r="AI42" i="6"/>
  <c r="AJ42" i="6"/>
  <c r="AK42" i="6"/>
  <c r="AL42" i="6"/>
  <c r="AM42" i="6"/>
  <c r="AN42" i="6"/>
  <c r="AO42" i="6"/>
  <c r="AP42" i="6"/>
  <c r="AQ42" i="6"/>
  <c r="AR42" i="6"/>
  <c r="AX42" i="6"/>
  <c r="AY42" i="6"/>
  <c r="AZ42" i="6"/>
  <c r="BB42" i="6"/>
  <c r="BC42" i="6"/>
  <c r="BD42" i="6"/>
  <c r="BE42" i="6"/>
  <c r="BF42" i="6"/>
  <c r="BG42" i="6"/>
  <c r="BH42" i="6"/>
  <c r="BI42" i="6"/>
  <c r="BJ42" i="6"/>
  <c r="BK42" i="6"/>
  <c r="BL42" i="6"/>
  <c r="BM42" i="6"/>
  <c r="BR42" i="6" l="1"/>
  <c r="I43" i="2"/>
  <c r="Z65" i="6"/>
  <c r="J43" i="2"/>
  <c r="K43" i="2"/>
  <c r="K39" i="2" s="1"/>
  <c r="K44" i="2" s="1"/>
  <c r="I39" i="2" l="1"/>
  <c r="J39" i="2"/>
  <c r="AC41" i="6"/>
  <c r="AD41" i="6"/>
  <c r="AE41" i="6"/>
  <c r="AF41" i="6"/>
  <c r="AG41" i="6"/>
  <c r="AH41" i="6"/>
  <c r="AI41" i="6"/>
  <c r="AJ41" i="6"/>
  <c r="AK41" i="6"/>
  <c r="AL41" i="6"/>
  <c r="AM41" i="6"/>
  <c r="AN41" i="6"/>
  <c r="AO41" i="6"/>
  <c r="AP41" i="6"/>
  <c r="AQ41" i="6"/>
  <c r="AR41" i="6"/>
  <c r="AX41" i="6"/>
  <c r="AY41" i="6"/>
  <c r="AZ41" i="6"/>
  <c r="BB41" i="6"/>
  <c r="BC41" i="6"/>
  <c r="BD41" i="6"/>
  <c r="BE41" i="6"/>
  <c r="BF41" i="6"/>
  <c r="BG41" i="6"/>
  <c r="BH41" i="6"/>
  <c r="BI41" i="6"/>
  <c r="BJ41" i="6"/>
  <c r="BK41" i="6"/>
  <c r="BL41" i="6"/>
  <c r="BM41" i="6"/>
  <c r="BD39" i="6"/>
  <c r="BD36" i="6"/>
  <c r="J44" i="2" l="1"/>
  <c r="I44" i="2"/>
  <c r="BR41" i="6"/>
  <c r="BD6" i="6"/>
  <c r="D47" i="2" l="1"/>
  <c r="AF131" i="6" l="1"/>
  <c r="U194" i="6"/>
  <c r="AC133" i="6"/>
  <c r="AD133" i="6"/>
  <c r="AE133" i="6"/>
  <c r="AF133" i="6"/>
  <c r="AG133" i="6"/>
  <c r="AH133" i="6"/>
  <c r="AI133" i="6"/>
  <c r="AJ133" i="6"/>
  <c r="AK133" i="6"/>
  <c r="AL133" i="6"/>
  <c r="AM133" i="6"/>
  <c r="AN133" i="6"/>
  <c r="AO133" i="6"/>
  <c r="AP133" i="6"/>
  <c r="AQ133" i="6"/>
  <c r="AR133" i="6"/>
  <c r="AX133" i="6"/>
  <c r="AY133" i="6"/>
  <c r="AZ133" i="6"/>
  <c r="BA133" i="6"/>
  <c r="BB133" i="6"/>
  <c r="BC133" i="6"/>
  <c r="BD133" i="6"/>
  <c r="BE133" i="6"/>
  <c r="BF133" i="6"/>
  <c r="BG133" i="6"/>
  <c r="BH133" i="6"/>
  <c r="BI133" i="6"/>
  <c r="BJ133" i="6"/>
  <c r="BK133" i="6"/>
  <c r="BL133" i="6"/>
  <c r="BM133" i="6"/>
  <c r="AC129" i="6"/>
  <c r="AD129" i="6"/>
  <c r="AE129" i="6"/>
  <c r="AF129" i="6"/>
  <c r="AG129" i="6"/>
  <c r="AH129" i="6"/>
  <c r="AI129" i="6"/>
  <c r="AJ129" i="6"/>
  <c r="AK129" i="6"/>
  <c r="AL129" i="6"/>
  <c r="AM129" i="6"/>
  <c r="AN129" i="6"/>
  <c r="AO129" i="6"/>
  <c r="AP129" i="6"/>
  <c r="AQ129" i="6"/>
  <c r="AR129" i="6"/>
  <c r="AX129" i="6"/>
  <c r="AY129" i="6"/>
  <c r="AZ129" i="6"/>
  <c r="BA129" i="6"/>
  <c r="BB129" i="6"/>
  <c r="BC129" i="6"/>
  <c r="BD129" i="6"/>
  <c r="BE129" i="6"/>
  <c r="BF129" i="6"/>
  <c r="BG129" i="6"/>
  <c r="BH129" i="6"/>
  <c r="BI129" i="6"/>
  <c r="BJ129" i="6"/>
  <c r="BK129" i="6"/>
  <c r="BL129" i="6"/>
  <c r="BM129" i="6"/>
  <c r="AC131" i="6"/>
  <c r="AD131" i="6"/>
  <c r="AE131" i="6"/>
  <c r="AG131" i="6"/>
  <c r="AH131" i="6"/>
  <c r="AI131" i="6"/>
  <c r="AJ131" i="6"/>
  <c r="AK131" i="6"/>
  <c r="AL131" i="6"/>
  <c r="AM131" i="6"/>
  <c r="AN131" i="6"/>
  <c r="AO131" i="6"/>
  <c r="AP131" i="6"/>
  <c r="AQ131" i="6"/>
  <c r="AR131" i="6"/>
  <c r="AX131" i="6"/>
  <c r="AY131" i="6"/>
  <c r="AZ131" i="6"/>
  <c r="BA131" i="6"/>
  <c r="BB131" i="6"/>
  <c r="BC131" i="6"/>
  <c r="BD131" i="6"/>
  <c r="BE131" i="6"/>
  <c r="BF131" i="6"/>
  <c r="BG131" i="6"/>
  <c r="BH131" i="6"/>
  <c r="BI131" i="6"/>
  <c r="BJ131" i="6"/>
  <c r="BK131" i="6"/>
  <c r="BL131" i="6"/>
  <c r="BM131" i="6"/>
  <c r="AC132" i="6"/>
  <c r="AD132" i="6"/>
  <c r="AE132" i="6"/>
  <c r="AG132" i="6"/>
  <c r="AH132" i="6"/>
  <c r="AI132" i="6"/>
  <c r="AJ132" i="6"/>
  <c r="AK132" i="6"/>
  <c r="AL132" i="6"/>
  <c r="AM132" i="6"/>
  <c r="AN132" i="6"/>
  <c r="AO132" i="6"/>
  <c r="AP132" i="6"/>
  <c r="AQ132" i="6"/>
  <c r="AR132" i="6"/>
  <c r="AX132" i="6"/>
  <c r="AY132" i="6"/>
  <c r="AZ132" i="6"/>
  <c r="BA132" i="6"/>
  <c r="BB132" i="6"/>
  <c r="BC132" i="6"/>
  <c r="BD132" i="6"/>
  <c r="BE132" i="6"/>
  <c r="BF132" i="6"/>
  <c r="BG132" i="6"/>
  <c r="BH132" i="6"/>
  <c r="BI132" i="6"/>
  <c r="BJ132" i="6"/>
  <c r="BK132" i="6"/>
  <c r="BL132" i="6"/>
  <c r="BM132" i="6"/>
  <c r="AC124" i="6"/>
  <c r="AD124" i="6"/>
  <c r="AE124" i="6"/>
  <c r="AF124" i="6"/>
  <c r="AG124" i="6"/>
  <c r="AH124" i="6"/>
  <c r="AI124" i="6"/>
  <c r="AJ124" i="6"/>
  <c r="AK124" i="6"/>
  <c r="AL124" i="6"/>
  <c r="AM124" i="6"/>
  <c r="AN124" i="6"/>
  <c r="AO124" i="6"/>
  <c r="AP124" i="6"/>
  <c r="AQ124" i="6"/>
  <c r="AR124" i="6"/>
  <c r="AX124" i="6"/>
  <c r="AY124" i="6"/>
  <c r="AZ124" i="6"/>
  <c r="BA124" i="6"/>
  <c r="BB124" i="6"/>
  <c r="BC124" i="6"/>
  <c r="BD124" i="6"/>
  <c r="BE124" i="6"/>
  <c r="BF124" i="6"/>
  <c r="BG124" i="6"/>
  <c r="BH124" i="6"/>
  <c r="BI124" i="6"/>
  <c r="BJ124" i="6"/>
  <c r="BK124" i="6"/>
  <c r="BL124" i="6"/>
  <c r="BM124" i="6"/>
  <c r="BR131" i="6" l="1"/>
  <c r="BR129" i="6"/>
  <c r="BR133" i="6"/>
  <c r="BR132" i="6"/>
  <c r="BR124" i="6"/>
  <c r="N194" i="6"/>
  <c r="AC126" i="6"/>
  <c r="AD126" i="6"/>
  <c r="AE126" i="6"/>
  <c r="AF126" i="6"/>
  <c r="AG126" i="6"/>
  <c r="AH126" i="6"/>
  <c r="AI126" i="6"/>
  <c r="AJ126" i="6"/>
  <c r="AK126" i="6"/>
  <c r="AL126" i="6"/>
  <c r="AM126" i="6"/>
  <c r="AN126" i="6"/>
  <c r="AO126" i="6"/>
  <c r="AP126" i="6"/>
  <c r="AQ126" i="6"/>
  <c r="AR126" i="6"/>
  <c r="AX126" i="6"/>
  <c r="AY126" i="6"/>
  <c r="AZ126" i="6"/>
  <c r="BA126" i="6"/>
  <c r="BB126" i="6"/>
  <c r="BC126" i="6"/>
  <c r="BD126" i="6"/>
  <c r="BE126" i="6"/>
  <c r="BF126" i="6"/>
  <c r="BG126" i="6"/>
  <c r="BH126" i="6"/>
  <c r="BI126" i="6"/>
  <c r="BJ126" i="6"/>
  <c r="BK126" i="6"/>
  <c r="BL126" i="6"/>
  <c r="BM126" i="6"/>
  <c r="AC135" i="6"/>
  <c r="AD135" i="6"/>
  <c r="AE135" i="6"/>
  <c r="AF135" i="6"/>
  <c r="AG135" i="6"/>
  <c r="AH135" i="6"/>
  <c r="AI135" i="6"/>
  <c r="AJ135" i="6"/>
  <c r="AK135" i="6"/>
  <c r="AL135" i="6"/>
  <c r="AM135" i="6"/>
  <c r="AN135" i="6"/>
  <c r="AO135" i="6"/>
  <c r="AP135" i="6"/>
  <c r="AQ135" i="6"/>
  <c r="AR135" i="6"/>
  <c r="AX135" i="6"/>
  <c r="AY135" i="6"/>
  <c r="AZ135" i="6"/>
  <c r="BA135" i="6"/>
  <c r="BB135" i="6"/>
  <c r="BC135" i="6"/>
  <c r="BD135" i="6"/>
  <c r="BE135" i="6"/>
  <c r="BF135" i="6"/>
  <c r="BG135" i="6"/>
  <c r="BH135" i="6"/>
  <c r="BI135" i="6"/>
  <c r="BJ135" i="6"/>
  <c r="BK135" i="6"/>
  <c r="BL135" i="6"/>
  <c r="BM135" i="6"/>
  <c r="AC137" i="6"/>
  <c r="AD137" i="6"/>
  <c r="AE137" i="6"/>
  <c r="AF137" i="6"/>
  <c r="AG137" i="6"/>
  <c r="AH137" i="6"/>
  <c r="AI137" i="6"/>
  <c r="AJ137" i="6"/>
  <c r="AL137" i="6"/>
  <c r="AM137" i="6"/>
  <c r="AN137" i="6"/>
  <c r="AO137" i="6"/>
  <c r="AP137" i="6"/>
  <c r="AQ137" i="6"/>
  <c r="AR137" i="6"/>
  <c r="AX137" i="6"/>
  <c r="AY137" i="6"/>
  <c r="AZ137" i="6"/>
  <c r="BA137" i="6"/>
  <c r="BB137" i="6"/>
  <c r="BC137" i="6"/>
  <c r="BD137" i="6"/>
  <c r="BE137" i="6"/>
  <c r="BF137" i="6"/>
  <c r="BG137" i="6"/>
  <c r="BH137" i="6"/>
  <c r="BI137" i="6"/>
  <c r="BJ137" i="6"/>
  <c r="BK137" i="6"/>
  <c r="BL137" i="6"/>
  <c r="BM137" i="6"/>
  <c r="AC134" i="6"/>
  <c r="AD134" i="6"/>
  <c r="AE134" i="6"/>
  <c r="AF134" i="6"/>
  <c r="AG134" i="6"/>
  <c r="AH134" i="6"/>
  <c r="AI134" i="6"/>
  <c r="AJ134" i="6"/>
  <c r="AK134" i="6"/>
  <c r="AL134" i="6"/>
  <c r="AM134" i="6"/>
  <c r="AN134" i="6"/>
  <c r="AO134" i="6"/>
  <c r="AP134" i="6"/>
  <c r="AQ134" i="6"/>
  <c r="AR134" i="6"/>
  <c r="AX134" i="6"/>
  <c r="AY134" i="6"/>
  <c r="AZ134" i="6"/>
  <c r="BA134" i="6"/>
  <c r="BB134" i="6"/>
  <c r="BC134" i="6"/>
  <c r="BD134" i="6"/>
  <c r="BE134" i="6"/>
  <c r="BF134" i="6"/>
  <c r="BG134" i="6"/>
  <c r="BH134" i="6"/>
  <c r="BI134" i="6"/>
  <c r="BJ134" i="6"/>
  <c r="BK134" i="6"/>
  <c r="BL134" i="6"/>
  <c r="BM134" i="6"/>
  <c r="BR126" i="6" l="1"/>
  <c r="BR134" i="6"/>
  <c r="BR137" i="6"/>
  <c r="BR135" i="6"/>
  <c r="Z165" i="6"/>
  <c r="Z197" i="6" s="1"/>
  <c r="AC40" i="6" l="1"/>
  <c r="AD40" i="6"/>
  <c r="AE40" i="6"/>
  <c r="AF40" i="6"/>
  <c r="AG40" i="6"/>
  <c r="AH40" i="6"/>
  <c r="AI40" i="6"/>
  <c r="AJ40" i="6"/>
  <c r="AK40" i="6"/>
  <c r="AL40" i="6"/>
  <c r="AM40" i="6"/>
  <c r="AN40" i="6"/>
  <c r="AO40" i="6"/>
  <c r="AP40" i="6"/>
  <c r="AQ40" i="6"/>
  <c r="AR40" i="6"/>
  <c r="AX40" i="6"/>
  <c r="AY40" i="6"/>
  <c r="AZ40" i="6"/>
  <c r="BB40" i="6"/>
  <c r="BC40" i="6"/>
  <c r="BD40" i="6"/>
  <c r="BE40" i="6"/>
  <c r="BF40" i="6"/>
  <c r="BG40" i="6"/>
  <c r="BH40" i="6"/>
  <c r="BI40" i="6"/>
  <c r="BJ40" i="6"/>
  <c r="BK40" i="6"/>
  <c r="BL40" i="6"/>
  <c r="BM40" i="6"/>
  <c r="D33" i="6"/>
  <c r="BR40" i="6" l="1"/>
  <c r="AT33" i="6"/>
  <c r="AU33" i="6"/>
  <c r="AS33" i="6"/>
  <c r="I31" i="2" l="1"/>
  <c r="K31" i="2"/>
  <c r="K30" i="2" s="1"/>
  <c r="J31" i="2"/>
  <c r="BL65" i="6"/>
  <c r="I30" i="2" l="1"/>
  <c r="J30" i="2"/>
  <c r="AX160" i="6" l="1"/>
  <c r="AY160" i="6"/>
  <c r="AC38" i="6" l="1"/>
  <c r="AD38" i="6"/>
  <c r="AE38" i="6"/>
  <c r="AF38" i="6"/>
  <c r="AG38" i="6"/>
  <c r="AH38" i="6"/>
  <c r="AI38" i="6"/>
  <c r="AJ38" i="6"/>
  <c r="AK38" i="6"/>
  <c r="AL38" i="6"/>
  <c r="AM38" i="6"/>
  <c r="AN38" i="6"/>
  <c r="AO38" i="6"/>
  <c r="AP38" i="6"/>
  <c r="AQ38" i="6"/>
  <c r="AR38" i="6"/>
  <c r="AX38" i="6"/>
  <c r="AY38" i="6"/>
  <c r="AZ38" i="6"/>
  <c r="BB38" i="6"/>
  <c r="BC38" i="6"/>
  <c r="BD38" i="6"/>
  <c r="BE38" i="6"/>
  <c r="BF38" i="6"/>
  <c r="BG38" i="6"/>
  <c r="BH38" i="6"/>
  <c r="BI38" i="6"/>
  <c r="BJ38" i="6"/>
  <c r="BK38" i="6"/>
  <c r="BL38" i="6"/>
  <c r="BM38" i="6"/>
  <c r="BR38" i="6" l="1"/>
  <c r="AC26" i="6"/>
  <c r="AD26" i="6"/>
  <c r="AE26" i="6"/>
  <c r="AF26" i="6"/>
  <c r="AG26" i="6"/>
  <c r="AH26" i="6"/>
  <c r="AI26" i="6"/>
  <c r="AJ26" i="6"/>
  <c r="AK26" i="6"/>
  <c r="AL26" i="6"/>
  <c r="AM26" i="6"/>
  <c r="AN26" i="6"/>
  <c r="AO26" i="6"/>
  <c r="AP26" i="6"/>
  <c r="AR26" i="6"/>
  <c r="AX26" i="6"/>
  <c r="AY26" i="6"/>
  <c r="AZ26" i="6"/>
  <c r="BA26" i="6"/>
  <c r="BB26" i="6"/>
  <c r="BC26" i="6"/>
  <c r="BD26" i="6"/>
  <c r="BE26" i="6"/>
  <c r="BF26" i="6"/>
  <c r="BG26" i="6"/>
  <c r="BH26" i="6"/>
  <c r="BI26" i="6"/>
  <c r="BJ26" i="6"/>
  <c r="BK26" i="6"/>
  <c r="BL26" i="6"/>
  <c r="BM26" i="6"/>
  <c r="Z160" i="6"/>
  <c r="BM160" i="6"/>
  <c r="BL160" i="6"/>
  <c r="BK160" i="6"/>
  <c r="BJ160" i="6"/>
  <c r="BI160" i="6"/>
  <c r="BH160" i="6"/>
  <c r="BG160" i="6"/>
  <c r="BF160" i="6"/>
  <c r="BE160" i="6"/>
  <c r="BD160" i="6"/>
  <c r="BC160" i="6"/>
  <c r="BB160" i="6"/>
  <c r="BA160" i="6"/>
  <c r="AZ160" i="6"/>
  <c r="AR160" i="6"/>
  <c r="AQ160" i="6"/>
  <c r="AP160" i="6"/>
  <c r="AO160" i="6"/>
  <c r="AN160" i="6"/>
  <c r="AM160" i="6"/>
  <c r="AL160" i="6"/>
  <c r="AK160" i="6"/>
  <c r="AI160" i="6"/>
  <c r="AG160" i="6"/>
  <c r="AF160" i="6"/>
  <c r="AE160" i="6"/>
  <c r="BR160" i="6" l="1"/>
  <c r="AQ26" i="6"/>
  <c r="BR26" i="6" s="1"/>
  <c r="BK127" i="6" l="1"/>
  <c r="BK128" i="6"/>
  <c r="BM4" i="6" l="1"/>
  <c r="BM5" i="6"/>
  <c r="BM6" i="6"/>
  <c r="BM9" i="6"/>
  <c r="BM10" i="6"/>
  <c r="BM21" i="6"/>
  <c r="BM17" i="6"/>
  <c r="BM29" i="6"/>
  <c r="BM31" i="6"/>
  <c r="BM32" i="6"/>
  <c r="BM36" i="6"/>
  <c r="BM37" i="6"/>
  <c r="BM34" i="6"/>
  <c r="BM33" i="6"/>
  <c r="BM39" i="6"/>
  <c r="BM35" i="6"/>
  <c r="BM65" i="6"/>
  <c r="BM67" i="6"/>
  <c r="BM64" i="6"/>
  <c r="BM68" i="6"/>
  <c r="BM73" i="6"/>
  <c r="BM70" i="6"/>
  <c r="BM76" i="6"/>
  <c r="BM66" i="6"/>
  <c r="BM81" i="6"/>
  <c r="BM85" i="6"/>
  <c r="BM86" i="6"/>
  <c r="BM87" i="6"/>
  <c r="BM88" i="6"/>
  <c r="BM79" i="6"/>
  <c r="BM80" i="6"/>
  <c r="BM77" i="6"/>
  <c r="BM78" i="6"/>
  <c r="BM91" i="6"/>
  <c r="BM83" i="6"/>
  <c r="BM84" i="6"/>
  <c r="BM89" i="6"/>
  <c r="BM122" i="6"/>
  <c r="BM123" i="6"/>
  <c r="BM142" i="6"/>
  <c r="BM128" i="6"/>
  <c r="AR4" i="6"/>
  <c r="AR5" i="6"/>
  <c r="AR6" i="6"/>
  <c r="AR9" i="6"/>
  <c r="AR10" i="6"/>
  <c r="AR21" i="6"/>
  <c r="AR17" i="6"/>
  <c r="AR29" i="6"/>
  <c r="AR31" i="6"/>
  <c r="AR32" i="6"/>
  <c r="AR36" i="6"/>
  <c r="AR37" i="6"/>
  <c r="AR34" i="6"/>
  <c r="AR33" i="6"/>
  <c r="AR39" i="6"/>
  <c r="AR35" i="6"/>
  <c r="AR65" i="6"/>
  <c r="AR67" i="6"/>
  <c r="AR64" i="6"/>
  <c r="AR70" i="6"/>
  <c r="AR76" i="6"/>
  <c r="AR66" i="6"/>
  <c r="AR81" i="6"/>
  <c r="AR85" i="6"/>
  <c r="AR86" i="6"/>
  <c r="AR87" i="6"/>
  <c r="AR88" i="6"/>
  <c r="AR79" i="6"/>
  <c r="AR80" i="6"/>
  <c r="AR77" i="6"/>
  <c r="AR78" i="6"/>
  <c r="AR91" i="6"/>
  <c r="AR83" i="6"/>
  <c r="AR84" i="6"/>
  <c r="AR89" i="6"/>
  <c r="AR122" i="6"/>
  <c r="AR123" i="6"/>
  <c r="AR142" i="6"/>
  <c r="AR148" i="6"/>
  <c r="AR136" i="6"/>
  <c r="AR127" i="6"/>
  <c r="AR152" i="6"/>
  <c r="AR128" i="6"/>
  <c r="AR165" i="6"/>
  <c r="BM165" i="6" s="1"/>
  <c r="BM168" i="6"/>
  <c r="BE128" i="6"/>
  <c r="BM194" i="6" l="1"/>
  <c r="D39" i="2"/>
  <c r="C39" i="2"/>
  <c r="S194" i="6" l="1"/>
  <c r="AG67" i="6"/>
  <c r="M194" i="6" l="1"/>
  <c r="AJ152" i="6" l="1"/>
  <c r="AC89" i="6"/>
  <c r="AD89" i="6"/>
  <c r="AE89" i="6"/>
  <c r="AF89" i="6"/>
  <c r="AG89" i="6"/>
  <c r="AH89" i="6"/>
  <c r="AI89" i="6"/>
  <c r="AJ89" i="6"/>
  <c r="AK89" i="6"/>
  <c r="AL89" i="6"/>
  <c r="AM89" i="6"/>
  <c r="AN89" i="6"/>
  <c r="AO89" i="6"/>
  <c r="AP89" i="6"/>
  <c r="AQ89" i="6"/>
  <c r="AX89" i="6"/>
  <c r="AY89" i="6"/>
  <c r="AZ89" i="6"/>
  <c r="BA89" i="6"/>
  <c r="BB89" i="6"/>
  <c r="BC89" i="6"/>
  <c r="BD89" i="6"/>
  <c r="BE89" i="6"/>
  <c r="BF89" i="6"/>
  <c r="BG89" i="6"/>
  <c r="BH89" i="6"/>
  <c r="BI89" i="6"/>
  <c r="BJ89" i="6"/>
  <c r="BK89" i="6"/>
  <c r="BL89" i="6"/>
  <c r="AC86" i="6"/>
  <c r="AD86" i="6"/>
  <c r="AE86" i="6"/>
  <c r="AF86" i="6"/>
  <c r="AG86" i="6"/>
  <c r="AH86" i="6"/>
  <c r="AI86" i="6"/>
  <c r="AJ86" i="6"/>
  <c r="AK86" i="6"/>
  <c r="AL86" i="6"/>
  <c r="AM86" i="6"/>
  <c r="AN86" i="6"/>
  <c r="AO86" i="6"/>
  <c r="AP86" i="6"/>
  <c r="AQ86" i="6"/>
  <c r="AX86" i="6"/>
  <c r="AY86" i="6"/>
  <c r="AZ86" i="6"/>
  <c r="BA86" i="6"/>
  <c r="BB86" i="6"/>
  <c r="BC86" i="6"/>
  <c r="BD86" i="6"/>
  <c r="BE86" i="6"/>
  <c r="BF86" i="6"/>
  <c r="BG86" i="6"/>
  <c r="BH86" i="6"/>
  <c r="BI86" i="6"/>
  <c r="BJ86" i="6"/>
  <c r="BK86" i="6"/>
  <c r="BL86" i="6"/>
  <c r="AC87" i="6"/>
  <c r="AD87" i="6"/>
  <c r="AE87" i="6"/>
  <c r="AF87" i="6"/>
  <c r="AG87" i="6"/>
  <c r="AH87" i="6"/>
  <c r="AI87" i="6"/>
  <c r="AJ87" i="6"/>
  <c r="AK87" i="6"/>
  <c r="AL87" i="6"/>
  <c r="AM87" i="6"/>
  <c r="AN87" i="6"/>
  <c r="AO87" i="6"/>
  <c r="AP87" i="6"/>
  <c r="AQ87" i="6"/>
  <c r="AX87" i="6"/>
  <c r="AY87" i="6"/>
  <c r="AZ87" i="6"/>
  <c r="BA87" i="6"/>
  <c r="BB87" i="6"/>
  <c r="BC87" i="6"/>
  <c r="BD87" i="6"/>
  <c r="BE87" i="6"/>
  <c r="BF87" i="6"/>
  <c r="BG87" i="6"/>
  <c r="BH87" i="6"/>
  <c r="BI87" i="6"/>
  <c r="BJ87" i="6"/>
  <c r="BK87" i="6"/>
  <c r="BL87" i="6"/>
  <c r="AC88" i="6"/>
  <c r="AD88" i="6"/>
  <c r="AE88" i="6"/>
  <c r="AF88" i="6"/>
  <c r="AG88" i="6"/>
  <c r="AH88" i="6"/>
  <c r="AI88" i="6"/>
  <c r="AJ88" i="6"/>
  <c r="AK88" i="6"/>
  <c r="AL88" i="6"/>
  <c r="AM88" i="6"/>
  <c r="AN88" i="6"/>
  <c r="AO88" i="6"/>
  <c r="AP88" i="6"/>
  <c r="AQ88" i="6"/>
  <c r="AX88" i="6"/>
  <c r="AY88" i="6"/>
  <c r="AZ88" i="6"/>
  <c r="BA88" i="6"/>
  <c r="BB88" i="6"/>
  <c r="BC88" i="6"/>
  <c r="BD88" i="6"/>
  <c r="BE88" i="6"/>
  <c r="BF88" i="6"/>
  <c r="BG88" i="6"/>
  <c r="BH88" i="6"/>
  <c r="BI88" i="6"/>
  <c r="BJ88" i="6"/>
  <c r="BK88" i="6"/>
  <c r="BL88" i="6"/>
  <c r="BR87" i="6" l="1"/>
  <c r="BR88" i="6"/>
  <c r="BR89" i="6"/>
  <c r="BR86" i="6"/>
  <c r="H16" i="1"/>
  <c r="H17" i="1"/>
  <c r="H18" i="1"/>
  <c r="H20" i="1"/>
  <c r="H22" i="1"/>
  <c r="H23" i="1"/>
  <c r="H24" i="1"/>
  <c r="H29" i="1"/>
  <c r="H31" i="1"/>
  <c r="H32" i="1"/>
  <c r="H33" i="1"/>
  <c r="H38" i="1"/>
  <c r="H39" i="1"/>
  <c r="H40" i="1"/>
  <c r="H41" i="1"/>
  <c r="H47" i="1"/>
  <c r="H48" i="1"/>
  <c r="H49" i="1"/>
  <c r="J22" i="7" l="1"/>
  <c r="I22" i="7"/>
  <c r="I40" i="7"/>
  <c r="J40" i="7"/>
  <c r="I35" i="7"/>
  <c r="J35" i="7"/>
  <c r="J20" i="7"/>
  <c r="I20" i="7"/>
  <c r="I51" i="7"/>
  <c r="J51" i="7"/>
  <c r="J34" i="7"/>
  <c r="I34" i="7"/>
  <c r="I19" i="7"/>
  <c r="J19" i="7"/>
  <c r="J50" i="7"/>
  <c r="I50" i="7"/>
  <c r="J18" i="7"/>
  <c r="I18" i="7"/>
  <c r="F49" i="7"/>
  <c r="J49" i="7"/>
  <c r="I49" i="7"/>
  <c r="I31" i="7"/>
  <c r="J31" i="7"/>
  <c r="I43" i="7"/>
  <c r="J43" i="7"/>
  <c r="I26" i="7"/>
  <c r="J26" i="7"/>
  <c r="I42" i="7"/>
  <c r="J42" i="7"/>
  <c r="I25" i="7"/>
  <c r="J25" i="7"/>
  <c r="I41" i="7"/>
  <c r="J41" i="7"/>
  <c r="J24" i="7"/>
  <c r="I24" i="7"/>
  <c r="H19" i="1"/>
  <c r="H28" i="1"/>
  <c r="H37" i="1"/>
  <c r="H21" i="1"/>
  <c r="H15" i="1"/>
  <c r="H30" i="1"/>
  <c r="H34" i="1" l="1"/>
  <c r="H42" i="1"/>
  <c r="H25" i="1"/>
  <c r="E10" i="1" l="1"/>
  <c r="H18" i="2" l="1"/>
  <c r="H18" i="7" s="1"/>
  <c r="H19" i="2"/>
  <c r="H19" i="7" s="1"/>
  <c r="H20" i="2"/>
  <c r="H20" i="7" s="1"/>
  <c r="H22" i="2"/>
  <c r="H22" i="7" s="1"/>
  <c r="H24" i="2"/>
  <c r="H24" i="7" s="1"/>
  <c r="H25" i="2"/>
  <c r="H25" i="7" s="1"/>
  <c r="H26" i="2"/>
  <c r="H26" i="7" s="1"/>
  <c r="H31" i="2"/>
  <c r="H31" i="7" s="1"/>
  <c r="H34" i="2"/>
  <c r="H34" i="7" s="1"/>
  <c r="H35" i="2"/>
  <c r="H35" i="7" s="1"/>
  <c r="H40" i="2"/>
  <c r="H40" i="7" s="1"/>
  <c r="H41" i="2"/>
  <c r="H41" i="7" s="1"/>
  <c r="H42" i="2"/>
  <c r="H42" i="7" s="1"/>
  <c r="H43" i="2"/>
  <c r="H43" i="7" s="1"/>
  <c r="H48" i="2"/>
  <c r="H49" i="2"/>
  <c r="H49" i="7" s="1"/>
  <c r="H50" i="2"/>
  <c r="H50" i="7" s="1"/>
  <c r="H51" i="2"/>
  <c r="H51" i="7" s="1"/>
  <c r="C35" i="4"/>
  <c r="D35" i="4"/>
  <c r="E35" i="4"/>
  <c r="F35" i="4"/>
  <c r="I36" i="4"/>
  <c r="I35" i="4" s="1"/>
  <c r="H30" i="2" l="1"/>
  <c r="H21" i="2"/>
  <c r="H39" i="2"/>
  <c r="H23" i="2"/>
  <c r="H17" i="2"/>
  <c r="H47" i="2"/>
  <c r="H44" i="2" l="1"/>
  <c r="H52" i="2"/>
  <c r="H27" i="2"/>
  <c r="C15" i="1" l="1"/>
  <c r="AR73" i="6" l="1"/>
  <c r="AT73" i="6"/>
  <c r="AU73" i="6"/>
  <c r="AS73" i="6"/>
  <c r="D52" i="2"/>
  <c r="D44" i="2"/>
  <c r="D32" i="2"/>
  <c r="D30" i="2"/>
  <c r="D21" i="2"/>
  <c r="D17" i="2"/>
  <c r="BL9" i="6"/>
  <c r="D36" i="2" l="1"/>
  <c r="AH70" i="6"/>
  <c r="D45" i="1"/>
  <c r="D19" i="1"/>
  <c r="D21" i="1"/>
  <c r="D28" i="1"/>
  <c r="D30" i="1"/>
  <c r="D37" i="1"/>
  <c r="D42" i="1" s="1"/>
  <c r="D50" i="1" l="1"/>
  <c r="D25" i="1"/>
  <c r="D34" i="1"/>
  <c r="C19" i="1"/>
  <c r="C21" i="1"/>
  <c r="C28" i="1"/>
  <c r="C30" i="1"/>
  <c r="C37" i="1"/>
  <c r="C45" i="1"/>
  <c r="C39" i="7" l="1"/>
  <c r="C42" i="1"/>
  <c r="C25" i="1"/>
  <c r="C34" i="1"/>
  <c r="BL31" i="6" l="1"/>
  <c r="BK31" i="6"/>
  <c r="BJ31" i="6"/>
  <c r="BI31" i="6"/>
  <c r="BH31" i="6"/>
  <c r="BG31" i="6"/>
  <c r="BF31" i="6"/>
  <c r="BE31" i="6"/>
  <c r="BD31" i="6"/>
  <c r="BA31" i="6"/>
  <c r="AZ31" i="6"/>
  <c r="AY31" i="6"/>
  <c r="AX31" i="6"/>
  <c r="AQ31" i="6"/>
  <c r="AP31" i="6"/>
  <c r="AO31" i="6"/>
  <c r="AN31" i="6"/>
  <c r="AM31" i="6"/>
  <c r="AL31" i="6"/>
  <c r="AK31" i="6"/>
  <c r="AJ31" i="6"/>
  <c r="AI31" i="6"/>
  <c r="AH31" i="6"/>
  <c r="AG31" i="6"/>
  <c r="AF31" i="6"/>
  <c r="AE31" i="6"/>
  <c r="AD31" i="6"/>
  <c r="AC31" i="6"/>
  <c r="BD136" i="6"/>
  <c r="BR31" i="6" l="1"/>
  <c r="E37" i="1"/>
  <c r="G37" i="1"/>
  <c r="F37" i="1"/>
  <c r="AC84" i="6"/>
  <c r="AD84" i="6"/>
  <c r="AE84" i="6"/>
  <c r="AF84" i="6"/>
  <c r="AG84" i="6"/>
  <c r="AH84" i="6"/>
  <c r="AI84" i="6"/>
  <c r="AJ84" i="6"/>
  <c r="AK84" i="6"/>
  <c r="AL84" i="6"/>
  <c r="AM84" i="6"/>
  <c r="AN84" i="6"/>
  <c r="AO84" i="6"/>
  <c r="AP84" i="6"/>
  <c r="AQ84" i="6"/>
  <c r="AX84" i="6"/>
  <c r="AY84" i="6"/>
  <c r="AZ84" i="6"/>
  <c r="BA84" i="6"/>
  <c r="BB84" i="6"/>
  <c r="BC84" i="6"/>
  <c r="BD84" i="6"/>
  <c r="BE84" i="6"/>
  <c r="BF84" i="6"/>
  <c r="BG84" i="6"/>
  <c r="BH84" i="6"/>
  <c r="BI84" i="6"/>
  <c r="BJ84" i="6"/>
  <c r="BK84" i="6"/>
  <c r="BL84" i="6"/>
  <c r="AC39" i="6"/>
  <c r="AD39" i="6"/>
  <c r="AE39" i="6"/>
  <c r="AF39" i="6"/>
  <c r="AG39" i="6"/>
  <c r="AH39" i="6"/>
  <c r="AI39" i="6"/>
  <c r="AJ39" i="6"/>
  <c r="AK39" i="6"/>
  <c r="AL39" i="6"/>
  <c r="AM39" i="6"/>
  <c r="AN39" i="6"/>
  <c r="AO39" i="6"/>
  <c r="AP39" i="6"/>
  <c r="AQ39" i="6"/>
  <c r="AX39" i="6"/>
  <c r="AY39" i="6"/>
  <c r="AZ39" i="6"/>
  <c r="BB39" i="6"/>
  <c r="BC39" i="6"/>
  <c r="BE39" i="6"/>
  <c r="BF39" i="6"/>
  <c r="BG39" i="6"/>
  <c r="BH39" i="6"/>
  <c r="BI39" i="6"/>
  <c r="BJ39" i="6"/>
  <c r="BK39" i="6"/>
  <c r="BL39" i="6"/>
  <c r="E39" i="7" l="1"/>
  <c r="F39" i="7"/>
  <c r="D39" i="7"/>
  <c r="G39" i="7"/>
  <c r="J39" i="7"/>
  <c r="I39" i="7"/>
  <c r="H39" i="7"/>
  <c r="BR84" i="6"/>
  <c r="BR39" i="6"/>
  <c r="AI5" i="6"/>
  <c r="AJ5" i="6"/>
  <c r="AM4" i="6"/>
  <c r="AL4" i="6"/>
  <c r="AJ4" i="6"/>
  <c r="AI4" i="6"/>
  <c r="AH4" i="6"/>
  <c r="E15" i="1" l="1"/>
  <c r="F15" i="1"/>
  <c r="G15" i="1"/>
  <c r="E19" i="1"/>
  <c r="F19" i="1"/>
  <c r="G19" i="1"/>
  <c r="E21" i="1"/>
  <c r="F21" i="1"/>
  <c r="G21" i="1"/>
  <c r="E28" i="1"/>
  <c r="G28" i="1"/>
  <c r="E30" i="1"/>
  <c r="F30" i="1"/>
  <c r="G30" i="1"/>
  <c r="E42" i="1"/>
  <c r="F42" i="1"/>
  <c r="G42" i="1"/>
  <c r="E45" i="1"/>
  <c r="F45" i="1"/>
  <c r="F50" i="1" s="1"/>
  <c r="G45" i="1"/>
  <c r="G50" i="1" l="1"/>
  <c r="E50" i="1"/>
  <c r="E34" i="1"/>
  <c r="G25" i="1"/>
  <c r="G34" i="1"/>
  <c r="F25" i="1"/>
  <c r="E25" i="1"/>
  <c r="G52" i="1" l="1"/>
  <c r="E52" i="1"/>
  <c r="G37" i="3" l="1"/>
  <c r="G36" i="3" s="1"/>
  <c r="F36" i="3"/>
  <c r="E36" i="3"/>
  <c r="D36" i="3"/>
  <c r="C36" i="3"/>
  <c r="D35" i="3"/>
  <c r="D34" i="3" s="1"/>
  <c r="F34" i="3"/>
  <c r="E34" i="3"/>
  <c r="C34" i="3"/>
  <c r="F38" i="3" l="1"/>
  <c r="C38" i="3"/>
  <c r="D38" i="3"/>
  <c r="G35" i="3"/>
  <c r="G34" i="3"/>
  <c r="G38" i="3" s="1"/>
  <c r="E38" i="3"/>
  <c r="BL79" i="6" l="1"/>
  <c r="BL80" i="6"/>
  <c r="BL77" i="6"/>
  <c r="BL78" i="6"/>
  <c r="BL91" i="6"/>
  <c r="AG4" i="6" l="1"/>
  <c r="BL37" i="6" l="1"/>
  <c r="BJ37" i="6"/>
  <c r="BI37" i="6"/>
  <c r="BH37" i="6"/>
  <c r="BG37" i="6"/>
  <c r="BF37" i="6"/>
  <c r="BC37" i="6"/>
  <c r="BB37" i="6"/>
  <c r="AZ37" i="6"/>
  <c r="AY37" i="6"/>
  <c r="AX37" i="6"/>
  <c r="AN37" i="6"/>
  <c r="AJ37" i="6"/>
  <c r="AF37" i="6"/>
  <c r="BE37" i="6"/>
  <c r="AC37" i="6" l="1"/>
  <c r="AG37" i="6"/>
  <c r="AK37" i="6"/>
  <c r="AO37" i="6"/>
  <c r="AD37" i="6"/>
  <c r="AH37" i="6"/>
  <c r="AL37" i="6"/>
  <c r="AP37" i="6"/>
  <c r="AE37" i="6"/>
  <c r="AI37" i="6"/>
  <c r="AM37" i="6"/>
  <c r="AQ37" i="6"/>
  <c r="BR37" i="6" l="1"/>
  <c r="AE136" i="6"/>
  <c r="AF136" i="6"/>
  <c r="AG136" i="6"/>
  <c r="AH136" i="6"/>
  <c r="AI136" i="6"/>
  <c r="AJ136" i="6"/>
  <c r="AL136" i="6"/>
  <c r="AM136" i="6"/>
  <c r="AN136" i="6"/>
  <c r="AO136" i="6"/>
  <c r="AP136" i="6"/>
  <c r="AQ136" i="6"/>
  <c r="AX136" i="6"/>
  <c r="AZ136" i="6"/>
  <c r="BA136" i="6"/>
  <c r="BB136" i="6"/>
  <c r="BE136" i="6"/>
  <c r="BF136" i="6"/>
  <c r="AD136" i="6" l="1"/>
  <c r="AY136" i="6" l="1"/>
  <c r="BR136" i="6" s="1"/>
  <c r="AH33" i="6" l="1"/>
  <c r="D5" i="1" l="1"/>
  <c r="BI21" i="6" l="1"/>
  <c r="BH21" i="6"/>
  <c r="BG21" i="6"/>
  <c r="BF21" i="6"/>
  <c r="BE21" i="6"/>
  <c r="BD21" i="6"/>
  <c r="BC21" i="6"/>
  <c r="BB21" i="6"/>
  <c r="BA21" i="6"/>
  <c r="AZ21" i="6"/>
  <c r="AY21" i="6"/>
  <c r="AX21" i="6"/>
  <c r="AQ21" i="6"/>
  <c r="AP21" i="6"/>
  <c r="AO21" i="6"/>
  <c r="AN21" i="6"/>
  <c r="AM21" i="6"/>
  <c r="AL21" i="6"/>
  <c r="AK21" i="6"/>
  <c r="AJ21" i="6"/>
  <c r="AI21" i="6"/>
  <c r="AH21" i="6"/>
  <c r="AG21" i="6"/>
  <c r="AF21" i="6"/>
  <c r="AE21" i="6"/>
  <c r="AD21" i="6"/>
  <c r="AC21" i="6"/>
  <c r="BL17" i="6"/>
  <c r="BK17" i="6"/>
  <c r="BJ17" i="6"/>
  <c r="BI17" i="6"/>
  <c r="BH17" i="6"/>
  <c r="BG17" i="6"/>
  <c r="BF17" i="6"/>
  <c r="BE17" i="6"/>
  <c r="BD17" i="6"/>
  <c r="BC17" i="6"/>
  <c r="BB17" i="6"/>
  <c r="BA17" i="6"/>
  <c r="AZ17" i="6"/>
  <c r="AY17" i="6"/>
  <c r="AX17" i="6"/>
  <c r="AQ17" i="6"/>
  <c r="AP17" i="6"/>
  <c r="AO17" i="6"/>
  <c r="AN17" i="6"/>
  <c r="AM17" i="6"/>
  <c r="AL17" i="6"/>
  <c r="AK17" i="6"/>
  <c r="AJ17" i="6"/>
  <c r="AI17" i="6"/>
  <c r="AH17" i="6"/>
  <c r="AG17" i="6"/>
  <c r="AF17" i="6"/>
  <c r="AE17" i="6"/>
  <c r="AD17" i="6"/>
  <c r="AC17" i="6"/>
  <c r="AF29" i="6"/>
  <c r="BL36" i="6"/>
  <c r="BK36" i="6"/>
  <c r="BJ36" i="6"/>
  <c r="BI36" i="6"/>
  <c r="BH36" i="6"/>
  <c r="BG36" i="6"/>
  <c r="BF36" i="6"/>
  <c r="BE36" i="6"/>
  <c r="BC36" i="6"/>
  <c r="BB36" i="6"/>
  <c r="AY36" i="6"/>
  <c r="AX36" i="6"/>
  <c r="AQ36" i="6"/>
  <c r="BR21" i="6" l="1"/>
  <c r="BR17" i="6"/>
  <c r="AC36" i="6"/>
  <c r="AK36" i="6"/>
  <c r="AF36" i="6"/>
  <c r="AN36" i="6"/>
  <c r="AI36" i="6"/>
  <c r="AG36" i="6"/>
  <c r="AJ36" i="6"/>
  <c r="AO36" i="6"/>
  <c r="AD36" i="6"/>
  <c r="AH36" i="6"/>
  <c r="AL36" i="6"/>
  <c r="AP36" i="6"/>
  <c r="AZ36" i="6"/>
  <c r="AE36" i="6"/>
  <c r="AM36" i="6"/>
  <c r="BR36" i="6" l="1"/>
  <c r="AC9" i="6"/>
  <c r="AD9" i="6"/>
  <c r="AE9" i="6"/>
  <c r="AF9" i="6"/>
  <c r="AG9" i="6"/>
  <c r="AH9" i="6"/>
  <c r="AI9" i="6"/>
  <c r="AJ9" i="6"/>
  <c r="AK9" i="6"/>
  <c r="AL9" i="6"/>
  <c r="AM9" i="6"/>
  <c r="AN9" i="6"/>
  <c r="AO9" i="6"/>
  <c r="AP9" i="6"/>
  <c r="AQ9" i="6"/>
  <c r="AX9" i="6"/>
  <c r="AY9" i="6"/>
  <c r="AZ9" i="6"/>
  <c r="BA9" i="6"/>
  <c r="BD9" i="6"/>
  <c r="BF9" i="6"/>
  <c r="BG9" i="6"/>
  <c r="BH9" i="6"/>
  <c r="BI9" i="6"/>
  <c r="BJ9" i="6"/>
  <c r="BK9" i="6"/>
  <c r="BR9" i="6" l="1"/>
  <c r="E17" i="2"/>
  <c r="F17" i="2"/>
  <c r="I194" i="6" l="1"/>
  <c r="Q194" i="6"/>
  <c r="D68" i="6"/>
  <c r="D196" i="6" s="1"/>
  <c r="T194" i="6" l="1"/>
  <c r="H194" i="6"/>
  <c r="AR68" i="6"/>
  <c r="AR194" i="6" s="1"/>
  <c r="AS68" i="6"/>
  <c r="AT68" i="6"/>
  <c r="AU68" i="6"/>
  <c r="H33" i="2"/>
  <c r="H33" i="7" s="1"/>
  <c r="E12" i="2"/>
  <c r="H32" i="2" l="1"/>
  <c r="K33" i="2"/>
  <c r="K32" i="2" s="1"/>
  <c r="K36" i="2" s="1"/>
  <c r="K54" i="2" s="1"/>
  <c r="AU194" i="6"/>
  <c r="J33" i="2"/>
  <c r="J33" i="7" s="1"/>
  <c r="AT194" i="6"/>
  <c r="I33" i="2"/>
  <c r="I33" i="7" s="1"/>
  <c r="AS194" i="6"/>
  <c r="BL66" i="6"/>
  <c r="BK66" i="6"/>
  <c r="BJ66" i="6"/>
  <c r="BI66" i="6"/>
  <c r="BH66" i="6"/>
  <c r="BG66" i="6"/>
  <c r="BF66" i="6"/>
  <c r="BE66" i="6"/>
  <c r="BD66" i="6"/>
  <c r="BC66" i="6"/>
  <c r="BB66" i="6"/>
  <c r="BA66" i="6"/>
  <c r="AZ66" i="6"/>
  <c r="AY66" i="6"/>
  <c r="AX66" i="6"/>
  <c r="AQ66" i="6"/>
  <c r="AP66" i="6"/>
  <c r="AO66" i="6"/>
  <c r="AN66" i="6"/>
  <c r="AM66" i="6"/>
  <c r="AL66" i="6"/>
  <c r="AK66" i="6"/>
  <c r="AJ66" i="6"/>
  <c r="AI66" i="6"/>
  <c r="AH66" i="6"/>
  <c r="AG66" i="6"/>
  <c r="AF66" i="6"/>
  <c r="AE66" i="6"/>
  <c r="AD66" i="6"/>
  <c r="AC66" i="6"/>
  <c r="BR66" i="6" l="1"/>
  <c r="I32" i="2"/>
  <c r="J32" i="2"/>
  <c r="H36" i="2"/>
  <c r="AC35" i="6"/>
  <c r="AD35" i="6"/>
  <c r="AE35" i="6"/>
  <c r="AF35" i="6"/>
  <c r="AG35" i="6"/>
  <c r="AH35" i="6"/>
  <c r="AI35" i="6"/>
  <c r="AJ35" i="6"/>
  <c r="AK35" i="6"/>
  <c r="AL35" i="6"/>
  <c r="AM35" i="6"/>
  <c r="AN35" i="6"/>
  <c r="AO35" i="6"/>
  <c r="AP35" i="6"/>
  <c r="AQ35" i="6"/>
  <c r="AX35" i="6"/>
  <c r="AY35" i="6"/>
  <c r="AZ35" i="6"/>
  <c r="BA35" i="6"/>
  <c r="BB35" i="6"/>
  <c r="BC35" i="6"/>
  <c r="BD35" i="6"/>
  <c r="BE35" i="6"/>
  <c r="BF35" i="6"/>
  <c r="BG35" i="6"/>
  <c r="BH35" i="6"/>
  <c r="BI35" i="6"/>
  <c r="BK35" i="6"/>
  <c r="BL35" i="6"/>
  <c r="AC65" i="6"/>
  <c r="AD65" i="6"/>
  <c r="AE65" i="6"/>
  <c r="AF65" i="6"/>
  <c r="AG65" i="6"/>
  <c r="AH65" i="6"/>
  <c r="AI65" i="6"/>
  <c r="AJ65" i="6"/>
  <c r="AK65" i="6"/>
  <c r="AL65" i="6"/>
  <c r="AM65" i="6"/>
  <c r="AN65" i="6"/>
  <c r="AO65" i="6"/>
  <c r="AP65" i="6"/>
  <c r="AQ65" i="6"/>
  <c r="AX65" i="6"/>
  <c r="AY65" i="6"/>
  <c r="AZ65" i="6"/>
  <c r="BA65" i="6"/>
  <c r="BB65" i="6"/>
  <c r="BC65" i="6"/>
  <c r="BD65" i="6"/>
  <c r="BE65" i="6"/>
  <c r="BF65" i="6"/>
  <c r="BG65" i="6"/>
  <c r="BH65" i="6"/>
  <c r="BI65" i="6"/>
  <c r="BJ65" i="6"/>
  <c r="BK65" i="6"/>
  <c r="D5" i="2"/>
  <c r="AQ128" i="6"/>
  <c r="BL128" i="6" s="1"/>
  <c r="BJ128" i="6"/>
  <c r="BI128" i="6"/>
  <c r="AM128" i="6"/>
  <c r="AN128" i="6"/>
  <c r="AO128" i="6"/>
  <c r="AP128" i="6"/>
  <c r="BG128" i="6"/>
  <c r="BF128" i="6"/>
  <c r="AI128" i="6"/>
  <c r="AJ128" i="6"/>
  <c r="AK128" i="6"/>
  <c r="AL128" i="6"/>
  <c r="BC128" i="6"/>
  <c r="BB128" i="6"/>
  <c r="AE128" i="6"/>
  <c r="AF128" i="6"/>
  <c r="AG128" i="6"/>
  <c r="AH128" i="6"/>
  <c r="AY128" i="6"/>
  <c r="AX128" i="6"/>
  <c r="AD128" i="6"/>
  <c r="AC128" i="6"/>
  <c r="AF127" i="6"/>
  <c r="AF152" i="6"/>
  <c r="AF4" i="6"/>
  <c r="AF5" i="6"/>
  <c r="AF6" i="6"/>
  <c r="AF10" i="6"/>
  <c r="AF32" i="6"/>
  <c r="AF34" i="6"/>
  <c r="AF33" i="6"/>
  <c r="AF67" i="6"/>
  <c r="AF64" i="6"/>
  <c r="AF68" i="6"/>
  <c r="AF73" i="6"/>
  <c r="AF70" i="6"/>
  <c r="AF76" i="6"/>
  <c r="AF81" i="6"/>
  <c r="AF85" i="6"/>
  <c r="AF79" i="6"/>
  <c r="AF80" i="6"/>
  <c r="AF77" i="6"/>
  <c r="AF78" i="6"/>
  <c r="AF91" i="6"/>
  <c r="AF83" i="6"/>
  <c r="AF122" i="6"/>
  <c r="AF123" i="6"/>
  <c r="AF142" i="6"/>
  <c r="AF147" i="6"/>
  <c r="AF148" i="6"/>
  <c r="AF162" i="6"/>
  <c r="AF165" i="6"/>
  <c r="BA165" i="6" s="1"/>
  <c r="BA168" i="6"/>
  <c r="AE147" i="6"/>
  <c r="AE148" i="6"/>
  <c r="N45" i="1"/>
  <c r="G45" i="9"/>
  <c r="D45" i="9" s="1"/>
  <c r="H46" i="9"/>
  <c r="D46" i="9" s="1"/>
  <c r="H47" i="9"/>
  <c r="D47" i="9" s="1"/>
  <c r="H48" i="9"/>
  <c r="I48" i="9"/>
  <c r="AA48" i="9" s="1"/>
  <c r="J48" i="9"/>
  <c r="AB48" i="9" s="1"/>
  <c r="K48" i="9"/>
  <c r="L48" i="9"/>
  <c r="M48" i="9"/>
  <c r="AE48" i="9" s="1"/>
  <c r="N48" i="9"/>
  <c r="AF48" i="9" s="1"/>
  <c r="O48" i="9"/>
  <c r="AG48" i="9" s="1"/>
  <c r="P48" i="9"/>
  <c r="Q48" i="9"/>
  <c r="AI48" i="9" s="1"/>
  <c r="R48" i="9"/>
  <c r="AJ48" i="9" s="1"/>
  <c r="S48" i="9"/>
  <c r="AK48" i="9" s="1"/>
  <c r="T48" i="9"/>
  <c r="D17" i="9"/>
  <c r="X17" i="9" s="1"/>
  <c r="D18" i="9"/>
  <c r="X18" i="9" s="1"/>
  <c r="D43" i="9"/>
  <c r="D44" i="9"/>
  <c r="H49" i="9"/>
  <c r="I49" i="9"/>
  <c r="AA49" i="9" s="1"/>
  <c r="J49" i="9"/>
  <c r="K49" i="9"/>
  <c r="L49" i="9"/>
  <c r="M49" i="9"/>
  <c r="AE49" i="9" s="1"/>
  <c r="N49" i="9"/>
  <c r="AF49" i="9" s="1"/>
  <c r="O49" i="9"/>
  <c r="P49" i="9"/>
  <c r="AH49" i="9" s="1"/>
  <c r="Q49" i="9"/>
  <c r="AI49" i="9" s="1"/>
  <c r="R49" i="9"/>
  <c r="AJ49" i="9" s="1"/>
  <c r="S49" i="9"/>
  <c r="T49" i="9"/>
  <c r="D50" i="9"/>
  <c r="D51" i="9"/>
  <c r="D76" i="9"/>
  <c r="D77" i="9"/>
  <c r="D78" i="9"/>
  <c r="B78" i="9"/>
  <c r="B77" i="9"/>
  <c r="B76" i="9"/>
  <c r="B75" i="9"/>
  <c r="I24" i="4"/>
  <c r="D70" i="9"/>
  <c r="D71" i="9"/>
  <c r="D72" i="9"/>
  <c r="D73" i="9"/>
  <c r="B73" i="9"/>
  <c r="B72" i="9"/>
  <c r="B71" i="9"/>
  <c r="A36" i="1"/>
  <c r="A37" i="1"/>
  <c r="E69" i="9"/>
  <c r="D67" i="9"/>
  <c r="D69" i="9" s="1"/>
  <c r="D68" i="9"/>
  <c r="B68" i="9"/>
  <c r="B67" i="9"/>
  <c r="I20" i="4"/>
  <c r="E66" i="9" s="1"/>
  <c r="D65" i="9"/>
  <c r="D66" i="9" s="1"/>
  <c r="B65" i="9"/>
  <c r="C14" i="4"/>
  <c r="D14" i="4"/>
  <c r="E14" i="4"/>
  <c r="D59" i="9"/>
  <c r="D60" i="9"/>
  <c r="D61" i="9"/>
  <c r="D62" i="9"/>
  <c r="D63" i="9"/>
  <c r="A19" i="1"/>
  <c r="X55" i="9"/>
  <c r="Y55" i="9"/>
  <c r="Z55" i="9"/>
  <c r="AP55" i="9" s="1"/>
  <c r="AA55" i="9"/>
  <c r="AQ55" i="9" s="1"/>
  <c r="AB55" i="9"/>
  <c r="AR55" i="9" s="1"/>
  <c r="AC55" i="9"/>
  <c r="AS55" i="9" s="1"/>
  <c r="AD55" i="9"/>
  <c r="AT55" i="9" s="1"/>
  <c r="AE55" i="9"/>
  <c r="AU55" i="9" s="1"/>
  <c r="AF55" i="9"/>
  <c r="AV55" i="9" s="1"/>
  <c r="AG55" i="9"/>
  <c r="AW55" i="9" s="1"/>
  <c r="AH55" i="9"/>
  <c r="AX55" i="9" s="1"/>
  <c r="AI55" i="9"/>
  <c r="AY55" i="9" s="1"/>
  <c r="AJ55" i="9"/>
  <c r="AZ55" i="9" s="1"/>
  <c r="AK55" i="9"/>
  <c r="BA55" i="9" s="1"/>
  <c r="AL55" i="9"/>
  <c r="BB55" i="9" s="1"/>
  <c r="AN55" i="9"/>
  <c r="U55" i="9"/>
  <c r="B55" i="9"/>
  <c r="X54" i="9"/>
  <c r="AN54" i="9" s="1"/>
  <c r="Y54" i="9"/>
  <c r="AO54" i="9" s="1"/>
  <c r="Z54" i="9"/>
  <c r="AP54" i="9" s="1"/>
  <c r="AA54" i="9"/>
  <c r="AQ54" i="9" s="1"/>
  <c r="AB54" i="9"/>
  <c r="AR54" i="9" s="1"/>
  <c r="AC54" i="9"/>
  <c r="AS54" i="9" s="1"/>
  <c r="AD54" i="9"/>
  <c r="AT54" i="9" s="1"/>
  <c r="AE54" i="9"/>
  <c r="AU54" i="9" s="1"/>
  <c r="AF54" i="9"/>
  <c r="AV54" i="9" s="1"/>
  <c r="AG54" i="9"/>
  <c r="AW54" i="9" s="1"/>
  <c r="AH54" i="9"/>
  <c r="AX54" i="9" s="1"/>
  <c r="AI54" i="9"/>
  <c r="AY54" i="9" s="1"/>
  <c r="AJ54" i="9"/>
  <c r="AZ54" i="9" s="1"/>
  <c r="AK54" i="9"/>
  <c r="BA54" i="9" s="1"/>
  <c r="T54" i="9"/>
  <c r="AL54" i="9" s="1"/>
  <c r="BB54" i="9" s="1"/>
  <c r="B54" i="9"/>
  <c r="BD53" i="9"/>
  <c r="BD52" i="9"/>
  <c r="X51" i="9"/>
  <c r="Y51" i="9"/>
  <c r="Z51" i="9"/>
  <c r="AA51" i="9"/>
  <c r="AB51" i="9"/>
  <c r="AC51" i="9"/>
  <c r="AD51" i="9"/>
  <c r="AE51" i="9"/>
  <c r="AF51" i="9"/>
  <c r="AG51" i="9"/>
  <c r="AH51" i="9"/>
  <c r="AI51" i="9"/>
  <c r="AJ51" i="9"/>
  <c r="AK51" i="9"/>
  <c r="AL51" i="9"/>
  <c r="AN51" i="9"/>
  <c r="AO51" i="9"/>
  <c r="AP51" i="9"/>
  <c r="AR51" i="9"/>
  <c r="AS51" i="9"/>
  <c r="AT51" i="9"/>
  <c r="AV51" i="9"/>
  <c r="AW51" i="9"/>
  <c r="AX51" i="9"/>
  <c r="AZ51" i="9"/>
  <c r="BA51" i="9"/>
  <c r="BB51" i="9"/>
  <c r="U51" i="9"/>
  <c r="I50" i="9"/>
  <c r="J50" i="9"/>
  <c r="K50" i="9"/>
  <c r="L50" i="9"/>
  <c r="M50" i="9"/>
  <c r="N50" i="9"/>
  <c r="O50" i="9"/>
  <c r="P50" i="9"/>
  <c r="B50" i="9"/>
  <c r="X49" i="9"/>
  <c r="Y49" i="9"/>
  <c r="Z49" i="9"/>
  <c r="AB49" i="9"/>
  <c r="AC49" i="9"/>
  <c r="AD49" i="9"/>
  <c r="AG49" i="9"/>
  <c r="AK49" i="9"/>
  <c r="AL49" i="9"/>
  <c r="AN49" i="9"/>
  <c r="AP49" i="9"/>
  <c r="AQ49" i="9"/>
  <c r="AR49" i="9"/>
  <c r="AT49" i="9"/>
  <c r="AU49" i="9"/>
  <c r="AV49" i="9"/>
  <c r="AX49" i="9"/>
  <c r="AY49" i="9"/>
  <c r="AZ49" i="9"/>
  <c r="BB49" i="9"/>
  <c r="B49" i="9"/>
  <c r="X48" i="9"/>
  <c r="Y48" i="9"/>
  <c r="Z48" i="9"/>
  <c r="AD48" i="9"/>
  <c r="AH48" i="9"/>
  <c r="AL48" i="9"/>
  <c r="AN48" i="9"/>
  <c r="AP48" i="9"/>
  <c r="AQ48" i="9"/>
  <c r="AR48" i="9"/>
  <c r="AT48" i="9"/>
  <c r="AU48" i="9"/>
  <c r="AV48" i="9"/>
  <c r="AX48" i="9"/>
  <c r="AY48" i="9"/>
  <c r="AZ48" i="9"/>
  <c r="BB48" i="9"/>
  <c r="B48" i="9"/>
  <c r="X47" i="9"/>
  <c r="Y47" i="9"/>
  <c r="AA47" i="9"/>
  <c r="AB47" i="9"/>
  <c r="AC47" i="9"/>
  <c r="AD47" i="9"/>
  <c r="AE47" i="9"/>
  <c r="AF47" i="9"/>
  <c r="AG47" i="9"/>
  <c r="AH47" i="9"/>
  <c r="AI47" i="9"/>
  <c r="AJ47" i="9"/>
  <c r="AK47" i="9"/>
  <c r="AL47" i="9"/>
  <c r="AN47" i="9"/>
  <c r="AP47" i="9"/>
  <c r="AQ47" i="9"/>
  <c r="AR47" i="9"/>
  <c r="AT47" i="9"/>
  <c r="AU47" i="9"/>
  <c r="AV47" i="9"/>
  <c r="AX47" i="9"/>
  <c r="AY47" i="9"/>
  <c r="AZ47" i="9"/>
  <c r="BB47" i="9"/>
  <c r="B47" i="9"/>
  <c r="X46" i="9"/>
  <c r="Y46" i="9"/>
  <c r="Z46" i="9"/>
  <c r="AA46" i="9"/>
  <c r="AB46" i="9"/>
  <c r="AC46" i="9"/>
  <c r="AD46" i="9"/>
  <c r="AE46" i="9"/>
  <c r="AF46" i="9"/>
  <c r="AG46" i="9"/>
  <c r="AH46" i="9"/>
  <c r="AI46" i="9"/>
  <c r="AJ46" i="9"/>
  <c r="AK46" i="9"/>
  <c r="AL46" i="9"/>
  <c r="BB46" i="9" s="1"/>
  <c r="AN46" i="9"/>
  <c r="AO46" i="9"/>
  <c r="AQ46" i="9"/>
  <c r="AR46" i="9"/>
  <c r="AS46" i="9"/>
  <c r="AU46" i="9"/>
  <c r="AV46" i="9"/>
  <c r="AW46" i="9"/>
  <c r="AY46" i="9"/>
  <c r="AZ46" i="9"/>
  <c r="BA46" i="9"/>
  <c r="U46" i="9"/>
  <c r="B46" i="9"/>
  <c r="X45" i="9"/>
  <c r="Z45" i="9"/>
  <c r="AA45" i="9"/>
  <c r="AB45" i="9"/>
  <c r="AC45" i="9"/>
  <c r="AD45" i="9"/>
  <c r="AE45" i="9"/>
  <c r="AF45" i="9"/>
  <c r="AG45" i="9"/>
  <c r="AH45" i="9"/>
  <c r="AI45" i="9"/>
  <c r="AJ45" i="9"/>
  <c r="AK45" i="9"/>
  <c r="AL45" i="9"/>
  <c r="AO45" i="9"/>
  <c r="AP45" i="9"/>
  <c r="AQ45" i="9"/>
  <c r="AS45" i="9"/>
  <c r="AT45" i="9"/>
  <c r="AU45" i="9"/>
  <c r="AW45" i="9"/>
  <c r="AX45" i="9"/>
  <c r="AY45" i="9"/>
  <c r="BA45" i="9"/>
  <c r="BB45" i="9"/>
  <c r="B45" i="9"/>
  <c r="X44" i="9"/>
  <c r="Y44" i="9"/>
  <c r="Z44" i="9"/>
  <c r="AA44" i="9"/>
  <c r="AB44" i="9"/>
  <c r="AC44" i="9"/>
  <c r="AD44" i="9"/>
  <c r="AE44" i="9"/>
  <c r="AF44" i="9"/>
  <c r="AG44" i="9"/>
  <c r="AH44" i="9"/>
  <c r="AI44" i="9"/>
  <c r="AJ44" i="9"/>
  <c r="AK44" i="9"/>
  <c r="AL44" i="9"/>
  <c r="BB44" i="9" s="1"/>
  <c r="AN44" i="9"/>
  <c r="AO44" i="9"/>
  <c r="AQ44" i="9"/>
  <c r="AR44" i="9"/>
  <c r="AS44" i="9"/>
  <c r="AU44" i="9"/>
  <c r="AV44" i="9"/>
  <c r="AW44" i="9"/>
  <c r="AY44" i="9"/>
  <c r="AZ44" i="9"/>
  <c r="BA44" i="9"/>
  <c r="U44" i="9"/>
  <c r="X43" i="9"/>
  <c r="Y43" i="9"/>
  <c r="Z43" i="9"/>
  <c r="AA43" i="9"/>
  <c r="AB43" i="9"/>
  <c r="AC43" i="9"/>
  <c r="AD43" i="9"/>
  <c r="AE43" i="9"/>
  <c r="AF43" i="9"/>
  <c r="AG43" i="9"/>
  <c r="AH43" i="9"/>
  <c r="AI43" i="9"/>
  <c r="AJ43" i="9"/>
  <c r="AK43" i="9"/>
  <c r="AL43" i="9"/>
  <c r="AN43" i="9"/>
  <c r="AP43" i="9"/>
  <c r="AQ43" i="9"/>
  <c r="AR43" i="9"/>
  <c r="AT43" i="9"/>
  <c r="AU43" i="9"/>
  <c r="AV43" i="9"/>
  <c r="AX43" i="9"/>
  <c r="AY43" i="9"/>
  <c r="AZ43" i="9"/>
  <c r="BB43" i="9"/>
  <c r="U43" i="9"/>
  <c r="BD42" i="9"/>
  <c r="BD41" i="9"/>
  <c r="X40" i="9"/>
  <c r="Y40" i="9"/>
  <c r="Z40" i="9"/>
  <c r="AA40" i="9"/>
  <c r="AB40" i="9"/>
  <c r="AC40" i="9"/>
  <c r="AD40" i="9"/>
  <c r="AE40" i="9"/>
  <c r="AF40" i="9"/>
  <c r="AG40" i="9"/>
  <c r="AH40" i="9"/>
  <c r="AI40" i="9"/>
  <c r="AJ40" i="9"/>
  <c r="AK40" i="9"/>
  <c r="AL40" i="9"/>
  <c r="AN40" i="9"/>
  <c r="AO40" i="9"/>
  <c r="AP40" i="9"/>
  <c r="AQ40" i="9"/>
  <c r="AR40" i="9"/>
  <c r="AS40" i="9"/>
  <c r="AT40" i="9"/>
  <c r="AU40" i="9"/>
  <c r="AV40" i="9"/>
  <c r="AW40" i="9"/>
  <c r="AX40" i="9"/>
  <c r="AY40" i="9"/>
  <c r="AZ40" i="9"/>
  <c r="BA40" i="9"/>
  <c r="BB40" i="9"/>
  <c r="A34" i="1"/>
  <c r="A35" i="1"/>
  <c r="A25" i="1"/>
  <c r="A26" i="1"/>
  <c r="A27" i="1"/>
  <c r="X38" i="9"/>
  <c r="Y38" i="9"/>
  <c r="Z38" i="9"/>
  <c r="AA38" i="9"/>
  <c r="AB38" i="9"/>
  <c r="AC38" i="9"/>
  <c r="AD38" i="9"/>
  <c r="AE38" i="9"/>
  <c r="AF38" i="9"/>
  <c r="AG38" i="9"/>
  <c r="AH38" i="9"/>
  <c r="AI38" i="9"/>
  <c r="AJ38" i="9"/>
  <c r="AK38" i="9"/>
  <c r="AL38" i="9"/>
  <c r="AN38" i="9"/>
  <c r="AO38" i="9"/>
  <c r="AP38" i="9"/>
  <c r="AQ38" i="9"/>
  <c r="AR38" i="9"/>
  <c r="AS38" i="9"/>
  <c r="AT38" i="9"/>
  <c r="AU38" i="9"/>
  <c r="AV38" i="9"/>
  <c r="AW38" i="9"/>
  <c r="AX38" i="9"/>
  <c r="AY38" i="9"/>
  <c r="AZ38" i="9"/>
  <c r="BA38" i="9"/>
  <c r="BB38" i="9"/>
  <c r="U38" i="9"/>
  <c r="B38" i="9"/>
  <c r="X37" i="9"/>
  <c r="Y37" i="9"/>
  <c r="Z37" i="9"/>
  <c r="AA37" i="9"/>
  <c r="AB37" i="9"/>
  <c r="AC37" i="9"/>
  <c r="L37" i="9"/>
  <c r="AD37" i="9" s="1"/>
  <c r="M37" i="9"/>
  <c r="AE37" i="9" s="1"/>
  <c r="AF37" i="9"/>
  <c r="AG37" i="9"/>
  <c r="P37" i="9"/>
  <c r="AH37" i="9" s="1"/>
  <c r="Q37" i="9"/>
  <c r="AI37" i="9" s="1"/>
  <c r="AJ37" i="9"/>
  <c r="AK37" i="9"/>
  <c r="T37" i="9"/>
  <c r="AL37" i="9" s="1"/>
  <c r="AN37" i="9"/>
  <c r="AO37" i="9"/>
  <c r="AP37" i="9"/>
  <c r="AQ37" i="9"/>
  <c r="AR37" i="9"/>
  <c r="AS37" i="9"/>
  <c r="AT37" i="9"/>
  <c r="AU37" i="9"/>
  <c r="AV37" i="9"/>
  <c r="AW37" i="9"/>
  <c r="AX37" i="9"/>
  <c r="AY37" i="9"/>
  <c r="AZ37" i="9"/>
  <c r="BA37" i="9"/>
  <c r="BB37" i="9"/>
  <c r="B37" i="9"/>
  <c r="X36" i="9"/>
  <c r="Y36" i="9"/>
  <c r="Z36" i="9"/>
  <c r="AA36" i="9"/>
  <c r="AB36" i="9"/>
  <c r="AC36" i="9"/>
  <c r="AD36" i="9"/>
  <c r="AE36" i="9"/>
  <c r="AF36" i="9"/>
  <c r="AG36" i="9"/>
  <c r="AH36" i="9"/>
  <c r="AI36" i="9"/>
  <c r="AJ36" i="9"/>
  <c r="AK36" i="9"/>
  <c r="AL36" i="9"/>
  <c r="AN36" i="9"/>
  <c r="AO36" i="9"/>
  <c r="AP36" i="9"/>
  <c r="AQ36" i="9"/>
  <c r="AR36" i="9"/>
  <c r="AS36" i="9"/>
  <c r="AT36" i="9"/>
  <c r="AU36" i="9"/>
  <c r="AV36" i="9"/>
  <c r="AW36" i="9"/>
  <c r="AX36" i="9"/>
  <c r="AY36" i="9"/>
  <c r="AZ36" i="9"/>
  <c r="BA36" i="9"/>
  <c r="BB36" i="9"/>
  <c r="U36" i="9"/>
  <c r="B36" i="9"/>
  <c r="X35" i="9"/>
  <c r="Y35" i="9"/>
  <c r="Z35" i="9"/>
  <c r="AA35" i="9"/>
  <c r="AB35" i="9"/>
  <c r="AC35" i="9"/>
  <c r="AD35" i="9"/>
  <c r="AE35" i="9"/>
  <c r="AF35" i="9"/>
  <c r="AG35" i="9"/>
  <c r="AH35" i="9"/>
  <c r="AI35" i="9"/>
  <c r="AJ35" i="9"/>
  <c r="AK35" i="9"/>
  <c r="AL35" i="9"/>
  <c r="AN35" i="9"/>
  <c r="AO35" i="9"/>
  <c r="AP35" i="9"/>
  <c r="AQ35" i="9"/>
  <c r="AR35" i="9"/>
  <c r="AS35" i="9"/>
  <c r="AT35" i="9"/>
  <c r="AU35" i="9"/>
  <c r="AV35" i="9"/>
  <c r="AW35" i="9"/>
  <c r="AX35" i="9"/>
  <c r="AY35" i="9"/>
  <c r="AZ35" i="9"/>
  <c r="BA35" i="9"/>
  <c r="BB35" i="9"/>
  <c r="U35" i="9"/>
  <c r="B35" i="9"/>
  <c r="X34" i="9"/>
  <c r="Y34" i="9"/>
  <c r="Z34" i="9"/>
  <c r="AA34" i="9"/>
  <c r="AB34" i="9"/>
  <c r="AC34" i="9"/>
  <c r="AD34" i="9"/>
  <c r="AE34" i="9"/>
  <c r="AF34" i="9"/>
  <c r="AG34" i="9"/>
  <c r="AH34" i="9"/>
  <c r="AI34" i="9"/>
  <c r="AJ34" i="9"/>
  <c r="AK34" i="9"/>
  <c r="AL34" i="9"/>
  <c r="AN34" i="9"/>
  <c r="AO34" i="9"/>
  <c r="AP34" i="9"/>
  <c r="AQ34" i="9"/>
  <c r="AR34" i="9"/>
  <c r="AS34" i="9"/>
  <c r="AT34" i="9"/>
  <c r="AU34" i="9"/>
  <c r="AV34" i="9"/>
  <c r="AW34" i="9"/>
  <c r="AX34" i="9"/>
  <c r="AY34" i="9"/>
  <c r="AZ34" i="9"/>
  <c r="BA34" i="9"/>
  <c r="BB34" i="9"/>
  <c r="U34" i="9"/>
  <c r="B34" i="9"/>
  <c r="X33" i="9"/>
  <c r="Y33" i="9"/>
  <c r="Z33" i="9"/>
  <c r="AA33" i="9"/>
  <c r="AB33" i="9"/>
  <c r="AC33" i="9"/>
  <c r="AD33" i="9"/>
  <c r="AE33" i="9"/>
  <c r="AF33" i="9"/>
  <c r="AG33" i="9"/>
  <c r="AH33" i="9"/>
  <c r="AI33" i="9"/>
  <c r="AJ33" i="9"/>
  <c r="AK33" i="9"/>
  <c r="AL33" i="9"/>
  <c r="AN33" i="9"/>
  <c r="AO33" i="9"/>
  <c r="AP33" i="9"/>
  <c r="AQ33" i="9"/>
  <c r="AR33" i="9"/>
  <c r="AS33" i="9"/>
  <c r="AT33" i="9"/>
  <c r="AU33" i="9"/>
  <c r="AV33" i="9"/>
  <c r="AW33" i="9"/>
  <c r="AX33" i="9"/>
  <c r="AY33" i="9"/>
  <c r="AZ33" i="9"/>
  <c r="BA33" i="9"/>
  <c r="BB33" i="9"/>
  <c r="U33" i="9"/>
  <c r="B33" i="9"/>
  <c r="X32" i="9"/>
  <c r="Y32" i="9"/>
  <c r="Z32" i="9"/>
  <c r="AA32" i="9"/>
  <c r="AB32" i="9"/>
  <c r="AC32" i="9"/>
  <c r="AD32" i="9"/>
  <c r="AE32" i="9"/>
  <c r="AF32" i="9"/>
  <c r="AG32" i="9"/>
  <c r="AH32" i="9"/>
  <c r="AI32" i="9"/>
  <c r="AJ32" i="9"/>
  <c r="AK32" i="9"/>
  <c r="AL32" i="9"/>
  <c r="AN32" i="9"/>
  <c r="AO32" i="9"/>
  <c r="AP32" i="9"/>
  <c r="AQ32" i="9"/>
  <c r="AR32" i="9"/>
  <c r="AS32" i="9"/>
  <c r="AT32" i="9"/>
  <c r="AU32" i="9"/>
  <c r="AV32" i="9"/>
  <c r="AW32" i="9"/>
  <c r="AX32" i="9"/>
  <c r="AY32" i="9"/>
  <c r="AZ32" i="9"/>
  <c r="BA32" i="9"/>
  <c r="BB32" i="9"/>
  <c r="U32" i="9"/>
  <c r="B32" i="9"/>
  <c r="BB31" i="9"/>
  <c r="BA31" i="9"/>
  <c r="AZ31" i="9"/>
  <c r="AY31" i="9"/>
  <c r="AX31" i="9"/>
  <c r="AW31" i="9"/>
  <c r="AV31" i="9"/>
  <c r="AU31" i="9"/>
  <c r="AT31" i="9"/>
  <c r="AS31" i="9"/>
  <c r="AR31" i="9"/>
  <c r="AQ31" i="9"/>
  <c r="AP31" i="9"/>
  <c r="AO31" i="9"/>
  <c r="AN31" i="9"/>
  <c r="AL31" i="9"/>
  <c r="AK31" i="9"/>
  <c r="AJ31" i="9"/>
  <c r="AI31" i="9"/>
  <c r="AH31" i="9"/>
  <c r="AG31" i="9"/>
  <c r="AF31" i="9"/>
  <c r="AE31" i="9"/>
  <c r="AD31" i="9"/>
  <c r="AC31" i="9"/>
  <c r="AB31" i="9"/>
  <c r="AA31" i="9"/>
  <c r="Z31" i="9"/>
  <c r="Y31" i="9"/>
  <c r="X31" i="9"/>
  <c r="U31" i="9"/>
  <c r="BB30" i="9"/>
  <c r="BA30" i="9"/>
  <c r="AZ30" i="9"/>
  <c r="AY30" i="9"/>
  <c r="AX30" i="9"/>
  <c r="AW30" i="9"/>
  <c r="AV30" i="9"/>
  <c r="AU30" i="9"/>
  <c r="AT30" i="9"/>
  <c r="AS30" i="9"/>
  <c r="AR30" i="9"/>
  <c r="AQ30" i="9"/>
  <c r="AP30" i="9"/>
  <c r="AO30" i="9"/>
  <c r="AN30" i="9"/>
  <c r="AL30" i="9"/>
  <c r="AK30" i="9"/>
  <c r="AJ30" i="9"/>
  <c r="AI30" i="9"/>
  <c r="AH30" i="9"/>
  <c r="AG30" i="9"/>
  <c r="AF30" i="9"/>
  <c r="AE30" i="9"/>
  <c r="AD30" i="9"/>
  <c r="AC30" i="9"/>
  <c r="AB30" i="9"/>
  <c r="AA30" i="9"/>
  <c r="Z30" i="9"/>
  <c r="Y30" i="9"/>
  <c r="X30" i="9"/>
  <c r="U30" i="9"/>
  <c r="BB29" i="9"/>
  <c r="BA29" i="9"/>
  <c r="AZ29" i="9"/>
  <c r="AY29" i="9"/>
  <c r="AX29" i="9"/>
  <c r="AW29" i="9"/>
  <c r="AV29" i="9"/>
  <c r="AU29" i="9"/>
  <c r="AT29" i="9"/>
  <c r="AS29" i="9"/>
  <c r="AR29" i="9"/>
  <c r="AQ29" i="9"/>
  <c r="AP29" i="9"/>
  <c r="AO29" i="9"/>
  <c r="AN29" i="9"/>
  <c r="AL29" i="9"/>
  <c r="AK29" i="9"/>
  <c r="AJ29" i="9"/>
  <c r="AI29" i="9"/>
  <c r="AH29" i="9"/>
  <c r="AG29" i="9"/>
  <c r="AF29" i="9"/>
  <c r="AE29" i="9"/>
  <c r="AD29" i="9"/>
  <c r="AC29" i="9"/>
  <c r="AB29" i="9"/>
  <c r="AA29" i="9"/>
  <c r="Z29" i="9"/>
  <c r="Y29" i="9"/>
  <c r="X29" i="9"/>
  <c r="U29" i="9"/>
  <c r="BB28" i="9"/>
  <c r="BA28" i="9"/>
  <c r="AZ28" i="9"/>
  <c r="AY28" i="9"/>
  <c r="AX28" i="9"/>
  <c r="AW28" i="9"/>
  <c r="AV28" i="9"/>
  <c r="AU28" i="9"/>
  <c r="AT28" i="9"/>
  <c r="AS28" i="9"/>
  <c r="AR28" i="9"/>
  <c r="AQ28" i="9"/>
  <c r="AP28" i="9"/>
  <c r="AO28" i="9"/>
  <c r="AN28" i="9"/>
  <c r="AL28" i="9"/>
  <c r="AK28" i="9"/>
  <c r="AJ28" i="9"/>
  <c r="AI28" i="9"/>
  <c r="AH28" i="9"/>
  <c r="AG28" i="9"/>
  <c r="AF28" i="9"/>
  <c r="AE28" i="9"/>
  <c r="AD28" i="9"/>
  <c r="AC28" i="9"/>
  <c r="AB28" i="9"/>
  <c r="AA28" i="9"/>
  <c r="Z28" i="9"/>
  <c r="Y28" i="9"/>
  <c r="X28" i="9"/>
  <c r="U28" i="9"/>
  <c r="X27" i="9"/>
  <c r="Y27" i="9"/>
  <c r="Z27" i="9"/>
  <c r="AA27" i="9"/>
  <c r="AB27" i="9"/>
  <c r="AC27" i="9"/>
  <c r="AD27" i="9"/>
  <c r="AE27" i="9"/>
  <c r="AF27" i="9"/>
  <c r="AG27" i="9"/>
  <c r="AH27" i="9"/>
  <c r="AI27" i="9"/>
  <c r="AJ27" i="9"/>
  <c r="AK27" i="9"/>
  <c r="AL27" i="9"/>
  <c r="AN27" i="9"/>
  <c r="AO27" i="9"/>
  <c r="AP27" i="9"/>
  <c r="AQ27" i="9"/>
  <c r="AR27" i="9"/>
  <c r="AS27" i="9"/>
  <c r="AT27" i="9"/>
  <c r="AU27" i="9"/>
  <c r="AV27" i="9"/>
  <c r="AW27" i="9"/>
  <c r="AX27" i="9"/>
  <c r="AY27" i="9"/>
  <c r="AZ27" i="9"/>
  <c r="BA27" i="9"/>
  <c r="BB27" i="9"/>
  <c r="U27" i="9"/>
  <c r="X26" i="9"/>
  <c r="Y26" i="9"/>
  <c r="Z26" i="9"/>
  <c r="AA26" i="9"/>
  <c r="AB26" i="9"/>
  <c r="AC26" i="9"/>
  <c r="AD26" i="9"/>
  <c r="AE26" i="9"/>
  <c r="AF26" i="9"/>
  <c r="AG26" i="9"/>
  <c r="AH26" i="9"/>
  <c r="AI26" i="9"/>
  <c r="AJ26" i="9"/>
  <c r="AK26" i="9"/>
  <c r="AL26" i="9"/>
  <c r="AN26" i="9"/>
  <c r="AO26" i="9"/>
  <c r="AP26" i="9"/>
  <c r="AQ26" i="9"/>
  <c r="AR26" i="9"/>
  <c r="AS26" i="9"/>
  <c r="AT26" i="9"/>
  <c r="AU26" i="9"/>
  <c r="AV26" i="9"/>
  <c r="AW26" i="9"/>
  <c r="AX26" i="9"/>
  <c r="AY26" i="9"/>
  <c r="AZ26" i="9"/>
  <c r="BA26" i="9"/>
  <c r="BB26" i="9"/>
  <c r="U26" i="9"/>
  <c r="X25" i="9"/>
  <c r="Y25" i="9"/>
  <c r="Z25" i="9"/>
  <c r="AA25" i="9"/>
  <c r="AB25" i="9"/>
  <c r="AC25" i="9"/>
  <c r="AD25" i="9"/>
  <c r="AE25" i="9"/>
  <c r="AF25" i="9"/>
  <c r="AG25" i="9"/>
  <c r="AH25" i="9"/>
  <c r="AI25" i="9"/>
  <c r="AJ25" i="9"/>
  <c r="AK25" i="9"/>
  <c r="AL25" i="9"/>
  <c r="AN25" i="9"/>
  <c r="AO25" i="9"/>
  <c r="AP25" i="9"/>
  <c r="AQ25" i="9"/>
  <c r="AR25" i="9"/>
  <c r="AS25" i="9"/>
  <c r="AT25" i="9"/>
  <c r="AU25" i="9"/>
  <c r="AV25" i="9"/>
  <c r="AW25" i="9"/>
  <c r="AX25" i="9"/>
  <c r="AY25" i="9"/>
  <c r="AZ25" i="9"/>
  <c r="BA25" i="9"/>
  <c r="BB25" i="9"/>
  <c r="U25" i="9"/>
  <c r="B25" i="9"/>
  <c r="X24" i="9"/>
  <c r="Y24" i="9"/>
  <c r="Z24" i="9"/>
  <c r="AA24" i="9"/>
  <c r="AB24" i="9"/>
  <c r="AC24" i="9"/>
  <c r="AD24" i="9"/>
  <c r="AE24" i="9"/>
  <c r="AF24" i="9"/>
  <c r="AG24" i="9"/>
  <c r="AH24" i="9"/>
  <c r="AI24" i="9"/>
  <c r="AJ24" i="9"/>
  <c r="AK24" i="9"/>
  <c r="AL24" i="9"/>
  <c r="AN24" i="9"/>
  <c r="AO24" i="9"/>
  <c r="AP24" i="9"/>
  <c r="AQ24" i="9"/>
  <c r="AR24" i="9"/>
  <c r="AS24" i="9"/>
  <c r="AT24" i="9"/>
  <c r="AU24" i="9"/>
  <c r="AV24" i="9"/>
  <c r="AW24" i="9"/>
  <c r="AX24" i="9"/>
  <c r="AY24" i="9"/>
  <c r="AZ24" i="9"/>
  <c r="BA24" i="9"/>
  <c r="BB24" i="9"/>
  <c r="U24" i="9"/>
  <c r="B24" i="9"/>
  <c r="X23" i="9"/>
  <c r="Y23" i="9"/>
  <c r="Z23" i="9"/>
  <c r="AA23" i="9"/>
  <c r="AB23" i="9"/>
  <c r="AC23" i="9"/>
  <c r="AD23" i="9"/>
  <c r="AE23" i="9"/>
  <c r="AF23" i="9"/>
  <c r="AG23" i="9"/>
  <c r="AH23" i="9"/>
  <c r="AI23" i="9"/>
  <c r="AJ23" i="9"/>
  <c r="AK23" i="9"/>
  <c r="AL23" i="9"/>
  <c r="AN23" i="9"/>
  <c r="AO23" i="9"/>
  <c r="AP23" i="9"/>
  <c r="AQ23" i="9"/>
  <c r="AR23" i="9"/>
  <c r="AS23" i="9"/>
  <c r="AT23" i="9"/>
  <c r="AU23" i="9"/>
  <c r="AV23" i="9"/>
  <c r="AW23" i="9"/>
  <c r="AX23" i="9"/>
  <c r="AY23" i="9"/>
  <c r="AZ23" i="9"/>
  <c r="BA23" i="9"/>
  <c r="BB23" i="9"/>
  <c r="U23" i="9"/>
  <c r="B23" i="9"/>
  <c r="X22" i="9"/>
  <c r="Y22" i="9"/>
  <c r="Z22" i="9"/>
  <c r="AA22" i="9"/>
  <c r="AB22" i="9"/>
  <c r="AC22" i="9"/>
  <c r="AD22" i="9"/>
  <c r="AE22" i="9"/>
  <c r="AF22" i="9"/>
  <c r="AG22" i="9"/>
  <c r="AH22" i="9"/>
  <c r="AI22" i="9"/>
  <c r="AJ22" i="9"/>
  <c r="AK22" i="9"/>
  <c r="AL22" i="9"/>
  <c r="AN22" i="9"/>
  <c r="AO22" i="9"/>
  <c r="AP22" i="9"/>
  <c r="AQ22" i="9"/>
  <c r="AR22" i="9"/>
  <c r="AS22" i="9"/>
  <c r="AT22" i="9"/>
  <c r="AU22" i="9"/>
  <c r="AV22" i="9"/>
  <c r="AW22" i="9"/>
  <c r="AX22" i="9"/>
  <c r="AY22" i="9"/>
  <c r="AZ22" i="9"/>
  <c r="BA22" i="9"/>
  <c r="BB22" i="9"/>
  <c r="U22" i="9"/>
  <c r="B22" i="9"/>
  <c r="X21" i="9"/>
  <c r="Y21" i="9"/>
  <c r="Z21" i="9"/>
  <c r="AA21" i="9"/>
  <c r="AB21" i="9"/>
  <c r="AC21" i="9"/>
  <c r="AD21" i="9"/>
  <c r="AE21" i="9"/>
  <c r="AF21" i="9"/>
  <c r="AG21" i="9"/>
  <c r="AH21" i="9"/>
  <c r="AI21" i="9"/>
  <c r="AJ21" i="9"/>
  <c r="AK21" i="9"/>
  <c r="AL21" i="9"/>
  <c r="AN21" i="9"/>
  <c r="AO21" i="9"/>
  <c r="AP21" i="9"/>
  <c r="AQ21" i="9"/>
  <c r="AR21" i="9"/>
  <c r="AS21" i="9"/>
  <c r="AT21" i="9"/>
  <c r="AU21" i="9"/>
  <c r="AV21" i="9"/>
  <c r="AW21" i="9"/>
  <c r="AX21" i="9"/>
  <c r="AY21" i="9"/>
  <c r="AZ21" i="9"/>
  <c r="BA21" i="9"/>
  <c r="BB21" i="9"/>
  <c r="U21" i="9"/>
  <c r="B21" i="9"/>
  <c r="X20" i="9"/>
  <c r="Y20" i="9"/>
  <c r="Z20" i="9"/>
  <c r="AA20" i="9"/>
  <c r="AB20" i="9"/>
  <c r="AC20" i="9"/>
  <c r="AD20" i="9"/>
  <c r="AE20" i="9"/>
  <c r="AF20" i="9"/>
  <c r="AG20" i="9"/>
  <c r="AH20" i="9"/>
  <c r="AI20" i="9"/>
  <c r="AJ20" i="9"/>
  <c r="AK20" i="9"/>
  <c r="AL20" i="9"/>
  <c r="AN20" i="9"/>
  <c r="AO20" i="9"/>
  <c r="AP20" i="9"/>
  <c r="AQ20" i="9"/>
  <c r="AR20" i="9"/>
  <c r="AS20" i="9"/>
  <c r="AT20" i="9"/>
  <c r="AU20" i="9"/>
  <c r="AV20" i="9"/>
  <c r="AW20" i="9"/>
  <c r="AX20" i="9"/>
  <c r="AY20" i="9"/>
  <c r="AZ20" i="9"/>
  <c r="BA20" i="9"/>
  <c r="BB20" i="9"/>
  <c r="U20" i="9"/>
  <c r="B20"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U19" i="9"/>
  <c r="B19" i="9"/>
  <c r="AI18" i="9"/>
  <c r="AN18" i="9"/>
  <c r="AO18" i="9"/>
  <c r="AP18" i="9"/>
  <c r="AQ18" i="9"/>
  <c r="AR18" i="9"/>
  <c r="AS18" i="9"/>
  <c r="AT18" i="9"/>
  <c r="AV18" i="9"/>
  <c r="AW18" i="9"/>
  <c r="AX18" i="9"/>
  <c r="AY18" i="9"/>
  <c r="AZ18" i="9"/>
  <c r="BA18" i="9"/>
  <c r="BB18" i="9"/>
  <c r="U18" i="9"/>
  <c r="B18" i="9"/>
  <c r="Z17" i="9"/>
  <c r="AA17" i="9"/>
  <c r="AD17" i="9"/>
  <c r="AE17" i="9"/>
  <c r="AH17" i="9"/>
  <c r="AI17" i="9"/>
  <c r="AL17" i="9"/>
  <c r="AN17" i="9"/>
  <c r="AO17" i="9"/>
  <c r="AP17" i="9"/>
  <c r="AQ17" i="9"/>
  <c r="AR17" i="9"/>
  <c r="AT17" i="9"/>
  <c r="AU17" i="9"/>
  <c r="AV17" i="9"/>
  <c r="AW17" i="9"/>
  <c r="AX17" i="9"/>
  <c r="AY17" i="9"/>
  <c r="AZ17" i="9"/>
  <c r="BA17" i="9"/>
  <c r="BB17" i="9"/>
  <c r="U17" i="9"/>
  <c r="B17" i="9"/>
  <c r="X16" i="9"/>
  <c r="Y16" i="9"/>
  <c r="Z16" i="9"/>
  <c r="AA16" i="9"/>
  <c r="AB16" i="9"/>
  <c r="AC16" i="9"/>
  <c r="AD16" i="9"/>
  <c r="AE16" i="9"/>
  <c r="AF16" i="9"/>
  <c r="AG16" i="9"/>
  <c r="AH16" i="9"/>
  <c r="AI16" i="9"/>
  <c r="AJ16" i="9"/>
  <c r="AK16" i="9"/>
  <c r="AL16" i="9"/>
  <c r="AN16" i="9"/>
  <c r="AO16" i="9"/>
  <c r="AP16" i="9"/>
  <c r="AQ16" i="9"/>
  <c r="AR16" i="9"/>
  <c r="AS16" i="9"/>
  <c r="AT16" i="9"/>
  <c r="AU16" i="9"/>
  <c r="AV16" i="9"/>
  <c r="AW16" i="9"/>
  <c r="AX16" i="9"/>
  <c r="AY16" i="9"/>
  <c r="AZ16" i="9"/>
  <c r="BA16" i="9"/>
  <c r="BB16" i="9"/>
  <c r="U16" i="9"/>
  <c r="B16" i="9"/>
  <c r="X15" i="9"/>
  <c r="Y15" i="9"/>
  <c r="Z15" i="9"/>
  <c r="AA15" i="9"/>
  <c r="AB15" i="9"/>
  <c r="AC15" i="9"/>
  <c r="AD15" i="9"/>
  <c r="AE15" i="9"/>
  <c r="AF15" i="9"/>
  <c r="AG15" i="9"/>
  <c r="AH15" i="9"/>
  <c r="AI15" i="9"/>
  <c r="AJ15" i="9"/>
  <c r="AK15" i="9"/>
  <c r="AL15" i="9"/>
  <c r="AN15" i="9"/>
  <c r="AO15" i="9"/>
  <c r="AP15" i="9"/>
  <c r="AQ15" i="9"/>
  <c r="AR15" i="9"/>
  <c r="AS15" i="9"/>
  <c r="AT15" i="9"/>
  <c r="AU15" i="9"/>
  <c r="AV15" i="9"/>
  <c r="AW15" i="9"/>
  <c r="AX15" i="9"/>
  <c r="AY15" i="9"/>
  <c r="AZ15" i="9"/>
  <c r="BA15" i="9"/>
  <c r="BB15" i="9"/>
  <c r="U15" i="9"/>
  <c r="B15" i="9"/>
  <c r="X14" i="9"/>
  <c r="Y14" i="9"/>
  <c r="Z14" i="9"/>
  <c r="AA14" i="9"/>
  <c r="AB14" i="9"/>
  <c r="AC14" i="9"/>
  <c r="AD14" i="9"/>
  <c r="AE14" i="9"/>
  <c r="AF14" i="9"/>
  <c r="AG14" i="9"/>
  <c r="AH14" i="9"/>
  <c r="AI14" i="9"/>
  <c r="AJ14" i="9"/>
  <c r="AK14" i="9"/>
  <c r="AL14" i="9"/>
  <c r="AN14" i="9"/>
  <c r="AO14" i="9"/>
  <c r="AP14" i="9"/>
  <c r="AQ14" i="9"/>
  <c r="AR14" i="9"/>
  <c r="AS14" i="9"/>
  <c r="AT14" i="9"/>
  <c r="AU14" i="9"/>
  <c r="AV14" i="9"/>
  <c r="AW14" i="9"/>
  <c r="AX14" i="9"/>
  <c r="AY14" i="9"/>
  <c r="AZ14" i="9"/>
  <c r="BA14" i="9"/>
  <c r="BB14" i="9"/>
  <c r="U14" i="9"/>
  <c r="B14" i="9"/>
  <c r="X13" i="9"/>
  <c r="Y13" i="9"/>
  <c r="Z13" i="9"/>
  <c r="AA13" i="9"/>
  <c r="AB13" i="9"/>
  <c r="AC13" i="9"/>
  <c r="AD13" i="9"/>
  <c r="AE13" i="9"/>
  <c r="AF13" i="9"/>
  <c r="AG13" i="9"/>
  <c r="AH13" i="9"/>
  <c r="AI13" i="9"/>
  <c r="AJ13" i="9"/>
  <c r="AK13" i="9"/>
  <c r="AL13" i="9"/>
  <c r="AN13" i="9"/>
  <c r="AO13" i="9"/>
  <c r="AP13" i="9"/>
  <c r="AQ13" i="9"/>
  <c r="AR13" i="9"/>
  <c r="AS13" i="9"/>
  <c r="AT13" i="9"/>
  <c r="AU13" i="9"/>
  <c r="AV13" i="9"/>
  <c r="AW13" i="9"/>
  <c r="AX13" i="9"/>
  <c r="AY13" i="9"/>
  <c r="AZ13" i="9"/>
  <c r="BA13" i="9"/>
  <c r="BB13" i="9"/>
  <c r="U13" i="9"/>
  <c r="B13" i="9"/>
  <c r="X12" i="9"/>
  <c r="Y12" i="9"/>
  <c r="Z12" i="9"/>
  <c r="AA12" i="9"/>
  <c r="AB12" i="9"/>
  <c r="AC12" i="9"/>
  <c r="AD12" i="9"/>
  <c r="AE12" i="9"/>
  <c r="AF12" i="9"/>
  <c r="AG12" i="9"/>
  <c r="AH12" i="9"/>
  <c r="AI12" i="9"/>
  <c r="AJ12" i="9"/>
  <c r="AK12" i="9"/>
  <c r="AL12" i="9"/>
  <c r="AN12" i="9"/>
  <c r="AO12" i="9"/>
  <c r="AP12" i="9"/>
  <c r="AQ12" i="9"/>
  <c r="AR12" i="9"/>
  <c r="AS12" i="9"/>
  <c r="AT12" i="9"/>
  <c r="AU12" i="9"/>
  <c r="AV12" i="9"/>
  <c r="AW12" i="9"/>
  <c r="AX12" i="9"/>
  <c r="AY12" i="9"/>
  <c r="AZ12" i="9"/>
  <c r="BA12" i="9"/>
  <c r="BB12" i="9"/>
  <c r="U12" i="9"/>
  <c r="B12" i="9"/>
  <c r="X11" i="9"/>
  <c r="Y11" i="9"/>
  <c r="Z11" i="9"/>
  <c r="AA11" i="9"/>
  <c r="AB11" i="9"/>
  <c r="AC11" i="9"/>
  <c r="AD11" i="9"/>
  <c r="AE11" i="9"/>
  <c r="AF11" i="9"/>
  <c r="AG11" i="9"/>
  <c r="AH11" i="9"/>
  <c r="AI11" i="9"/>
  <c r="AJ11" i="9"/>
  <c r="AK11" i="9"/>
  <c r="AL11" i="9"/>
  <c r="AN11" i="9"/>
  <c r="AO11" i="9"/>
  <c r="AP11" i="9"/>
  <c r="AQ11" i="9"/>
  <c r="AR11" i="9"/>
  <c r="AS11" i="9"/>
  <c r="AT11" i="9"/>
  <c r="AU11" i="9"/>
  <c r="AV11" i="9"/>
  <c r="AW11" i="9"/>
  <c r="AX11" i="9"/>
  <c r="AY11" i="9"/>
  <c r="AZ11" i="9"/>
  <c r="BA11" i="9"/>
  <c r="BB11" i="9"/>
  <c r="U11" i="9"/>
  <c r="B11" i="9"/>
  <c r="X10" i="9"/>
  <c r="Y10" i="9"/>
  <c r="Z10" i="9"/>
  <c r="AA10" i="9"/>
  <c r="AB10" i="9"/>
  <c r="AC10" i="9"/>
  <c r="AD10" i="9"/>
  <c r="AE10" i="9"/>
  <c r="AF10" i="9"/>
  <c r="AG10" i="9"/>
  <c r="AH10" i="9"/>
  <c r="AI10" i="9"/>
  <c r="AJ10" i="9"/>
  <c r="AK10" i="9"/>
  <c r="AL10" i="9"/>
  <c r="AN10" i="9"/>
  <c r="AO10" i="9"/>
  <c r="AP10" i="9"/>
  <c r="AQ10" i="9"/>
  <c r="AR10" i="9"/>
  <c r="AS10" i="9"/>
  <c r="AT10" i="9"/>
  <c r="AU10" i="9"/>
  <c r="AV10" i="9"/>
  <c r="AW10" i="9"/>
  <c r="AX10" i="9"/>
  <c r="AY10" i="9"/>
  <c r="AZ10" i="9"/>
  <c r="BA10" i="9"/>
  <c r="BB10" i="9"/>
  <c r="U10" i="9"/>
  <c r="B10" i="9"/>
  <c r="X9" i="9"/>
  <c r="Y9" i="9"/>
  <c r="Z9" i="9"/>
  <c r="AA9" i="9"/>
  <c r="AB9" i="9"/>
  <c r="AC9" i="9"/>
  <c r="AD9" i="9"/>
  <c r="AE9" i="9"/>
  <c r="AF9" i="9"/>
  <c r="AG9" i="9"/>
  <c r="AH9" i="9"/>
  <c r="AI9" i="9"/>
  <c r="AJ9" i="9"/>
  <c r="AK9" i="9"/>
  <c r="AL9" i="9"/>
  <c r="AN9" i="9"/>
  <c r="AO9" i="9"/>
  <c r="AP9" i="9"/>
  <c r="AQ9" i="9"/>
  <c r="AR9" i="9"/>
  <c r="AS9" i="9"/>
  <c r="AT9" i="9"/>
  <c r="AU9" i="9"/>
  <c r="AV9" i="9"/>
  <c r="AW9" i="9"/>
  <c r="AX9" i="9"/>
  <c r="AY9" i="9"/>
  <c r="AZ9" i="9"/>
  <c r="BA9" i="9"/>
  <c r="BB9" i="9"/>
  <c r="U9" i="9"/>
  <c r="B9" i="9"/>
  <c r="X8" i="9"/>
  <c r="Y8" i="9"/>
  <c r="Z8" i="9"/>
  <c r="AA8" i="9"/>
  <c r="AB8" i="9"/>
  <c r="AC8" i="9"/>
  <c r="AD8" i="9"/>
  <c r="AE8" i="9"/>
  <c r="AF8" i="9"/>
  <c r="AG8" i="9"/>
  <c r="AH8" i="9"/>
  <c r="AI8" i="9"/>
  <c r="AJ8" i="9"/>
  <c r="AK8" i="9"/>
  <c r="AL8" i="9"/>
  <c r="AN8" i="9"/>
  <c r="AO8" i="9"/>
  <c r="AP8" i="9"/>
  <c r="AQ8" i="9"/>
  <c r="AR8" i="9"/>
  <c r="AS8" i="9"/>
  <c r="AT8" i="9"/>
  <c r="AU8" i="9"/>
  <c r="AV8" i="9"/>
  <c r="AW8" i="9"/>
  <c r="AX8" i="9"/>
  <c r="AY8" i="9"/>
  <c r="AZ8" i="9"/>
  <c r="BA8" i="9"/>
  <c r="BB8" i="9"/>
  <c r="U8" i="9"/>
  <c r="X7" i="9"/>
  <c r="Y7" i="9"/>
  <c r="Z7" i="9"/>
  <c r="AA7" i="9"/>
  <c r="AB7" i="9"/>
  <c r="AC7" i="9"/>
  <c r="AD7" i="9"/>
  <c r="AE7" i="9"/>
  <c r="AF7" i="9"/>
  <c r="AG7" i="9"/>
  <c r="AH7" i="9"/>
  <c r="AI7" i="9"/>
  <c r="AJ7" i="9"/>
  <c r="AK7" i="9"/>
  <c r="AL7" i="9"/>
  <c r="AN7" i="9"/>
  <c r="AO7" i="9"/>
  <c r="AP7" i="9"/>
  <c r="AQ7" i="9"/>
  <c r="AR7" i="9"/>
  <c r="AS7" i="9"/>
  <c r="AT7" i="9"/>
  <c r="AU7" i="9"/>
  <c r="AV7" i="9"/>
  <c r="AW7" i="9"/>
  <c r="AX7" i="9"/>
  <c r="AY7" i="9"/>
  <c r="AZ7" i="9"/>
  <c r="BA7" i="9"/>
  <c r="BB7" i="9"/>
  <c r="U7" i="9"/>
  <c r="X6" i="9"/>
  <c r="Y6" i="9"/>
  <c r="Z6" i="9"/>
  <c r="AA6" i="9"/>
  <c r="AB6" i="9"/>
  <c r="AC6" i="9"/>
  <c r="AD6" i="9"/>
  <c r="AE6" i="9"/>
  <c r="AF6" i="9"/>
  <c r="AG6" i="9"/>
  <c r="AH6" i="9"/>
  <c r="AI6" i="9"/>
  <c r="AJ6" i="9"/>
  <c r="AK6" i="9"/>
  <c r="AL6" i="9"/>
  <c r="AN6" i="9"/>
  <c r="AO6" i="9"/>
  <c r="AP6" i="9"/>
  <c r="AQ6" i="9"/>
  <c r="AR6" i="9"/>
  <c r="AS6" i="9"/>
  <c r="AT6" i="9"/>
  <c r="AU6" i="9"/>
  <c r="AV6" i="9"/>
  <c r="AW6" i="9"/>
  <c r="AX6" i="9"/>
  <c r="AY6" i="9"/>
  <c r="AZ6" i="9"/>
  <c r="BA6" i="9"/>
  <c r="BB6" i="9"/>
  <c r="U6" i="9"/>
  <c r="X5" i="9"/>
  <c r="Y5" i="9"/>
  <c r="Z5" i="9"/>
  <c r="AA5" i="9"/>
  <c r="AB5" i="9"/>
  <c r="AC5" i="9"/>
  <c r="AD5" i="9"/>
  <c r="AE5" i="9"/>
  <c r="AF5" i="9"/>
  <c r="AG5" i="9"/>
  <c r="AH5" i="9"/>
  <c r="AI5" i="9"/>
  <c r="AJ5" i="9"/>
  <c r="AK5" i="9"/>
  <c r="AL5" i="9"/>
  <c r="AN5" i="9"/>
  <c r="AO5" i="9"/>
  <c r="AP5" i="9"/>
  <c r="AQ5" i="9"/>
  <c r="AR5" i="9"/>
  <c r="AS5" i="9"/>
  <c r="AT5" i="9"/>
  <c r="AU5" i="9"/>
  <c r="AV5" i="9"/>
  <c r="AW5" i="9"/>
  <c r="AX5" i="9"/>
  <c r="AY5" i="9"/>
  <c r="AZ5" i="9"/>
  <c r="BA5" i="9"/>
  <c r="BB5" i="9"/>
  <c r="U5" i="9"/>
  <c r="X4" i="9"/>
  <c r="Y4" i="9"/>
  <c r="Z4" i="9"/>
  <c r="AA4" i="9"/>
  <c r="AB4" i="9"/>
  <c r="AC4" i="9"/>
  <c r="AD4" i="9"/>
  <c r="AE4" i="9"/>
  <c r="AF4" i="9"/>
  <c r="AG4" i="9"/>
  <c r="AH4" i="9"/>
  <c r="AI4" i="9"/>
  <c r="AJ4" i="9"/>
  <c r="AK4" i="9"/>
  <c r="AL4" i="9"/>
  <c r="AN4" i="9"/>
  <c r="AO4" i="9"/>
  <c r="AP4" i="9"/>
  <c r="AQ4" i="9"/>
  <c r="AR4" i="9"/>
  <c r="AS4" i="9"/>
  <c r="AT4" i="9"/>
  <c r="AU4" i="9"/>
  <c r="AV4" i="9"/>
  <c r="AW4" i="9"/>
  <c r="AX4" i="9"/>
  <c r="AY4" i="9"/>
  <c r="AZ4" i="9"/>
  <c r="BA4" i="9"/>
  <c r="BB4" i="9"/>
  <c r="U4" i="9"/>
  <c r="AZ123" i="6"/>
  <c r="AE165" i="6"/>
  <c r="AZ165" i="6" s="1"/>
  <c r="AE123" i="6"/>
  <c r="AE127" i="6"/>
  <c r="AE4" i="6"/>
  <c r="AE5" i="6"/>
  <c r="AE6" i="6"/>
  <c r="AE10" i="6"/>
  <c r="AE29" i="6"/>
  <c r="AE34" i="6"/>
  <c r="AE33" i="6"/>
  <c r="AE67" i="6"/>
  <c r="AE64" i="6"/>
  <c r="AE68" i="6"/>
  <c r="AE73" i="6"/>
  <c r="AE70" i="6"/>
  <c r="AE76" i="6"/>
  <c r="AE81" i="6"/>
  <c r="AE85" i="6"/>
  <c r="AE79" i="6"/>
  <c r="AE80" i="6"/>
  <c r="AE77" i="6"/>
  <c r="AE78" i="6"/>
  <c r="AE91" i="6"/>
  <c r="AE83" i="6"/>
  <c r="AE122" i="6"/>
  <c r="AE142" i="6"/>
  <c r="AE162" i="6"/>
  <c r="AE168" i="6"/>
  <c r="AZ168" i="6" s="1"/>
  <c r="AZ81" i="6"/>
  <c r="AZ85" i="6"/>
  <c r="AZ79" i="6"/>
  <c r="AZ80" i="6"/>
  <c r="AZ4" i="6"/>
  <c r="AZ5" i="6"/>
  <c r="AZ6" i="6"/>
  <c r="AZ10" i="6"/>
  <c r="AZ29" i="6"/>
  <c r="AZ34" i="6"/>
  <c r="AZ33" i="6"/>
  <c r="AZ67" i="6"/>
  <c r="AZ64" i="6"/>
  <c r="AZ68" i="6"/>
  <c r="AZ73" i="6"/>
  <c r="AZ70" i="6"/>
  <c r="AZ76" i="6"/>
  <c r="AZ77" i="6"/>
  <c r="AZ78" i="6"/>
  <c r="AZ91" i="6"/>
  <c r="AZ83" i="6"/>
  <c r="AZ122" i="6"/>
  <c r="AG148" i="6"/>
  <c r="AH148" i="6"/>
  <c r="AG127" i="6"/>
  <c r="AH127" i="6"/>
  <c r="AY4" i="6"/>
  <c r="AX67" i="6"/>
  <c r="AX64" i="6"/>
  <c r="AX68" i="6"/>
  <c r="AX73" i="6"/>
  <c r="AD148" i="6"/>
  <c r="AD29" i="6"/>
  <c r="AD127" i="6"/>
  <c r="AY29" i="6"/>
  <c r="AG29" i="6"/>
  <c r="AH29" i="6"/>
  <c r="AI29" i="6"/>
  <c r="AJ29" i="6"/>
  <c r="AX29" i="6"/>
  <c r="BA29" i="6"/>
  <c r="BB29" i="6"/>
  <c r="BC29" i="6"/>
  <c r="BD29" i="6"/>
  <c r="BE29" i="6"/>
  <c r="BF29" i="6"/>
  <c r="BG29" i="6"/>
  <c r="BL32" i="6"/>
  <c r="BK32" i="6"/>
  <c r="BJ32" i="6"/>
  <c r="BI32" i="6"/>
  <c r="BH32" i="6"/>
  <c r="BG32" i="6"/>
  <c r="BF32" i="6"/>
  <c r="BE32" i="6"/>
  <c r="BD32" i="6"/>
  <c r="BC32" i="6"/>
  <c r="BB32" i="6"/>
  <c r="AY32" i="6"/>
  <c r="AX32" i="6"/>
  <c r="D172" i="6"/>
  <c r="D190" i="6"/>
  <c r="D186" i="6"/>
  <c r="D185" i="6"/>
  <c r="D184" i="6"/>
  <c r="D183" i="6"/>
  <c r="D181" i="6"/>
  <c r="D175" i="6"/>
  <c r="D173" i="6"/>
  <c r="E187" i="6"/>
  <c r="E182" i="6"/>
  <c r="AX80" i="6"/>
  <c r="AY80" i="6"/>
  <c r="BA80" i="6"/>
  <c r="BB80" i="6"/>
  <c r="BC80" i="6"/>
  <c r="BD80" i="6"/>
  <c r="BE80" i="6"/>
  <c r="BF80" i="6"/>
  <c r="BG80" i="6"/>
  <c r="BH80" i="6"/>
  <c r="BI80" i="6"/>
  <c r="BJ80" i="6"/>
  <c r="BK80" i="6"/>
  <c r="AX77" i="6"/>
  <c r="AY77" i="6"/>
  <c r="BA77" i="6"/>
  <c r="BB77" i="6"/>
  <c r="BC77" i="6"/>
  <c r="BD77" i="6"/>
  <c r="BE77" i="6"/>
  <c r="BF77" i="6"/>
  <c r="BG77" i="6"/>
  <c r="BH77" i="6"/>
  <c r="BI77" i="6"/>
  <c r="BJ77" i="6"/>
  <c r="BK77" i="6"/>
  <c r="AX78" i="6"/>
  <c r="AY78" i="6"/>
  <c r="BA78" i="6"/>
  <c r="BB78" i="6"/>
  <c r="BC78" i="6"/>
  <c r="BD78" i="6"/>
  <c r="BE78" i="6"/>
  <c r="BF78" i="6"/>
  <c r="BG78" i="6"/>
  <c r="BH78" i="6"/>
  <c r="BI78" i="6"/>
  <c r="BJ78" i="6"/>
  <c r="BK78" i="6"/>
  <c r="AC79" i="6"/>
  <c r="AD79" i="6"/>
  <c r="AG79" i="6"/>
  <c r="AH79" i="6"/>
  <c r="AI79" i="6"/>
  <c r="AJ79" i="6"/>
  <c r="AK79" i="6"/>
  <c r="AL79" i="6"/>
  <c r="AM79" i="6"/>
  <c r="AN79" i="6"/>
  <c r="AO79" i="6"/>
  <c r="AP79" i="6"/>
  <c r="AQ79" i="6"/>
  <c r="AC80" i="6"/>
  <c r="AD80" i="6"/>
  <c r="AG80" i="6"/>
  <c r="AH80" i="6"/>
  <c r="AI80" i="6"/>
  <c r="AJ80" i="6"/>
  <c r="AK80" i="6"/>
  <c r="AL80" i="6"/>
  <c r="AM80" i="6"/>
  <c r="AN80" i="6"/>
  <c r="AO80" i="6"/>
  <c r="AP80" i="6"/>
  <c r="AQ80" i="6"/>
  <c r="AC77" i="6"/>
  <c r="AD77" i="6"/>
  <c r="AG77" i="6"/>
  <c r="AH77" i="6"/>
  <c r="AI77" i="6"/>
  <c r="AJ77" i="6"/>
  <c r="AK77" i="6"/>
  <c r="AL77" i="6"/>
  <c r="AM77" i="6"/>
  <c r="AN77" i="6"/>
  <c r="AO77" i="6"/>
  <c r="AP77" i="6"/>
  <c r="AQ77" i="6"/>
  <c r="AC78" i="6"/>
  <c r="AD78" i="6"/>
  <c r="AG78" i="6"/>
  <c r="AH78" i="6"/>
  <c r="AI78" i="6"/>
  <c r="AJ78" i="6"/>
  <c r="AK78" i="6"/>
  <c r="AL78" i="6"/>
  <c r="AM78" i="6"/>
  <c r="AN78" i="6"/>
  <c r="AO78" i="6"/>
  <c r="AP78" i="6"/>
  <c r="AQ78" i="6"/>
  <c r="AX79" i="6"/>
  <c r="AY79" i="6"/>
  <c r="BA79" i="6"/>
  <c r="BB79" i="6"/>
  <c r="BC79" i="6"/>
  <c r="BD79" i="6"/>
  <c r="BE79" i="6"/>
  <c r="BF79" i="6"/>
  <c r="BG79" i="6"/>
  <c r="BH79" i="6"/>
  <c r="BI79" i="6"/>
  <c r="BJ79" i="6"/>
  <c r="BK79" i="6"/>
  <c r="AY67" i="6"/>
  <c r="AY64" i="6"/>
  <c r="AY68" i="6"/>
  <c r="AY6" i="6"/>
  <c r="AY5" i="6"/>
  <c r="AY70" i="6"/>
  <c r="AY76" i="6"/>
  <c r="AY73" i="6"/>
  <c r="AY122" i="6"/>
  <c r="AY34" i="6"/>
  <c r="AY33" i="6"/>
  <c r="AY10" i="6"/>
  <c r="AY81" i="6"/>
  <c r="AY91" i="6"/>
  <c r="AY85" i="6"/>
  <c r="AY83" i="6"/>
  <c r="AY142" i="6"/>
  <c r="AG147" i="6"/>
  <c r="AH147" i="6"/>
  <c r="AY151" i="6"/>
  <c r="AD152" i="6"/>
  <c r="AG152" i="6"/>
  <c r="AD162" i="6"/>
  <c r="AG162" i="6"/>
  <c r="AH162" i="6"/>
  <c r="AD165" i="6"/>
  <c r="AY165" i="6" s="1"/>
  <c r="AD168" i="6"/>
  <c r="AY168" i="6" s="1"/>
  <c r="AD122" i="6"/>
  <c r="AD4" i="6"/>
  <c r="AD6" i="6"/>
  <c r="AD5" i="6"/>
  <c r="AD67" i="6"/>
  <c r="AD70" i="6"/>
  <c r="AD76" i="6"/>
  <c r="AD64" i="6"/>
  <c r="AD34" i="6"/>
  <c r="AD33" i="6"/>
  <c r="AD10" i="6"/>
  <c r="AD81" i="6"/>
  <c r="AD91" i="6"/>
  <c r="AD85" i="6"/>
  <c r="AD83" i="6"/>
  <c r="AD142" i="6"/>
  <c r="AC34" i="6"/>
  <c r="AG34" i="6"/>
  <c r="AH34" i="6"/>
  <c r="AI34" i="6"/>
  <c r="AJ34" i="6"/>
  <c r="AK34" i="6"/>
  <c r="AL34" i="6"/>
  <c r="AM34" i="6"/>
  <c r="AN34" i="6"/>
  <c r="AO34" i="6"/>
  <c r="AP34" i="6"/>
  <c r="AQ34" i="6"/>
  <c r="AC33" i="6"/>
  <c r="AG33" i="6"/>
  <c r="AI33" i="6"/>
  <c r="AJ33" i="6"/>
  <c r="AK33" i="6"/>
  <c r="AL33" i="6"/>
  <c r="AM33" i="6"/>
  <c r="AN33" i="6"/>
  <c r="AO33" i="6"/>
  <c r="AP33" i="6"/>
  <c r="AQ33" i="6"/>
  <c r="AX33" i="6"/>
  <c r="BB33" i="6"/>
  <c r="BC33" i="6"/>
  <c r="BD33" i="6"/>
  <c r="BE33" i="6"/>
  <c r="BF33" i="6"/>
  <c r="BG33" i="6"/>
  <c r="BH33" i="6"/>
  <c r="BI33" i="6"/>
  <c r="BJ33" i="6"/>
  <c r="BK33" i="6"/>
  <c r="BL33" i="6"/>
  <c r="AC10" i="6"/>
  <c r="AG10" i="6"/>
  <c r="AH10" i="6"/>
  <c r="AI10" i="6"/>
  <c r="AJ10" i="6"/>
  <c r="AL10" i="6"/>
  <c r="AM10" i="6"/>
  <c r="AN10" i="6"/>
  <c r="AO10" i="6"/>
  <c r="AP10" i="6"/>
  <c r="AQ10" i="6"/>
  <c r="AC81" i="6"/>
  <c r="AG81" i="6"/>
  <c r="AH81" i="6"/>
  <c r="AI81" i="6"/>
  <c r="AJ81" i="6"/>
  <c r="AK81" i="6"/>
  <c r="AL81" i="6"/>
  <c r="AM81" i="6"/>
  <c r="AN81" i="6"/>
  <c r="AO81" i="6"/>
  <c r="AP81" i="6"/>
  <c r="AQ81" i="6"/>
  <c r="AC91" i="6"/>
  <c r="AG91" i="6"/>
  <c r="AH91" i="6"/>
  <c r="AI91" i="6"/>
  <c r="AJ91" i="6"/>
  <c r="AK91" i="6"/>
  <c r="AL91" i="6"/>
  <c r="AM91" i="6"/>
  <c r="AN91" i="6"/>
  <c r="AO91" i="6"/>
  <c r="AP91" i="6"/>
  <c r="AQ91" i="6"/>
  <c r="AC85" i="6"/>
  <c r="AG85" i="6"/>
  <c r="AH85" i="6"/>
  <c r="AI85" i="6"/>
  <c r="AJ85" i="6"/>
  <c r="AK85" i="6"/>
  <c r="AL85" i="6"/>
  <c r="AM85" i="6"/>
  <c r="AN85" i="6"/>
  <c r="AO85" i="6"/>
  <c r="AP85" i="6"/>
  <c r="AQ85" i="6"/>
  <c r="AX34" i="6"/>
  <c r="BB34" i="6"/>
  <c r="BC34" i="6"/>
  <c r="BD34" i="6"/>
  <c r="BE34" i="6"/>
  <c r="BF34" i="6"/>
  <c r="BG34" i="6"/>
  <c r="BH34" i="6"/>
  <c r="BI34" i="6"/>
  <c r="BJ34" i="6"/>
  <c r="BK34" i="6"/>
  <c r="BL34" i="6"/>
  <c r="AC73" i="6"/>
  <c r="BA73" i="6"/>
  <c r="BB73" i="6"/>
  <c r="BC73" i="6"/>
  <c r="BD73" i="6"/>
  <c r="BF73" i="6"/>
  <c r="BG73" i="6"/>
  <c r="BH73" i="6"/>
  <c r="BI73" i="6"/>
  <c r="BJ73" i="6"/>
  <c r="BK73" i="6"/>
  <c r="BL73" i="6"/>
  <c r="BB68" i="6"/>
  <c r="BC68" i="6"/>
  <c r="BD68" i="6"/>
  <c r="BE68" i="6"/>
  <c r="BF68" i="6"/>
  <c r="BG68" i="6"/>
  <c r="BH68" i="6"/>
  <c r="BI68" i="6"/>
  <c r="BJ68" i="6"/>
  <c r="BK68" i="6"/>
  <c r="BL68" i="6"/>
  <c r="D174" i="6"/>
  <c r="AC165" i="6"/>
  <c r="AC168" i="6"/>
  <c r="AC4" i="6"/>
  <c r="AC29" i="6"/>
  <c r="AC6" i="6"/>
  <c r="AC5" i="6"/>
  <c r="AC67" i="6"/>
  <c r="AC70" i="6"/>
  <c r="AC76" i="6"/>
  <c r="AC64" i="6"/>
  <c r="AC122" i="6"/>
  <c r="AC83" i="6"/>
  <c r="AC142" i="6"/>
  <c r="AC148" i="6"/>
  <c r="AC127" i="6"/>
  <c r="AC152" i="6"/>
  <c r="AC162" i="6"/>
  <c r="AX4" i="6"/>
  <c r="AX5" i="6"/>
  <c r="AX6" i="6"/>
  <c r="AX70" i="6"/>
  <c r="AX76" i="6"/>
  <c r="AX122" i="6"/>
  <c r="AX123" i="6"/>
  <c r="AX10" i="6"/>
  <c r="AX81" i="6"/>
  <c r="AX85" i="6"/>
  <c r="AX91" i="6"/>
  <c r="AX83" i="6"/>
  <c r="AX142" i="6"/>
  <c r="AX127" i="6"/>
  <c r="AG165" i="6"/>
  <c r="BB165" i="6" s="1"/>
  <c r="AH165" i="6"/>
  <c r="BC165" i="6" s="1"/>
  <c r="AI165" i="6"/>
  <c r="BD165" i="6" s="1"/>
  <c r="AJ165" i="6"/>
  <c r="BE165" i="6" s="1"/>
  <c r="AK165" i="6"/>
  <c r="AK123" i="6"/>
  <c r="AL165" i="6"/>
  <c r="BG165" i="6" s="1"/>
  <c r="AM165" i="6"/>
  <c r="BH165" i="6" s="1"/>
  <c r="AN165" i="6"/>
  <c r="BI165" i="6" s="1"/>
  <c r="AN123" i="6"/>
  <c r="AO165" i="6"/>
  <c r="BJ165" i="6" s="1"/>
  <c r="AP165" i="6"/>
  <c r="AQ123" i="6"/>
  <c r="BI4" i="6"/>
  <c r="BI5" i="6"/>
  <c r="BJ4" i="6"/>
  <c r="BJ5" i="6"/>
  <c r="BJ6" i="6"/>
  <c r="BK4" i="6"/>
  <c r="BK5" i="6"/>
  <c r="BL4" i="6"/>
  <c r="BL5" i="6"/>
  <c r="BI6" i="6"/>
  <c r="BK6" i="6"/>
  <c r="BL6" i="6"/>
  <c r="BI10" i="6"/>
  <c r="AP162" i="6"/>
  <c r="BJ10" i="6"/>
  <c r="BK10" i="6"/>
  <c r="BL10" i="6"/>
  <c r="BI29" i="6"/>
  <c r="BJ29" i="6"/>
  <c r="BK29" i="6"/>
  <c r="BL29" i="6"/>
  <c r="AQ148" i="6"/>
  <c r="AN148" i="6"/>
  <c r="AO148" i="6"/>
  <c r="AP148" i="6"/>
  <c r="AP147" i="6"/>
  <c r="BI67" i="6"/>
  <c r="BI64" i="6"/>
  <c r="BJ67" i="6"/>
  <c r="BJ64" i="6"/>
  <c r="BK67" i="6"/>
  <c r="BK64" i="6"/>
  <c r="BL67" i="6"/>
  <c r="BL64" i="6"/>
  <c r="BI70" i="6"/>
  <c r="BI76" i="6"/>
  <c r="BI122" i="6"/>
  <c r="BI123" i="6"/>
  <c r="BI81" i="6"/>
  <c r="BI91" i="6"/>
  <c r="BI85" i="6"/>
  <c r="BI83" i="6"/>
  <c r="BI142" i="6"/>
  <c r="BI127" i="6"/>
  <c r="BI168" i="6"/>
  <c r="BJ70" i="6"/>
  <c r="BJ76" i="6"/>
  <c r="BJ122" i="6"/>
  <c r="BJ123" i="6"/>
  <c r="BJ81" i="6"/>
  <c r="BJ91" i="6"/>
  <c r="BJ85" i="6"/>
  <c r="BJ83" i="6"/>
  <c r="BJ142" i="6"/>
  <c r="BJ127" i="6"/>
  <c r="AO152" i="6"/>
  <c r="AP152" i="6"/>
  <c r="AQ152" i="6"/>
  <c r="BK70" i="6"/>
  <c r="BK76" i="6"/>
  <c r="BK122" i="6"/>
  <c r="BK123" i="6"/>
  <c r="BK81" i="6"/>
  <c r="BK91" i="6"/>
  <c r="BK85" i="6"/>
  <c r="BK83" i="6"/>
  <c r="BK142" i="6"/>
  <c r="AP127" i="6"/>
  <c r="AQ127" i="6"/>
  <c r="BL127" i="6" s="1"/>
  <c r="BL70" i="6"/>
  <c r="BL76" i="6"/>
  <c r="BL122" i="6"/>
  <c r="BL123" i="6"/>
  <c r="BL81" i="6"/>
  <c r="BL85" i="6"/>
  <c r="BL83" i="6"/>
  <c r="BL142" i="6"/>
  <c r="AN4" i="6"/>
  <c r="AN5" i="6"/>
  <c r="AN6" i="6"/>
  <c r="AN29" i="6"/>
  <c r="AN147" i="6"/>
  <c r="AM147" i="6"/>
  <c r="AO147" i="6"/>
  <c r="AL148" i="6"/>
  <c r="AM148" i="6"/>
  <c r="AN67" i="6"/>
  <c r="AN64" i="6"/>
  <c r="AN70" i="6"/>
  <c r="AN76" i="6"/>
  <c r="AN122" i="6"/>
  <c r="AN83" i="6"/>
  <c r="AN142" i="6"/>
  <c r="AN127" i="6"/>
  <c r="AN152" i="6"/>
  <c r="AO4" i="6"/>
  <c r="AO5" i="6"/>
  <c r="AP4" i="6"/>
  <c r="AP5" i="6"/>
  <c r="AQ4" i="6"/>
  <c r="AQ5" i="6"/>
  <c r="AG5" i="6"/>
  <c r="AK5" i="6"/>
  <c r="AL5" i="6"/>
  <c r="AM5" i="6"/>
  <c r="BA5" i="6"/>
  <c r="BB5" i="6"/>
  <c r="BC5" i="6"/>
  <c r="BD5" i="6"/>
  <c r="BG5" i="6"/>
  <c r="BH5" i="6"/>
  <c r="AO6" i="6"/>
  <c r="AP6" i="6"/>
  <c r="AQ6" i="6"/>
  <c r="AO29" i="6"/>
  <c r="AP29" i="6"/>
  <c r="AQ29" i="6"/>
  <c r="AP67" i="6"/>
  <c r="AP64" i="6"/>
  <c r="AP70" i="6"/>
  <c r="AP76" i="6"/>
  <c r="AP122" i="6"/>
  <c r="AP83" i="6"/>
  <c r="AP142" i="6"/>
  <c r="AO67" i="6"/>
  <c r="AO64" i="6"/>
  <c r="AQ67" i="6"/>
  <c r="AQ64" i="6"/>
  <c r="AO70" i="6"/>
  <c r="AO76" i="6"/>
  <c r="AO122" i="6"/>
  <c r="AO83" i="6"/>
  <c r="AO142" i="6"/>
  <c r="AO127" i="6"/>
  <c r="AQ70" i="6"/>
  <c r="AQ76" i="6"/>
  <c r="AQ122" i="6"/>
  <c r="AQ83" i="6"/>
  <c r="AQ142" i="6"/>
  <c r="AL122" i="6"/>
  <c r="AK122" i="6"/>
  <c r="AJ122" i="6"/>
  <c r="AH122" i="6"/>
  <c r="AG122" i="6"/>
  <c r="BH168" i="6"/>
  <c r="BF168" i="6"/>
  <c r="BD168" i="6"/>
  <c r="AM127" i="6"/>
  <c r="AM152" i="6"/>
  <c r="AI127" i="6"/>
  <c r="AI152" i="6"/>
  <c r="AI147" i="6"/>
  <c r="AI148" i="6"/>
  <c r="AJ162" i="6"/>
  <c r="AK162" i="6"/>
  <c r="AL162" i="6"/>
  <c r="AM70" i="6"/>
  <c r="AM76" i="6"/>
  <c r="AM29" i="6"/>
  <c r="AM6" i="6"/>
  <c r="AM67" i="6"/>
  <c r="AM64" i="6"/>
  <c r="AM122" i="6"/>
  <c r="AM83" i="6"/>
  <c r="AM142" i="6"/>
  <c r="AL70" i="6"/>
  <c r="AL6" i="6"/>
  <c r="AL67" i="6"/>
  <c r="AL76" i="6"/>
  <c r="AL64" i="6"/>
  <c r="AL83" i="6"/>
  <c r="AL142" i="6"/>
  <c r="AL147" i="6"/>
  <c r="AL127" i="6"/>
  <c r="AL152" i="6"/>
  <c r="AK70" i="6"/>
  <c r="AK6" i="6"/>
  <c r="AK67" i="6"/>
  <c r="AK76" i="6"/>
  <c r="AK64" i="6"/>
  <c r="AK83" i="6"/>
  <c r="AK142" i="6"/>
  <c r="AK147" i="6"/>
  <c r="AK148" i="6"/>
  <c r="AK127" i="6"/>
  <c r="AK152" i="6"/>
  <c r="AJ70" i="6"/>
  <c r="AJ6" i="6"/>
  <c r="AJ67" i="6"/>
  <c r="AJ76" i="6"/>
  <c r="AJ64" i="6"/>
  <c r="AJ83" i="6"/>
  <c r="AJ142" i="6"/>
  <c r="AJ147" i="6"/>
  <c r="AJ148" i="6"/>
  <c r="AJ127" i="6"/>
  <c r="AI70" i="6"/>
  <c r="AI76" i="6"/>
  <c r="AI6" i="6"/>
  <c r="AI64" i="6"/>
  <c r="AI122" i="6"/>
  <c r="AI83" i="6"/>
  <c r="AI142" i="6"/>
  <c r="AH6" i="6"/>
  <c r="AH67" i="6"/>
  <c r="AH76" i="6"/>
  <c r="AH64" i="6"/>
  <c r="AH123" i="6"/>
  <c r="AH83" i="6"/>
  <c r="AH142" i="6"/>
  <c r="AH152" i="6"/>
  <c r="AG70" i="6"/>
  <c r="AG6" i="6"/>
  <c r="AG64" i="6"/>
  <c r="AG76" i="6"/>
  <c r="AG83" i="6"/>
  <c r="AG142" i="6"/>
  <c r="BH123" i="6"/>
  <c r="BG123" i="6"/>
  <c r="BF123" i="6"/>
  <c r="BE123" i="6"/>
  <c r="BD123" i="6"/>
  <c r="BC123" i="6"/>
  <c r="BB123" i="6"/>
  <c r="BA123" i="6"/>
  <c r="BH122" i="6"/>
  <c r="BG122" i="6"/>
  <c r="BF122" i="6"/>
  <c r="BE122" i="6"/>
  <c r="BD122" i="6"/>
  <c r="BC122" i="6"/>
  <c r="BB122" i="6"/>
  <c r="BA122" i="6"/>
  <c r="BH4" i="6"/>
  <c r="BH29" i="6"/>
  <c r="BH6" i="6"/>
  <c r="BH67" i="6"/>
  <c r="BH70" i="6"/>
  <c r="BH76" i="6"/>
  <c r="BH64" i="6"/>
  <c r="BH10" i="6"/>
  <c r="BH81" i="6"/>
  <c r="BH85" i="6"/>
  <c r="BH91" i="6"/>
  <c r="BH83" i="6"/>
  <c r="BH142" i="6"/>
  <c r="BF127" i="6"/>
  <c r="BF4" i="6"/>
  <c r="BF6" i="6"/>
  <c r="BF67" i="6"/>
  <c r="BF70" i="6"/>
  <c r="BF76" i="6"/>
  <c r="BF64" i="6"/>
  <c r="BF10" i="6"/>
  <c r="BF81" i="6"/>
  <c r="BF91" i="6"/>
  <c r="BF85" i="6"/>
  <c r="BF83" i="6"/>
  <c r="BF142" i="6"/>
  <c r="BD4" i="6"/>
  <c r="BD67" i="6"/>
  <c r="BD70" i="6"/>
  <c r="BD76" i="6"/>
  <c r="BD64" i="6"/>
  <c r="BD10" i="6"/>
  <c r="BD81" i="6"/>
  <c r="BD91" i="6"/>
  <c r="BD85" i="6"/>
  <c r="BD83" i="6"/>
  <c r="BD142" i="6"/>
  <c r="BB4" i="6"/>
  <c r="BB6" i="6"/>
  <c r="BB10" i="6"/>
  <c r="BB67" i="6"/>
  <c r="BB64" i="6"/>
  <c r="BB70" i="6"/>
  <c r="BB76" i="6"/>
  <c r="BA76" i="6"/>
  <c r="BC76" i="6"/>
  <c r="BE76" i="6"/>
  <c r="BG76" i="6"/>
  <c r="BB91" i="6"/>
  <c r="BB85" i="6"/>
  <c r="BB83" i="6"/>
  <c r="BB142" i="6"/>
  <c r="AZ152" i="6"/>
  <c r="AZ142" i="6"/>
  <c r="BG70" i="6"/>
  <c r="BG4" i="6"/>
  <c r="BG6" i="6"/>
  <c r="BG67" i="6"/>
  <c r="BG64" i="6"/>
  <c r="BG10" i="6"/>
  <c r="BG81" i="6"/>
  <c r="BG91" i="6"/>
  <c r="BG85" i="6"/>
  <c r="BG83" i="6"/>
  <c r="BG142" i="6"/>
  <c r="BE70" i="6"/>
  <c r="BE4" i="6"/>
  <c r="BE10" i="6"/>
  <c r="BE6" i="6"/>
  <c r="BE67" i="6"/>
  <c r="BE64" i="6"/>
  <c r="BE81" i="6"/>
  <c r="BE91" i="6"/>
  <c r="BE85" i="6"/>
  <c r="BE83" i="6"/>
  <c r="BE142" i="6"/>
  <c r="BE127" i="6"/>
  <c r="BC70" i="6"/>
  <c r="BC4" i="6"/>
  <c r="BC6" i="6"/>
  <c r="BC67" i="6"/>
  <c r="BC64" i="6"/>
  <c r="BC10" i="6"/>
  <c r="BC81" i="6"/>
  <c r="BC91" i="6"/>
  <c r="BC85" i="6"/>
  <c r="BC83" i="6"/>
  <c r="BC142" i="6"/>
  <c r="BA70" i="6"/>
  <c r="BA4" i="6"/>
  <c r="BA6" i="6"/>
  <c r="BA67" i="6"/>
  <c r="BA64" i="6"/>
  <c r="BA10" i="6"/>
  <c r="BA81" i="6"/>
  <c r="BA91" i="6"/>
  <c r="BA83" i="6"/>
  <c r="BA85" i="6"/>
  <c r="BA142" i="6"/>
  <c r="A15" i="1"/>
  <c r="C50" i="1"/>
  <c r="I15" i="4"/>
  <c r="D16" i="3" s="1"/>
  <c r="C47" i="2"/>
  <c r="D47" i="7" s="1"/>
  <c r="E44" i="2"/>
  <c r="C44" i="2"/>
  <c r="E32" i="2"/>
  <c r="E30" i="2"/>
  <c r="C32" i="2"/>
  <c r="C30" i="2"/>
  <c r="E23" i="2"/>
  <c r="C23" i="2"/>
  <c r="G21" i="2"/>
  <c r="F21" i="2"/>
  <c r="E21" i="2"/>
  <c r="C21" i="2"/>
  <c r="C17" i="2"/>
  <c r="G17" i="2"/>
  <c r="D33" i="4"/>
  <c r="E33" i="4"/>
  <c r="F33" i="4"/>
  <c r="I33" i="4"/>
  <c r="I37" i="4" s="1"/>
  <c r="F37" i="4"/>
  <c r="C37" i="4"/>
  <c r="C33" i="4"/>
  <c r="I16" i="4"/>
  <c r="D17" i="3" s="1"/>
  <c r="G17" i="3" s="1"/>
  <c r="N21" i="1"/>
  <c r="E26" i="4"/>
  <c r="E23" i="4"/>
  <c r="E19" i="4"/>
  <c r="D13" i="4"/>
  <c r="C19" i="4"/>
  <c r="C23" i="4"/>
  <c r="C26" i="4"/>
  <c r="F26" i="4"/>
  <c r="F23" i="4"/>
  <c r="F19" i="4"/>
  <c r="D26" i="4"/>
  <c r="D23" i="4"/>
  <c r="D19" i="4"/>
  <c r="B10" i="4"/>
  <c r="C27" i="3"/>
  <c r="C24" i="3"/>
  <c r="C20" i="3"/>
  <c r="C15" i="3"/>
  <c r="D4" i="4"/>
  <c r="D4" i="3"/>
  <c r="B8" i="3"/>
  <c r="B8" i="4" s="1"/>
  <c r="F27" i="3"/>
  <c r="E27" i="3"/>
  <c r="F24" i="3"/>
  <c r="E24" i="3"/>
  <c r="F20" i="3"/>
  <c r="F15" i="3"/>
  <c r="E20" i="3"/>
  <c r="E15" i="3"/>
  <c r="D37" i="4"/>
  <c r="N47" i="2"/>
  <c r="N52" i="2" s="1"/>
  <c r="I26" i="4"/>
  <c r="D28" i="3"/>
  <c r="D27" i="3" s="1"/>
  <c r="I23" i="4"/>
  <c r="D25" i="3"/>
  <c r="D24" i="3" s="1"/>
  <c r="BB152" i="6"/>
  <c r="N39" i="2"/>
  <c r="N44" i="2" s="1"/>
  <c r="AX152" i="6"/>
  <c r="D22" i="3"/>
  <c r="G22" i="3" s="1"/>
  <c r="AI123" i="6"/>
  <c r="AM123" i="6"/>
  <c r="AP123" i="6"/>
  <c r="AQ73" i="6"/>
  <c r="D180" i="6"/>
  <c r="AY123" i="6"/>
  <c r="D191" i="6"/>
  <c r="AD73" i="6"/>
  <c r="AL73" i="6"/>
  <c r="AM73" i="6"/>
  <c r="AO73" i="6"/>
  <c r="AJ73" i="6"/>
  <c r="AG123" i="6"/>
  <c r="AJ123" i="6"/>
  <c r="AD123" i="6"/>
  <c r="AC123" i="6"/>
  <c r="AO123" i="6"/>
  <c r="AD68" i="6"/>
  <c r="BA68" i="6"/>
  <c r="AC68" i="6"/>
  <c r="AL123" i="6"/>
  <c r="AH68" i="6"/>
  <c r="AG73" i="6"/>
  <c r="AM68" i="6"/>
  <c r="AJ68" i="6"/>
  <c r="AK68" i="6"/>
  <c r="AL68" i="6"/>
  <c r="AN68" i="6"/>
  <c r="AG68" i="6"/>
  <c r="BG127" i="6"/>
  <c r="AP68" i="6"/>
  <c r="AI68" i="6"/>
  <c r="AO68" i="6"/>
  <c r="AQ68" i="6"/>
  <c r="AY127" i="6"/>
  <c r="I19" i="4"/>
  <c r="N32" i="2"/>
  <c r="N30" i="1"/>
  <c r="BC127" i="6"/>
  <c r="AK73" i="6"/>
  <c r="AN73" i="6"/>
  <c r="BE73" i="6"/>
  <c r="AH73" i="6"/>
  <c r="AP73" i="6"/>
  <c r="AI73" i="6"/>
  <c r="E47" i="2"/>
  <c r="F23" i="2"/>
  <c r="G44" i="2"/>
  <c r="G30" i="2"/>
  <c r="G23" i="2"/>
  <c r="G32" i="2"/>
  <c r="F44" i="2"/>
  <c r="G47" i="2"/>
  <c r="G52" i="2" s="1"/>
  <c r="F30" i="2"/>
  <c r="F47" i="2"/>
  <c r="F52" i="2" s="1"/>
  <c r="F32" i="2"/>
  <c r="E44" i="7" l="1"/>
  <c r="F44" i="7"/>
  <c r="G44" i="7"/>
  <c r="D44" i="7"/>
  <c r="I44" i="7"/>
  <c r="J44" i="7"/>
  <c r="H44" i="7"/>
  <c r="E23" i="7"/>
  <c r="D23" i="7"/>
  <c r="F23" i="7"/>
  <c r="G23" i="7"/>
  <c r="J23" i="7"/>
  <c r="I23" i="7"/>
  <c r="H23" i="7"/>
  <c r="J32" i="7"/>
  <c r="D30" i="7"/>
  <c r="I32" i="7"/>
  <c r="D17" i="7"/>
  <c r="F17" i="7"/>
  <c r="J17" i="7"/>
  <c r="H17" i="7"/>
  <c r="E17" i="7"/>
  <c r="G17" i="7"/>
  <c r="I17" i="7"/>
  <c r="D32" i="7"/>
  <c r="E32" i="7"/>
  <c r="F32" i="7"/>
  <c r="G32" i="7"/>
  <c r="D21" i="7"/>
  <c r="E21" i="7"/>
  <c r="F21" i="7"/>
  <c r="G21" i="7"/>
  <c r="J21" i="7"/>
  <c r="I21" i="7"/>
  <c r="H21" i="7"/>
  <c r="H32" i="7"/>
  <c r="E47" i="7"/>
  <c r="F47" i="7"/>
  <c r="G47" i="7"/>
  <c r="E52" i="2"/>
  <c r="M26" i="2"/>
  <c r="M20" i="2"/>
  <c r="H54" i="2"/>
  <c r="M35" i="2"/>
  <c r="M41" i="1"/>
  <c r="BR153" i="6"/>
  <c r="N17" i="2"/>
  <c r="M43" i="2"/>
  <c r="M50" i="2"/>
  <c r="M22" i="1"/>
  <c r="M24" i="2"/>
  <c r="BR162" i="6"/>
  <c r="BR67" i="6"/>
  <c r="BR80" i="6"/>
  <c r="BR147" i="6"/>
  <c r="BR5" i="6"/>
  <c r="BR91" i="6"/>
  <c r="BR130" i="6"/>
  <c r="BR68" i="6"/>
  <c r="BR142" i="6"/>
  <c r="BR6" i="6"/>
  <c r="BR34" i="6"/>
  <c r="BR83" i="6"/>
  <c r="BR29" i="6"/>
  <c r="BR73" i="6"/>
  <c r="BR77" i="6"/>
  <c r="BR35" i="6"/>
  <c r="BR122" i="6"/>
  <c r="BR4" i="6"/>
  <c r="BR65" i="6"/>
  <c r="BR64" i="6"/>
  <c r="BR85" i="6"/>
  <c r="BR81" i="6"/>
  <c r="BR79" i="6"/>
  <c r="BR123" i="6"/>
  <c r="BR76" i="6"/>
  <c r="BR33" i="6"/>
  <c r="BR78" i="6"/>
  <c r="BR10" i="6"/>
  <c r="BR70" i="6"/>
  <c r="C17" i="7"/>
  <c r="C32" i="7"/>
  <c r="C21" i="7"/>
  <c r="C44" i="7"/>
  <c r="C23" i="7"/>
  <c r="C47" i="7"/>
  <c r="C30" i="7"/>
  <c r="J36" i="2"/>
  <c r="I36" i="2"/>
  <c r="AW47" i="9"/>
  <c r="BA47" i="9"/>
  <c r="AS47" i="9"/>
  <c r="B4" i="9"/>
  <c r="C52" i="2"/>
  <c r="D52" i="7" s="1"/>
  <c r="E74" i="9"/>
  <c r="N37" i="1"/>
  <c r="N42" i="1" s="1"/>
  <c r="N15" i="1"/>
  <c r="BA43" i="9"/>
  <c r="AZ45" i="9"/>
  <c r="BA49" i="9"/>
  <c r="F66" i="9"/>
  <c r="BD25" i="9"/>
  <c r="F29" i="4"/>
  <c r="E64" i="9"/>
  <c r="BB151" i="6"/>
  <c r="M48" i="1"/>
  <c r="M33" i="1"/>
  <c r="M24" i="1"/>
  <c r="BD9" i="9"/>
  <c r="AE18" i="9"/>
  <c r="BD34" i="9"/>
  <c r="AX44" i="9"/>
  <c r="AT44" i="9"/>
  <c r="AP44" i="9"/>
  <c r="U45" i="9"/>
  <c r="C29" i="4"/>
  <c r="N28" i="1"/>
  <c r="N34" i="1" s="1"/>
  <c r="N30" i="2"/>
  <c r="N36" i="2" s="1"/>
  <c r="AK17" i="9"/>
  <c r="AG17" i="9"/>
  <c r="AC17" i="9"/>
  <c r="Y17" i="9"/>
  <c r="AA18" i="9"/>
  <c r="BD21" i="9"/>
  <c r="Y45" i="9"/>
  <c r="U47" i="9"/>
  <c r="Z47" i="9"/>
  <c r="AO47" i="9" s="1"/>
  <c r="U50" i="9"/>
  <c r="N19" i="1"/>
  <c r="D21" i="3"/>
  <c r="G21" i="3" s="1"/>
  <c r="E192" i="6"/>
  <c r="BD13" i="9"/>
  <c r="AS17" i="9"/>
  <c r="AJ17" i="9"/>
  <c r="AF17" i="9"/>
  <c r="AB17" i="9"/>
  <c r="D49" i="9"/>
  <c r="BA48" i="9"/>
  <c r="AW48" i="9"/>
  <c r="M18" i="1"/>
  <c r="AY194" i="6"/>
  <c r="AF194" i="6"/>
  <c r="BD194" i="6"/>
  <c r="BA194" i="6"/>
  <c r="BK194" i="6"/>
  <c r="D29" i="4"/>
  <c r="H46" i="1"/>
  <c r="AX168" i="6"/>
  <c r="BF165" i="6"/>
  <c r="BJ194" i="6"/>
  <c r="AZ127" i="6"/>
  <c r="BR127" i="6" s="1"/>
  <c r="C30" i="3"/>
  <c r="E79" i="9"/>
  <c r="N50" i="1"/>
  <c r="AX165" i="6"/>
  <c r="BD5" i="9"/>
  <c r="BD14" i="9"/>
  <c r="BD15" i="9"/>
  <c r="BD19" i="9"/>
  <c r="BD24" i="9"/>
  <c r="BD27" i="9"/>
  <c r="BD32" i="9"/>
  <c r="BD38" i="9"/>
  <c r="U48" i="9"/>
  <c r="E30" i="3"/>
  <c r="C27" i="2"/>
  <c r="E179" i="6"/>
  <c r="BD4" i="9"/>
  <c r="BD8" i="9"/>
  <c r="BD22" i="9"/>
  <c r="BD23" i="9"/>
  <c r="BD26" i="9"/>
  <c r="BD35" i="9"/>
  <c r="BD36" i="9"/>
  <c r="AV45" i="9"/>
  <c r="AR45" i="9"/>
  <c r="AN45" i="9"/>
  <c r="AX46" i="9"/>
  <c r="AT46" i="9"/>
  <c r="AP46" i="9"/>
  <c r="AO49" i="9"/>
  <c r="AY51" i="9"/>
  <c r="AU51" i="9"/>
  <c r="AQ51" i="9"/>
  <c r="U54" i="9"/>
  <c r="D74" i="9"/>
  <c r="F74" i="9" s="1"/>
  <c r="D48" i="9"/>
  <c r="N21" i="2"/>
  <c r="F30" i="3"/>
  <c r="E29" i="4"/>
  <c r="BD7" i="9"/>
  <c r="BD12" i="9"/>
  <c r="AC48" i="9"/>
  <c r="AS48" i="9" s="1"/>
  <c r="AS49" i="9"/>
  <c r="BD54" i="9"/>
  <c r="D64" i="9"/>
  <c r="BD6" i="9"/>
  <c r="BD10" i="9"/>
  <c r="BD11" i="9"/>
  <c r="BD16" i="9"/>
  <c r="BD20" i="9"/>
  <c r="BD33" i="9"/>
  <c r="BD40" i="9"/>
  <c r="AW43" i="9"/>
  <c r="AS43" i="9"/>
  <c r="AW49" i="9"/>
  <c r="B31" i="9"/>
  <c r="B28" i="9"/>
  <c r="B29" i="9"/>
  <c r="B30" i="9"/>
  <c r="B61" i="9"/>
  <c r="AQ165" i="6"/>
  <c r="D176" i="6"/>
  <c r="D177" i="6" s="1"/>
  <c r="AD32" i="6"/>
  <c r="AJ32" i="6"/>
  <c r="AJ194" i="6" s="1"/>
  <c r="AN32" i="6"/>
  <c r="D178" i="6"/>
  <c r="AG32" i="6"/>
  <c r="AG194" i="6" s="1"/>
  <c r="AK32" i="6"/>
  <c r="AO32" i="6"/>
  <c r="AH32" i="6"/>
  <c r="AH194" i="6" s="1"/>
  <c r="AL32" i="6"/>
  <c r="AP32" i="6"/>
  <c r="AC32" i="6"/>
  <c r="AI32" i="6"/>
  <c r="AI194" i="6" s="1"/>
  <c r="AM32" i="6"/>
  <c r="AQ32" i="6"/>
  <c r="AE32" i="6"/>
  <c r="D182" i="6"/>
  <c r="F182" i="6" s="1"/>
  <c r="G16" i="3"/>
  <c r="BD37" i="9"/>
  <c r="F69" i="9"/>
  <c r="G28" i="3"/>
  <c r="G27" i="3" s="1"/>
  <c r="BL168" i="6"/>
  <c r="N23" i="2"/>
  <c r="AX151" i="6"/>
  <c r="AE152" i="6"/>
  <c r="BR152" i="6" s="1"/>
  <c r="AU18" i="9"/>
  <c r="AL18" i="9"/>
  <c r="AH18" i="9"/>
  <c r="AD18" i="9"/>
  <c r="Z18" i="9"/>
  <c r="AO43" i="9"/>
  <c r="AO48" i="9"/>
  <c r="BD48" i="9" s="1"/>
  <c r="AO55" i="9"/>
  <c r="BD55" i="9" s="1"/>
  <c r="AK18" i="9"/>
  <c r="AG18" i="9"/>
  <c r="AC18" i="9"/>
  <c r="Y18" i="9"/>
  <c r="U37" i="9"/>
  <c r="D18" i="3"/>
  <c r="G18" i="3" s="1"/>
  <c r="C36" i="2"/>
  <c r="G25" i="3"/>
  <c r="G24" i="3" s="1"/>
  <c r="AJ18" i="9"/>
  <c r="AF18" i="9"/>
  <c r="AB18" i="9"/>
  <c r="B26" i="9"/>
  <c r="U49" i="9"/>
  <c r="BC168" i="6"/>
  <c r="BC194" i="6" s="1"/>
  <c r="B62" i="9"/>
  <c r="B27" i="9"/>
  <c r="B63" i="9"/>
  <c r="E27" i="2"/>
  <c r="B5" i="9"/>
  <c r="B6" i="9"/>
  <c r="B7" i="9"/>
  <c r="B43" i="9"/>
  <c r="B59" i="9"/>
  <c r="F27" i="2"/>
  <c r="B8" i="9"/>
  <c r="B40" i="9"/>
  <c r="B44" i="9"/>
  <c r="B51" i="9"/>
  <c r="B60" i="9"/>
  <c r="B70" i="9"/>
  <c r="G36" i="2"/>
  <c r="G27" i="2"/>
  <c r="E36" i="2"/>
  <c r="F36" i="2"/>
  <c r="BE168" i="6"/>
  <c r="BH128" i="6"/>
  <c r="BR128" i="6" s="1"/>
  <c r="BG168" i="6"/>
  <c r="BB168" i="6"/>
  <c r="BR148" i="6"/>
  <c r="D187" i="6"/>
  <c r="F187" i="6" s="1"/>
  <c r="D36" i="7" l="1"/>
  <c r="E52" i="7"/>
  <c r="F52" i="7"/>
  <c r="G52" i="7"/>
  <c r="J48" i="7"/>
  <c r="I48" i="7"/>
  <c r="H48" i="7"/>
  <c r="P26" i="2"/>
  <c r="P24" i="2"/>
  <c r="M19" i="2"/>
  <c r="C52" i="7"/>
  <c r="M42" i="2"/>
  <c r="I54" i="2"/>
  <c r="M49" i="2"/>
  <c r="J54" i="2"/>
  <c r="M41" i="2"/>
  <c r="M39" i="1"/>
  <c r="M38" i="1"/>
  <c r="M40" i="1"/>
  <c r="M18" i="2"/>
  <c r="BD44" i="9"/>
  <c r="I29" i="4"/>
  <c r="BD51" i="9"/>
  <c r="M40" i="2"/>
  <c r="M34" i="2"/>
  <c r="M48" i="2"/>
  <c r="M33" i="2"/>
  <c r="M31" i="2"/>
  <c r="M25" i="2"/>
  <c r="M23" i="1"/>
  <c r="BR168" i="6"/>
  <c r="BR165" i="6"/>
  <c r="BR32" i="6"/>
  <c r="BR151" i="6"/>
  <c r="D179" i="6"/>
  <c r="F179" i="6" s="1"/>
  <c r="C27" i="7"/>
  <c r="C36" i="7"/>
  <c r="BD49" i="9"/>
  <c r="M16" i="1"/>
  <c r="M17" i="1"/>
  <c r="N25" i="1"/>
  <c r="N52" i="1" s="1"/>
  <c r="D20" i="3"/>
  <c r="G20" i="3" s="1"/>
  <c r="G54" i="2"/>
  <c r="B50" i="7"/>
  <c r="B43" i="7"/>
  <c r="B20" i="7"/>
  <c r="B26" i="7"/>
  <c r="B35" i="7"/>
  <c r="B24" i="7"/>
  <c r="BD47" i="9"/>
  <c r="BD17" i="9"/>
  <c r="D57" i="9"/>
  <c r="BD45" i="9"/>
  <c r="BD46" i="9"/>
  <c r="BB194" i="6"/>
  <c r="M49" i="1"/>
  <c r="H45" i="1"/>
  <c r="M31" i="1"/>
  <c r="M32" i="1"/>
  <c r="M29" i="1"/>
  <c r="BE194" i="6"/>
  <c r="AC194" i="6"/>
  <c r="F64" i="9"/>
  <c r="BD43" i="9"/>
  <c r="D1" i="9"/>
  <c r="AX194" i="6"/>
  <c r="AX195" i="6" s="1"/>
  <c r="AY195" i="6" s="1"/>
  <c r="E194" i="6"/>
  <c r="AE194" i="6"/>
  <c r="AD194" i="6"/>
  <c r="BL194" i="6"/>
  <c r="BH194" i="6"/>
  <c r="AK194" i="6"/>
  <c r="BF194" i="6"/>
  <c r="AZ194" i="6"/>
  <c r="AO194" i="6"/>
  <c r="BG194" i="6"/>
  <c r="AN194" i="6"/>
  <c r="AL194" i="6"/>
  <c r="AM194" i="6"/>
  <c r="AP194" i="6"/>
  <c r="N27" i="2"/>
  <c r="N54" i="2" s="1"/>
  <c r="C52" i="1"/>
  <c r="D52" i="1"/>
  <c r="C54" i="2"/>
  <c r="BD18" i="9"/>
  <c r="D15" i="3"/>
  <c r="G15" i="3" s="1"/>
  <c r="D75" i="9"/>
  <c r="D79" i="9" s="1"/>
  <c r="F79" i="9" s="1"/>
  <c r="F54" i="2"/>
  <c r="E54" i="2"/>
  <c r="D188" i="6"/>
  <c r="M46" i="1"/>
  <c r="J47" i="7" l="1"/>
  <c r="I47" i="7"/>
  <c r="H47" i="7"/>
  <c r="P25" i="2"/>
  <c r="H50" i="1"/>
  <c r="M23" i="2"/>
  <c r="O23" i="2" s="1"/>
  <c r="M51" i="2"/>
  <c r="M32" i="2"/>
  <c r="AC195" i="6"/>
  <c r="AD195" i="6" s="1"/>
  <c r="AE195" i="6" s="1"/>
  <c r="AF195" i="6" s="1"/>
  <c r="AG195" i="6" s="1"/>
  <c r="AH195" i="6" s="1"/>
  <c r="AI195" i="6" s="1"/>
  <c r="AJ195" i="6" s="1"/>
  <c r="B19" i="7"/>
  <c r="G30" i="3"/>
  <c r="M15" i="1"/>
  <c r="B40" i="7"/>
  <c r="M47" i="1"/>
  <c r="B49" i="7" s="1"/>
  <c r="M17" i="2"/>
  <c r="O17" i="2" s="1"/>
  <c r="B18" i="7"/>
  <c r="B41" i="7"/>
  <c r="B34" i="7"/>
  <c r="M30" i="1"/>
  <c r="M21" i="1"/>
  <c r="B25" i="7"/>
  <c r="B42" i="7"/>
  <c r="M28" i="1"/>
  <c r="B31" i="7"/>
  <c r="B33" i="7"/>
  <c r="B48" i="7"/>
  <c r="AZ195" i="6"/>
  <c r="BA195" i="6" s="1"/>
  <c r="BB195" i="6" s="1"/>
  <c r="BC195" i="6" s="1"/>
  <c r="BD195" i="6" s="1"/>
  <c r="BE195" i="6" s="1"/>
  <c r="BF195" i="6" s="1"/>
  <c r="D30" i="3"/>
  <c r="M37" i="1"/>
  <c r="M39" i="2"/>
  <c r="M44" i="2" s="1"/>
  <c r="M30" i="2"/>
  <c r="O30" i="2" s="1"/>
  <c r="J52" i="7" l="1"/>
  <c r="I52" i="7"/>
  <c r="H52" i="7"/>
  <c r="H52" i="1"/>
  <c r="B23" i="7"/>
  <c r="M47" i="2"/>
  <c r="M52" i="2" s="1"/>
  <c r="B21" i="5"/>
  <c r="B17" i="7"/>
  <c r="B30" i="7"/>
  <c r="B51" i="7"/>
  <c r="O28" i="1"/>
  <c r="P30" i="2" s="1"/>
  <c r="M34" i="1"/>
  <c r="B32" i="7"/>
  <c r="M42" i="1"/>
  <c r="B44" i="7" s="1"/>
  <c r="B39" i="7"/>
  <c r="M45" i="1"/>
  <c r="AK195" i="6"/>
  <c r="BG195" i="6"/>
  <c r="O15" i="1"/>
  <c r="P17" i="2" s="1"/>
  <c r="M36" i="2"/>
  <c r="O32" i="2"/>
  <c r="O37" i="1"/>
  <c r="O30" i="1"/>
  <c r="O39" i="2"/>
  <c r="P39" i="2" l="1"/>
  <c r="O44" i="2"/>
  <c r="O47" i="2"/>
  <c r="O42" i="1"/>
  <c r="O34" i="1"/>
  <c r="B36" i="7"/>
  <c r="M50" i="1"/>
  <c r="B47" i="7"/>
  <c r="BH195" i="6"/>
  <c r="AL195" i="6"/>
  <c r="O36" i="2"/>
  <c r="O21" i="1"/>
  <c r="P23" i="2" s="1"/>
  <c r="O45" i="1"/>
  <c r="P36" i="2" l="1"/>
  <c r="O52" i="2"/>
  <c r="P47" i="2"/>
  <c r="P44" i="2"/>
  <c r="B52" i="7"/>
  <c r="AM195" i="6"/>
  <c r="O50" i="1"/>
  <c r="D27" i="2"/>
  <c r="G27" i="7" l="1"/>
  <c r="D27" i="7"/>
  <c r="E27" i="7"/>
  <c r="F27" i="7"/>
  <c r="I27" i="7"/>
  <c r="J27" i="7"/>
  <c r="H27" i="7"/>
  <c r="P52" i="2"/>
  <c r="AN195" i="6"/>
  <c r="D54" i="2"/>
  <c r="AO195" i="6" l="1"/>
  <c r="AQ194" i="6"/>
  <c r="M22" i="2" l="1"/>
  <c r="M21" i="2" s="1"/>
  <c r="O21" i="2" s="1"/>
  <c r="AP195" i="6"/>
  <c r="BI194" i="6"/>
  <c r="BI195" i="6" s="1"/>
  <c r="AQ195" i="6" l="1"/>
  <c r="AR195" i="6" s="1"/>
  <c r="AS195" i="6" s="1"/>
  <c r="AT195" i="6" s="1"/>
  <c r="AU195" i="6" s="1"/>
  <c r="AV195" i="6" s="1"/>
  <c r="BR194" i="6"/>
  <c r="BJ195" i="6"/>
  <c r="M20" i="1"/>
  <c r="M27" i="2"/>
  <c r="O27" i="2"/>
  <c r="O54" i="2" l="1"/>
  <c r="BK195" i="6"/>
  <c r="M19" i="1"/>
  <c r="B21" i="7" s="1"/>
  <c r="B22" i="7"/>
  <c r="M54" i="2"/>
  <c r="BL195" i="6" l="1"/>
  <c r="BM195" i="6" s="1"/>
  <c r="BN195" i="6" s="1"/>
  <c r="BO195" i="6" s="1"/>
  <c r="BP195" i="6" s="1"/>
  <c r="BQ195" i="6" s="1"/>
  <c r="M25" i="1"/>
  <c r="M52" i="1" s="1"/>
  <c r="O19" i="1"/>
  <c r="P21" i="2" s="1"/>
  <c r="D1" i="6"/>
  <c r="D170" i="6"/>
  <c r="D189" i="6"/>
  <c r="D192" i="6" s="1"/>
  <c r="F192" i="6" s="1"/>
  <c r="O25" i="1" l="1"/>
  <c r="F194" i="6"/>
  <c r="B27" i="7"/>
  <c r="D194" i="6"/>
  <c r="O52" i="1" l="1"/>
  <c r="P54" i="2" s="1"/>
  <c r="P27" i="2"/>
  <c r="R194" i="6"/>
  <c r="F28" i="1" l="1"/>
  <c r="E30" i="7" l="1"/>
  <c r="G30" i="7"/>
  <c r="F30" i="7"/>
  <c r="I30" i="7"/>
  <c r="J30" i="7"/>
  <c r="H30" i="7"/>
  <c r="F34" i="1"/>
  <c r="H36" i="7" l="1"/>
  <c r="I36" i="7"/>
  <c r="J36" i="7"/>
  <c r="G36" i="7"/>
  <c r="E36" i="7"/>
  <c r="F36" i="7"/>
  <c r="F52" i="1"/>
</calcChain>
</file>

<file path=xl/comments1.xml><?xml version="1.0" encoding="utf-8"?>
<comments xmlns="http://schemas.openxmlformats.org/spreadsheetml/2006/main">
  <authors>
    <author>Josue Andreé Ricart Vásquez</author>
    <author>Josue Ricart</author>
  </authors>
  <commentList>
    <comment ref="C4" authorId="0" shapeId="0">
      <text>
        <r>
          <rPr>
            <b/>
            <sz val="9"/>
            <color indexed="81"/>
            <rFont val="Tahoma"/>
            <family val="2"/>
          </rPr>
          <t>Josue Andreé Ricart Vásquez:</t>
        </r>
        <r>
          <rPr>
            <sz val="9"/>
            <color indexed="81"/>
            <rFont val="Tahoma"/>
            <family val="2"/>
          </rPr>
          <t xml:space="preserve">
FHI</t>
        </r>
      </text>
    </comment>
    <comment ref="C6" authorId="0" shapeId="0">
      <text>
        <r>
          <rPr>
            <b/>
            <sz val="9"/>
            <color indexed="81"/>
            <rFont val="Tahoma"/>
            <family val="2"/>
          </rPr>
          <t>Josue Andreé Ricart Vásquez:</t>
        </r>
        <r>
          <rPr>
            <sz val="9"/>
            <color indexed="81"/>
            <rFont val="Tahoma"/>
            <family val="2"/>
          </rPr>
          <t xml:space="preserve">
Universidades Programas de Formación</t>
        </r>
      </text>
    </comment>
    <comment ref="D6" authorId="0" shapeId="0">
      <text>
        <r>
          <rPr>
            <b/>
            <sz val="9"/>
            <color indexed="81"/>
            <rFont val="Tahoma"/>
            <family val="2"/>
          </rPr>
          <t>Josue Andreé Ricart Vásquez:</t>
        </r>
        <r>
          <rPr>
            <sz val="9"/>
            <color indexed="81"/>
            <rFont val="Tahoma"/>
            <family val="2"/>
          </rPr>
          <t xml:space="preserve">
Cambia de 3M a 4M ya *****
ADJUDICADO***
UPANA 1,185,760.00
INTERNACIONES 1,866,155.00
UNIVERSIDAD DEL VALLE 972,082.83</t>
        </r>
      </text>
    </comment>
    <comment ref="C17" authorId="0" shapeId="0">
      <text>
        <r>
          <rPr>
            <b/>
            <sz val="9"/>
            <color indexed="81"/>
            <rFont val="Tahoma"/>
            <family val="2"/>
          </rPr>
          <t>Josue Andreé Ricart Vásquez:</t>
        </r>
        <r>
          <rPr>
            <sz val="9"/>
            <color indexed="81"/>
            <rFont val="Tahoma"/>
            <family val="2"/>
          </rPr>
          <t xml:space="preserve">
Firma Consultora para la Revisión de dos carreras y creación de dos nuevas ENCA</t>
        </r>
      </text>
    </comment>
    <comment ref="D17" authorId="0" shapeId="0">
      <text>
        <r>
          <rPr>
            <b/>
            <sz val="9"/>
            <color indexed="81"/>
            <rFont val="Tahoma"/>
            <family val="2"/>
          </rPr>
          <t>Josue Andreé Ricart Vásquez:</t>
        </r>
        <r>
          <rPr>
            <sz val="9"/>
            <color indexed="81"/>
            <rFont val="Tahoma"/>
            <family val="2"/>
          </rPr>
          <t xml:space="preserve">
actualizar a 1,200,000.00
actualizado
</t>
        </r>
      </text>
    </comment>
    <comment ref="D18" authorId="0" shapeId="0">
      <text>
        <r>
          <rPr>
            <b/>
            <sz val="9"/>
            <color indexed="81"/>
            <rFont val="Tahoma"/>
            <family val="2"/>
          </rPr>
          <t>Josue Andreé Ricart Vásquez:</t>
        </r>
        <r>
          <rPr>
            <sz val="9"/>
            <color indexed="81"/>
            <rFont val="Tahoma"/>
            <family val="2"/>
          </rPr>
          <t xml:space="preserve">
No tienen información sobre para cuando exactamente
**** se ampliará 150,000
</t>
        </r>
      </text>
    </comment>
    <comment ref="D19" authorId="0" shapeId="0">
      <text>
        <r>
          <rPr>
            <b/>
            <sz val="9"/>
            <color indexed="81"/>
            <rFont val="Tahoma"/>
            <family val="2"/>
          </rPr>
          <t>Josue Andreé Ricart Vásquez:</t>
        </r>
        <r>
          <rPr>
            <sz val="9"/>
            <color indexed="81"/>
            <rFont val="Tahoma"/>
            <family val="2"/>
          </rPr>
          <t xml:space="preserve">
no saben el monto exacto, liseth dice un monto pero no se sabe, mejor asi como está, se estima que se van a pagar en noviembre</t>
        </r>
      </text>
    </comment>
    <comment ref="D21" authorId="0" shapeId="0">
      <text>
        <r>
          <rPr>
            <b/>
            <sz val="9"/>
            <color indexed="81"/>
            <rFont val="Tahoma"/>
            <family val="2"/>
          </rPr>
          <t>Josue Andreé Ricart Vásquez:</t>
        </r>
        <r>
          <rPr>
            <sz val="9"/>
            <color indexed="81"/>
            <rFont val="Tahoma"/>
            <family val="2"/>
          </rPr>
          <t xml:space="preserve">
Inicial mente se tenía contemplado un monto de 48,000 pero se fue una persona y le unieron 
dos contratos a marvin mas 2400 descontando un producto que el anterior ya no entrego es decir 1940 USD según contrato 
</t>
        </r>
      </text>
    </comment>
    <comment ref="D25" authorId="0" shapeId="0">
      <text>
        <r>
          <rPr>
            <b/>
            <sz val="9"/>
            <color indexed="81"/>
            <rFont val="Tahoma"/>
            <family val="2"/>
          </rPr>
          <t>Josue Andreé Ricart Vásquez:</t>
        </r>
        <r>
          <rPr>
            <sz val="9"/>
            <color indexed="81"/>
            <rFont val="Tahoma"/>
            <family val="2"/>
          </rPr>
          <t xml:space="preserve">
solo 35,000 resto pasar a otra linea de los 90000 iniciales, monto varió en el q15, los 35000 resulta que eran quetzales pero el equipo de educación no informó bien</t>
        </r>
      </text>
    </comment>
    <comment ref="D26" authorId="0" shapeId="0">
      <text>
        <r>
          <rPr>
            <b/>
            <sz val="9"/>
            <color indexed="81"/>
            <rFont val="Tahoma"/>
            <family val="2"/>
          </rPr>
          <t>Josue Andreé Ricart Vásquez:</t>
        </r>
        <r>
          <rPr>
            <sz val="9"/>
            <color indexed="81"/>
            <rFont val="Tahoma"/>
            <family val="2"/>
          </rPr>
          <t xml:space="preserve">
inicialmente tenía 90 oeri es necesario rebajar porque si no se desfinancia el componente.
Por rescición de contrato se rebaja el monto de 29954.00 a 1762.00</t>
        </r>
      </text>
    </comment>
    <comment ref="D27" authorId="0" shapeId="0">
      <text>
        <r>
          <rPr>
            <b/>
            <sz val="9"/>
            <color indexed="81"/>
            <rFont val="Tahoma"/>
            <family val="2"/>
          </rPr>
          <t>Josue Andreé Ricart Vásquez:</t>
        </r>
        <r>
          <rPr>
            <sz val="9"/>
            <color indexed="81"/>
            <rFont val="Tahoma"/>
            <family val="2"/>
          </rPr>
          <t xml:space="preserve">
se hará un nuevo evento pero la propuesta que mas barato había ofertado fue por un monto de alrededor de 10,000 dólares mas que la que ganó anteriormente</t>
        </r>
      </text>
    </comment>
    <comment ref="C29" authorId="0" shapeId="0">
      <text>
        <r>
          <rPr>
            <b/>
            <sz val="9"/>
            <color indexed="81"/>
            <rFont val="Tahoma"/>
            <family val="2"/>
          </rPr>
          <t>Josue Andreé Ricart Vásquez:</t>
        </r>
        <r>
          <rPr>
            <sz val="9"/>
            <color indexed="81"/>
            <rFont val="Tahoma"/>
            <family val="2"/>
          </rPr>
          <t xml:space="preserve">
FHI</t>
        </r>
      </text>
    </comment>
    <comment ref="C33" authorId="0" shapeId="0">
      <text>
        <r>
          <rPr>
            <b/>
            <sz val="9"/>
            <color indexed="81"/>
            <rFont val="Tahoma"/>
            <family val="2"/>
          </rPr>
          <t>Josue Andreé Ricart Vásquez:</t>
        </r>
        <r>
          <rPr>
            <sz val="9"/>
            <color indexed="81"/>
            <rFont val="Tahoma"/>
            <family val="2"/>
          </rPr>
          <t xml:space="preserve">
PAGOS DICIEMBRE Y ENERO
</t>
        </r>
      </text>
    </comment>
    <comment ref="C34" authorId="0" shapeId="0">
      <text>
        <r>
          <rPr>
            <b/>
            <sz val="9"/>
            <color indexed="81"/>
            <rFont val="Tahoma"/>
            <family val="2"/>
          </rPr>
          <t>Josue Andreé Ricart Vásquez:</t>
        </r>
        <r>
          <rPr>
            <sz val="9"/>
            <color indexed="81"/>
            <rFont val="Tahoma"/>
            <family val="2"/>
          </rPr>
          <t xml:space="preserve">
LAS DATABASE YA FUERON PAGADAS</t>
        </r>
      </text>
    </comment>
    <comment ref="C35" authorId="0" shapeId="0">
      <text>
        <r>
          <rPr>
            <sz val="9"/>
            <color indexed="81"/>
            <rFont val="Tahoma"/>
            <family val="2"/>
          </rPr>
          <t>pagado</t>
        </r>
      </text>
    </comment>
    <comment ref="C37" authorId="0" shapeId="0">
      <text>
        <r>
          <rPr>
            <b/>
            <sz val="9"/>
            <color indexed="81"/>
            <rFont val="Tahoma"/>
            <family val="2"/>
          </rPr>
          <t>Josue Andreé Ricart Vásquez:</t>
        </r>
        <r>
          <rPr>
            <sz val="9"/>
            <color indexed="81"/>
            <rFont val="Tahoma"/>
            <family val="2"/>
          </rPr>
          <t xml:space="preserve">
Lilian Merlo contrato 2018
</t>
        </r>
      </text>
    </comment>
    <comment ref="C39" authorId="0" shapeId="0">
      <text>
        <r>
          <rPr>
            <b/>
            <sz val="9"/>
            <color indexed="81"/>
            <rFont val="Tahoma"/>
            <family val="2"/>
          </rPr>
          <t>Josue Andreé Ricart Vásquez:</t>
        </r>
        <r>
          <rPr>
            <sz val="9"/>
            <color indexed="81"/>
            <rFont val="Tahoma"/>
            <family val="2"/>
          </rPr>
          <t xml:space="preserve">
CONTRATACIONES 2018 Y PAGO DE FEBRERO 2018</t>
        </r>
      </text>
    </comment>
    <comment ref="C53" authorId="0" shapeId="0">
      <text>
        <r>
          <rPr>
            <b/>
            <sz val="9"/>
            <color indexed="81"/>
            <rFont val="Tahoma"/>
            <family val="2"/>
          </rPr>
          <t>investigadores de aduanas</t>
        </r>
        <r>
          <rPr>
            <sz val="9"/>
            <color indexed="81"/>
            <rFont val="Tahoma"/>
            <family val="2"/>
          </rPr>
          <t xml:space="preserve">
</t>
        </r>
      </text>
    </comment>
    <comment ref="C63" authorId="0" shapeId="0">
      <text>
        <r>
          <rPr>
            <b/>
            <sz val="9"/>
            <color indexed="81"/>
            <rFont val="Tahoma"/>
            <family val="2"/>
          </rPr>
          <t>Josue Andreé Ricart Vásquez:</t>
        </r>
        <r>
          <rPr>
            <sz val="9"/>
            <color indexed="81"/>
            <rFont val="Tahoma"/>
            <family val="2"/>
          </rPr>
          <t xml:space="preserve">
ya fue pagado en su totalidad PU-MCC-002-2016</t>
        </r>
      </text>
    </comment>
    <comment ref="D65" authorId="0" shapeId="0">
      <text>
        <r>
          <rPr>
            <b/>
            <sz val="9"/>
            <color indexed="81"/>
            <rFont val="Tahoma"/>
            <family val="2"/>
          </rPr>
          <t>Josue Andreé Ricart Vásquez:</t>
        </r>
        <r>
          <rPr>
            <sz val="9"/>
            <color indexed="81"/>
            <rFont val="Tahoma"/>
            <family val="2"/>
          </rPr>
          <t xml:space="preserve">
pago del q13 reprogramar all q14</t>
        </r>
      </text>
    </comment>
    <comment ref="C66" authorId="0" shapeId="0">
      <text>
        <r>
          <rPr>
            <b/>
            <sz val="9"/>
            <color indexed="81"/>
            <rFont val="Tahoma"/>
            <family val="2"/>
          </rPr>
          <t>Josue Andreé Ricart Vásquez:</t>
        </r>
        <r>
          <rPr>
            <sz val="9"/>
            <color indexed="81"/>
            <rFont val="Tahoma"/>
            <family val="2"/>
          </rPr>
          <t xml:space="preserve">
MGO</t>
        </r>
      </text>
    </comment>
    <comment ref="C67" authorId="0" shapeId="0">
      <text>
        <r>
          <rPr>
            <sz val="9"/>
            <color indexed="81"/>
            <rFont val="Tahoma"/>
            <family val="2"/>
          </rPr>
          <t>UNIVERSIDAD INTERNACIONES</t>
        </r>
      </text>
    </comment>
    <comment ref="C70" authorId="0" shapeId="0">
      <text>
        <r>
          <rPr>
            <b/>
            <sz val="9"/>
            <color indexed="81"/>
            <rFont val="Tahoma"/>
            <family val="2"/>
          </rPr>
          <t>Josue Andreé Ricart Vásquez:</t>
        </r>
        <r>
          <rPr>
            <sz val="9"/>
            <color indexed="81"/>
            <rFont val="Tahoma"/>
            <family val="2"/>
          </rPr>
          <t xml:space="preserve">
Deloitte</t>
        </r>
      </text>
    </comment>
    <comment ref="D71" authorId="0" shapeId="0">
      <text>
        <r>
          <rPr>
            <b/>
            <sz val="9"/>
            <color indexed="81"/>
            <rFont val="Tahoma"/>
            <family val="2"/>
          </rPr>
          <t>Josue Andreé Ricart Vásquez:</t>
        </r>
        <r>
          <rPr>
            <sz val="9"/>
            <color indexed="81"/>
            <rFont val="Tahoma"/>
            <family val="2"/>
          </rPr>
          <t xml:space="preserve">
no se va a pagar nada este trimestre</t>
        </r>
      </text>
    </comment>
    <comment ref="D72" authorId="0" shapeId="0">
      <text>
        <r>
          <rPr>
            <b/>
            <sz val="9"/>
            <color indexed="81"/>
            <rFont val="Tahoma"/>
            <family val="2"/>
          </rPr>
          <t>Josue Andreé Ricart Vásquez:</t>
        </r>
        <r>
          <rPr>
            <sz val="9"/>
            <color indexed="81"/>
            <rFont val="Tahoma"/>
            <family val="2"/>
          </rPr>
          <t xml:space="preserve">
Este monto surgió de una rebaja en el monto estimado de Metro Riel, ya que al momento de realizar la SD no se tenían monto suficiente para cubrir este compromiso.</t>
        </r>
      </text>
    </comment>
    <comment ref="C73" authorId="0" shapeId="0">
      <text>
        <r>
          <rPr>
            <sz val="9"/>
            <color indexed="81"/>
            <rFont val="Tahoma"/>
            <family val="2"/>
          </rPr>
          <t xml:space="preserve">Probablemente Sergio Bravo
</t>
        </r>
      </text>
    </comment>
    <comment ref="D75" authorId="0" shapeId="0">
      <text>
        <r>
          <rPr>
            <b/>
            <sz val="9"/>
            <color indexed="81"/>
            <rFont val="Tahoma"/>
            <family val="2"/>
          </rPr>
          <t>Josue Andreé Ricart Vásquez:</t>
        </r>
        <r>
          <rPr>
            <sz val="9"/>
            <color indexed="81"/>
            <rFont val="Tahoma"/>
            <family val="2"/>
          </rPr>
          <t xml:space="preserve">
reprogramar 2020</t>
        </r>
      </text>
    </comment>
    <comment ref="C76" authorId="0" shapeId="0">
      <text>
        <r>
          <rPr>
            <b/>
            <sz val="9"/>
            <color indexed="81"/>
            <rFont val="Tahoma"/>
            <family val="2"/>
          </rPr>
          <t>Josue Andreé Ricart Vásquez:</t>
        </r>
        <r>
          <rPr>
            <sz val="9"/>
            <color indexed="81"/>
            <rFont val="Tahoma"/>
            <family val="2"/>
          </rPr>
          <t xml:space="preserve">
ya están los terminos de referencia
están en proceso de evaluación 02/09/2019</t>
        </r>
      </text>
    </comment>
    <comment ref="D76" authorId="0" shapeId="0">
      <text>
        <r>
          <rPr>
            <b/>
            <sz val="9"/>
            <color indexed="81"/>
            <rFont val="Tahoma"/>
            <family val="2"/>
          </rPr>
          <t>Josue Andreé Ricart Vásquez:</t>
        </r>
        <r>
          <rPr>
            <sz val="9"/>
            <color indexed="81"/>
            <rFont val="Tahoma"/>
            <family val="2"/>
          </rPr>
          <t xml:space="preserve">
ES NECESARIO REBAJAR EL MONTO POR 75,000 DEBIDO A LA CAPACITACIÓN QUE TENDRAN CONGRESISTAS DE GUATEMALA EN EL REINO UNIDO, CASO CONTRARIO SE DESFINANCIA EL PROYECTO.
***De acuerdo a una nueva gestión se dividirá en dos fases Metro Riel. la primera se tiene un estimado de 900,000. y de la segunda desconozco el monto aun.
según nueva información para el siguiente trimestre, estiman que el valor de la consultoría será de 1.3 millones (18 de febrero 2019)</t>
        </r>
      </text>
    </comment>
    <comment ref="C83" authorId="0" shapeId="0">
      <text>
        <r>
          <rPr>
            <b/>
            <sz val="9"/>
            <color indexed="81"/>
            <rFont val="Tahoma"/>
            <family val="2"/>
          </rPr>
          <t>Josue Andreé Ricart Vásquez:</t>
        </r>
        <r>
          <rPr>
            <sz val="9"/>
            <color indexed="81"/>
            <rFont val="Tahoma"/>
            <family val="2"/>
          </rPr>
          <t xml:space="preserve">
incluye pago de corporación abiansha por 1652.68</t>
        </r>
      </text>
    </comment>
    <comment ref="C84" authorId="0" shapeId="0">
      <text>
        <r>
          <rPr>
            <b/>
            <sz val="9"/>
            <color indexed="81"/>
            <rFont val="Tahoma"/>
            <family val="2"/>
          </rPr>
          <t>Josue Andreé Ricart Vásquez:</t>
        </r>
        <r>
          <rPr>
            <sz val="9"/>
            <color indexed="81"/>
            <rFont val="Tahoma"/>
            <family val="2"/>
          </rPr>
          <t xml:space="preserve">
Incluye pago de rustika</t>
        </r>
      </text>
    </comment>
    <comment ref="D85" authorId="0" shapeId="0">
      <text>
        <r>
          <rPr>
            <b/>
            <sz val="9"/>
            <color indexed="81"/>
            <rFont val="Tahoma"/>
            <family val="2"/>
          </rPr>
          <t>Josue Andreé Ricart Vásquez:</t>
        </r>
        <r>
          <rPr>
            <sz val="9"/>
            <color indexed="81"/>
            <rFont val="Tahoma"/>
            <family val="2"/>
          </rPr>
          <t xml:space="preserve">
PARA LA ELABORACIÓN DEL Q13 CONSIGNAR VALOR PAGADO TOTAL DE 47118.49, PARA QUE AJUSTE CON MCDR DE ENERO</t>
        </r>
      </text>
    </comment>
    <comment ref="D86" authorId="0" shapeId="0">
      <text>
        <r>
          <rPr>
            <b/>
            <sz val="9"/>
            <color indexed="81"/>
            <rFont val="Tahoma"/>
            <family val="2"/>
          </rPr>
          <t>Josue Andreé Ricart Vásquez:</t>
        </r>
        <r>
          <rPr>
            <sz val="9"/>
            <color indexed="81"/>
            <rFont val="Tahoma"/>
            <family val="2"/>
          </rPr>
          <t xml:space="preserve">
original 45,000, se dejó de utilizar 6498.00 se reversó</t>
        </r>
      </text>
    </comment>
    <comment ref="C91" authorId="0" shapeId="0">
      <text>
        <r>
          <rPr>
            <sz val="9"/>
            <color indexed="81"/>
            <rFont val="Tahoma"/>
            <family val="2"/>
          </rPr>
          <t>Experto en escala vertical</t>
        </r>
      </text>
    </comment>
    <comment ref="D110" authorId="1" shapeId="0">
      <text>
        <r>
          <rPr>
            <b/>
            <sz val="9"/>
            <color indexed="81"/>
            <rFont val="Tahoma"/>
            <family val="2"/>
          </rPr>
          <t>Josue Ricart:</t>
        </r>
        <r>
          <rPr>
            <sz val="9"/>
            <color indexed="81"/>
            <rFont val="Tahoma"/>
            <family val="2"/>
          </rPr>
          <t xml:space="preserve">
se va a solicitar 6500 para este trimestre</t>
        </r>
      </text>
    </comment>
    <comment ref="C123" authorId="0" shapeId="0">
      <text>
        <r>
          <rPr>
            <b/>
            <sz val="9"/>
            <color indexed="81"/>
            <rFont val="Tahoma"/>
            <family val="2"/>
          </rPr>
          <t>Josue Andreé Ricart Grupo Sega</t>
        </r>
      </text>
    </comment>
    <comment ref="C124" authorId="0" shapeId="0">
      <text>
        <r>
          <rPr>
            <b/>
            <sz val="9"/>
            <color indexed="81"/>
            <rFont val="Tahoma"/>
            <family val="2"/>
          </rPr>
          <t>Josue Andreé Ricart Vásquez:</t>
        </r>
        <r>
          <rPr>
            <sz val="9"/>
            <color indexed="81"/>
            <rFont val="Tahoma"/>
            <family val="2"/>
          </rPr>
          <t xml:space="preserve">
Tecnasa</t>
        </r>
      </text>
    </comment>
    <comment ref="C125" authorId="0" shapeId="0">
      <text>
        <r>
          <rPr>
            <b/>
            <sz val="9"/>
            <color indexed="81"/>
            <rFont val="Tahoma"/>
            <family val="2"/>
          </rPr>
          <t>Josue Andreé Ricart Vásquez:</t>
        </r>
        <r>
          <rPr>
            <sz val="9"/>
            <color indexed="81"/>
            <rFont val="Tahoma"/>
            <family val="2"/>
          </rPr>
          <t xml:space="preserve">
Tecnasa</t>
        </r>
      </text>
    </comment>
    <comment ref="C126" authorId="0" shapeId="0">
      <text>
        <r>
          <rPr>
            <b/>
            <sz val="9"/>
            <color indexed="81"/>
            <rFont val="Tahoma"/>
            <family val="2"/>
          </rPr>
          <t>Josue Andreé Ricart Vásquez:</t>
        </r>
        <r>
          <rPr>
            <sz val="9"/>
            <color indexed="81"/>
            <rFont val="Tahoma"/>
            <family val="2"/>
          </rPr>
          <t xml:space="preserve">
01-2017</t>
        </r>
      </text>
    </comment>
    <comment ref="C129" authorId="0" shapeId="0">
      <text>
        <r>
          <rPr>
            <b/>
            <sz val="9"/>
            <color indexed="81"/>
            <rFont val="Tahoma"/>
            <family val="2"/>
          </rPr>
          <t>Josue Andreé Ricart Vásquez:</t>
        </r>
        <r>
          <rPr>
            <sz val="9"/>
            <color indexed="81"/>
            <rFont val="Tahoma"/>
            <family val="2"/>
          </rPr>
          <t xml:space="preserve">
Reparación Impresora</t>
        </r>
      </text>
    </comment>
    <comment ref="C132" authorId="0" shapeId="0">
      <text>
        <r>
          <rPr>
            <b/>
            <sz val="9"/>
            <color indexed="81"/>
            <rFont val="Tahoma"/>
            <family val="2"/>
          </rPr>
          <t>Josue Andreé Ricart Vásquez:</t>
        </r>
        <r>
          <rPr>
            <sz val="9"/>
            <color indexed="81"/>
            <rFont val="Tahoma"/>
            <family val="2"/>
          </rPr>
          <t xml:space="preserve">
poliycom phone</t>
        </r>
      </text>
    </comment>
    <comment ref="C133" authorId="0" shapeId="0">
      <text>
        <r>
          <rPr>
            <b/>
            <sz val="9"/>
            <color indexed="81"/>
            <rFont val="Tahoma"/>
            <family val="2"/>
          </rPr>
          <t>Josue Andreé Ricart Vásquez:</t>
        </r>
        <r>
          <rPr>
            <sz val="9"/>
            <color indexed="81"/>
            <rFont val="Tahoma"/>
            <family val="2"/>
          </rPr>
          <t xml:space="preserve">
compra de credenzas</t>
        </r>
      </text>
    </comment>
    <comment ref="C134" authorId="0" shapeId="0">
      <text>
        <r>
          <rPr>
            <b/>
            <sz val="9"/>
            <color indexed="81"/>
            <rFont val="Tahoma"/>
            <family val="2"/>
          </rPr>
          <t>Josue Andreé Ricart Vásquez:</t>
        </r>
        <r>
          <rPr>
            <sz val="9"/>
            <color indexed="81"/>
            <rFont val="Tahoma"/>
            <family val="2"/>
          </rPr>
          <t xml:space="preserve">
PU-MCC-SNC-001-2016
</t>
        </r>
      </text>
    </comment>
    <comment ref="C135" authorId="0" shapeId="0">
      <text>
        <r>
          <rPr>
            <b/>
            <sz val="9"/>
            <color indexed="81"/>
            <rFont val="Tahoma"/>
            <family val="2"/>
          </rPr>
          <t>Josue Andreé Ricart Vásquez:</t>
        </r>
        <r>
          <rPr>
            <sz val="9"/>
            <color indexed="81"/>
            <rFont val="Tahoma"/>
            <family val="2"/>
          </rPr>
          <t xml:space="preserve">
03-2017
</t>
        </r>
      </text>
    </comment>
    <comment ref="C137" authorId="0" shapeId="0">
      <text>
        <r>
          <rPr>
            <b/>
            <sz val="9"/>
            <color indexed="81"/>
            <rFont val="Tahoma"/>
            <family val="2"/>
          </rPr>
          <t>Josue Andreé Ricart Vásquez:</t>
        </r>
        <r>
          <rPr>
            <sz val="9"/>
            <color indexed="81"/>
            <rFont val="Tahoma"/>
            <family val="2"/>
          </rPr>
          <t xml:space="preserve">
01-2018</t>
        </r>
      </text>
    </comment>
    <comment ref="BC148" authorId="0" shapeId="0">
      <text>
        <r>
          <rPr>
            <b/>
            <sz val="9"/>
            <color indexed="81"/>
            <rFont val="Tahoma"/>
            <family val="2"/>
          </rPr>
          <t>Josue Andreé Ricart Vásquez:</t>
        </r>
        <r>
          <rPr>
            <sz val="9"/>
            <color indexed="81"/>
            <rFont val="Tahoma"/>
            <family val="2"/>
          </rPr>
          <t xml:space="preserve">
ojo se debe quitar un usd 1.00 solo ejecuto 24999
</t>
        </r>
      </text>
    </comment>
    <comment ref="D165" authorId="1" shapeId="0">
      <text>
        <r>
          <rPr>
            <b/>
            <sz val="9"/>
            <color indexed="81"/>
            <rFont val="Tahoma"/>
            <family val="2"/>
          </rPr>
          <t>Josue Ricart:
Q16 increse 130,000.0</t>
        </r>
      </text>
    </comment>
    <comment ref="D168" authorId="1" shapeId="0">
      <text>
        <r>
          <rPr>
            <b/>
            <sz val="9"/>
            <color indexed="81"/>
            <rFont val="Tahoma"/>
            <family val="2"/>
          </rPr>
          <t>Josue Ricart:</t>
        </r>
        <r>
          <rPr>
            <sz val="9"/>
            <color indexed="81"/>
            <rFont val="Tahoma"/>
            <family val="2"/>
          </rPr>
          <t xml:space="preserve">
Increse 25,000
</t>
        </r>
      </text>
    </comment>
  </commentList>
</comments>
</file>

<file path=xl/sharedStrings.xml><?xml version="1.0" encoding="utf-8"?>
<sst xmlns="http://schemas.openxmlformats.org/spreadsheetml/2006/main" count="1036" uniqueCount="282">
  <si>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</si>
  <si>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</si>
  <si>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</si>
  <si>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</si>
  <si>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</si>
  <si>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</si>
  <si>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</si>
  <si>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</si>
  <si>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</si>
  <si>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</si>
  <si>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</si>
  <si>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</si>
  <si>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</si>
  <si>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</si>
  <si>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</si>
  <si>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</si>
  <si>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</si>
  <si>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</si>
  <si>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</si>
  <si>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</si>
  <si>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</si>
  <si>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</si>
  <si>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</si>
  <si>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</si>
  <si>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</si>
  <si>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</si>
  <si>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</si>
  <si>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</si>
  <si>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</si>
  <si>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</si>
  <si>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</si>
  <si>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</si>
  <si>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</si>
  <si>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Schedule B.  Summary of Multi-Year Financial Plan Adjustments to Date</t>
  </si>
  <si>
    <t>Amounts Expressed in US Dollars</t>
  </si>
  <si>
    <t>DISBURSEMENT REQUEST</t>
  </si>
  <si>
    <t xml:space="preserve">THRESHOLD PROGRAM GRANT AGREEMENT </t>
  </si>
  <si>
    <t>Country</t>
  </si>
  <si>
    <t>Projects</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</si>
  <si>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</si>
  <si>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</si>
  <si>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</si>
  <si>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</si>
  <si>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</si>
  <si>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</si>
  <si>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</si>
  <si>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</si>
  <si>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</si>
  <si>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</si>
  <si>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</si>
  <si>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</si>
  <si>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</si>
  <si>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</si>
  <si>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</si>
  <si>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</si>
  <si>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</si>
  <si>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</si>
  <si>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</si>
  <si>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</si>
  <si>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</si>
  <si>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 xml:space="preserve">Name: </t>
  </si>
  <si>
    <t>TOTAL - Education</t>
  </si>
  <si>
    <t>TOTAL - Resource Mobilization</t>
  </si>
  <si>
    <t>Guatemala</t>
  </si>
  <si>
    <t>PRONACOM</t>
  </si>
  <si>
    <t>TR14GTM15001</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</si>
  <si>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</si>
  <si>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</si>
  <si>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</si>
  <si>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</si>
  <si>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</si>
  <si>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</si>
  <si>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</si>
  <si>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</si>
  <si>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</si>
  <si>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</si>
  <si>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</si>
  <si>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</si>
  <si>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</si>
  <si>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</si>
  <si>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</si>
  <si>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</si>
  <si>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</si>
  <si>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</si>
  <si>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</si>
  <si>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</si>
  <si>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</si>
  <si>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</si>
  <si>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</si>
  <si>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</si>
  <si>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</si>
  <si>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15</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</si>
  <si>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</si>
  <si>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</si>
  <si>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</si>
  <si>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</si>
  <si>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</si>
  <si>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</si>
  <si>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</si>
  <si>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</si>
  <si>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</si>
  <si>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</si>
  <si>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</si>
  <si>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</si>
  <si>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</si>
  <si>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</si>
  <si>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</si>
  <si>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</si>
  <si>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</si>
  <si>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</si>
  <si>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</si>
  <si>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</si>
  <si>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</si>
  <si>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</si>
  <si>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</si>
  <si>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</si>
  <si>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</si>
  <si>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</si>
  <si>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</si>
  <si>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</si>
  <si>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</si>
  <si>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</si>
  <si>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</si>
  <si>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</si>
  <si>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</si>
  <si>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</si>
  <si>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</si>
  <si>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</si>
  <si>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</si>
  <si>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</si>
  <si>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</si>
  <si>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</si>
  <si>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</si>
  <si>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</si>
  <si>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</si>
  <si>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</si>
  <si>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</si>
  <si>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</si>
  <si>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</si>
  <si>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</si>
  <si>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</si>
  <si>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</si>
  <si>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</si>
  <si>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</si>
  <si>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Contract name</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</si>
  <si>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</si>
  <si>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</si>
  <si>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</si>
  <si>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</si>
  <si>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</si>
  <si>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</si>
  <si>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</si>
  <si>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</si>
  <si>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</si>
  <si>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</si>
  <si>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</si>
  <si>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</si>
  <si>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</si>
  <si>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</si>
  <si>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</si>
  <si>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</si>
  <si>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</si>
  <si>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</si>
  <si>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</si>
  <si>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</si>
  <si>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Diplomado Training</t>
  </si>
  <si>
    <t>q6</t>
  </si>
  <si>
    <t>Pedagogical Resource centers</t>
  </si>
  <si>
    <t>Director de Proyecto de Educación</t>
  </si>
  <si>
    <t>PPP coach</t>
  </si>
  <si>
    <t>PP Financial Adivisor (for MINFIN and ANADIE)</t>
  </si>
  <si>
    <t>Airport Feasiblity Study</t>
  </si>
  <si>
    <t>Airport Transaction Advisor</t>
  </si>
  <si>
    <t>Road Feasiblity Study</t>
  </si>
  <si>
    <t>Road Transaction Advisor</t>
  </si>
  <si>
    <t>Antigua Feasiblity Study</t>
  </si>
  <si>
    <t>Antigua Transaction Advisor</t>
  </si>
  <si>
    <t>Training</t>
  </si>
  <si>
    <t>q7</t>
  </si>
  <si>
    <t>Coordinador MCC-THP</t>
  </si>
  <si>
    <t>Audit</t>
  </si>
  <si>
    <t>IT Equipment</t>
  </si>
  <si>
    <t>Communications and Workshops</t>
  </si>
  <si>
    <t>Travel</t>
  </si>
  <si>
    <t>Especialista de Monitoreo y Evaluación</t>
  </si>
  <si>
    <t>Coordinador Administrativo Financiero (Especialista financiero)</t>
  </si>
  <si>
    <t>Especialista en Adquisiciones MCC  (Especialista en adquisiciones)</t>
  </si>
  <si>
    <t>Asistente de Proyecto de Educación</t>
  </si>
  <si>
    <t>Recurring Expenses for which commitments will  be made in same quarter as expense.</t>
  </si>
  <si>
    <t>Salary Type Expenses</t>
  </si>
  <si>
    <t>Cash by quarter</t>
  </si>
  <si>
    <t>Committments by quarter</t>
  </si>
  <si>
    <t>q2</t>
  </si>
  <si>
    <t>q5</t>
  </si>
  <si>
    <t>q1</t>
  </si>
  <si>
    <t>Training option</t>
  </si>
  <si>
    <t>q4</t>
  </si>
  <si>
    <t>tbd</t>
  </si>
  <si>
    <t>check Cash=comm</t>
  </si>
  <si>
    <t>Grant Quarter #16</t>
  </si>
  <si>
    <t>Jan '20
Mar '20</t>
  </si>
  <si>
    <t>FxT Coordinator</t>
  </si>
  <si>
    <t>Actual Cumulative Disbursements at Beginning of Current Period</t>
  </si>
  <si>
    <t>Out of Cycle Report:  Yes [ ] | No [ x ]</t>
  </si>
  <si>
    <t>M&amp;E</t>
  </si>
  <si>
    <t>Total Comprometido a la fecha</t>
  </si>
  <si>
    <t>TVET place holder</t>
  </si>
  <si>
    <t>place holder</t>
  </si>
  <si>
    <t>q15</t>
  </si>
  <si>
    <t>MCC (Acting Fiscal Agent)</t>
  </si>
  <si>
    <t>Adjustment Reported/
Approved
(Q1 - 9/10/2016)</t>
  </si>
  <si>
    <t>data subscriptions</t>
  </si>
  <si>
    <t>IT consultants</t>
  </si>
  <si>
    <t>Managaement coach for customs and audit</t>
  </si>
  <si>
    <t>PPP coach option 1</t>
  </si>
  <si>
    <t>PPP coach option 2</t>
  </si>
  <si>
    <t>q8</t>
  </si>
  <si>
    <t xml:space="preserve">Date:  </t>
  </si>
  <si>
    <t xml:space="preserve"> 3 validadores para Pruebas de Educación de Nivel Medio</t>
  </si>
  <si>
    <t xml:space="preserve"> 6 redactores para Pruebas de Educación de Nivel Medio.</t>
  </si>
  <si>
    <t>1 curriculista para Pruebas de Educación de Nivel Medio.</t>
  </si>
  <si>
    <t>Un coordinador para Pruebas de Educación de Nivel Medio.</t>
  </si>
  <si>
    <t>Education Project Total</t>
  </si>
  <si>
    <t>Tax and Customs</t>
  </si>
  <si>
    <t>PPPs</t>
  </si>
  <si>
    <t>Program Admin</t>
  </si>
  <si>
    <t>Managaement coach for customs and audit (option 1)</t>
  </si>
  <si>
    <t>Asistente Administrativo Bilingüe</t>
  </si>
  <si>
    <t>q12</t>
  </si>
  <si>
    <t xml:space="preserve">Especialista Economista </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</si>
  <si>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</si>
  <si>
    <t>Exito Escolar 1.3</t>
  </si>
  <si>
    <t>Exito Escolar 1.1</t>
  </si>
  <si>
    <t>Apr '20
Jun '20</t>
  </si>
  <si>
    <t>* This activity has  MCC Managed (commitments and disbursements are reported on the quarterly MCC-Managed Report)</t>
  </si>
  <si>
    <t>* This activity (0443) is partially MCC-Managed</t>
  </si>
  <si>
    <t>Projected Disbursements during Current Period</t>
  </si>
  <si>
    <t>q10</t>
  </si>
  <si>
    <t>q9</t>
  </si>
  <si>
    <t>Adjustment Reported/
Approved
(Q6 - 10/11/2017)</t>
  </si>
  <si>
    <t>Q16</t>
  </si>
  <si>
    <t>Threshold Program / Program Administration and Monitoring and Evaluation</t>
  </si>
  <si>
    <t>April 8, 2015/May 16, 2016</t>
  </si>
  <si>
    <t>Q17</t>
  </si>
  <si>
    <t>Q18</t>
  </si>
  <si>
    <t>Close Out</t>
  </si>
  <si>
    <t>Q19</t>
  </si>
  <si>
    <t>Jul '20
Sep '20</t>
  </si>
  <si>
    <t>Oct '20
Dec '20</t>
  </si>
  <si>
    <t>Jan '21
Mar '21</t>
  </si>
  <si>
    <t>Grant Quarter #17</t>
  </si>
  <si>
    <t>Grant Quarter #18</t>
  </si>
  <si>
    <t>Column 16</t>
  </si>
  <si>
    <t>Column 17</t>
  </si>
  <si>
    <t>Column 18</t>
  </si>
  <si>
    <t>q11</t>
  </si>
  <si>
    <t>q14</t>
  </si>
  <si>
    <t>q13</t>
  </si>
  <si>
    <t>Adjustment Reported/ 
Approved 
(Q10 - 05/11/2018)</t>
  </si>
  <si>
    <t>Adjustment Reported/ 
Approved 
(Q12- 01/04/2019)</t>
  </si>
  <si>
    <t>q17</t>
  </si>
  <si>
    <t>q18</t>
  </si>
  <si>
    <t>Apr-21</t>
  </si>
  <si>
    <t>Q20</t>
  </si>
  <si>
    <t>Column 19</t>
  </si>
  <si>
    <t>Apr '21
Jun '21</t>
  </si>
  <si>
    <t>q19</t>
  </si>
  <si>
    <t>Close Out
Grant Quarter #19</t>
  </si>
  <si>
    <t>Post Close Out
Grant Quarter #20</t>
  </si>
  <si>
    <t xml:space="preserve">cash, cash cash cash cash cash, cash cash cash cash cash, cash cash cash cash cash, cash cash cash cash cash, cash cash cash cash cash, cash cash cash cash cash, cash cash cash cash cash, cash cash cash cash cash, cash cash cash cash cash, cash cash cash cash </t>
  </si>
  <si>
    <t xml:space="preserve">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COM </t>
  </si>
  <si>
    <t>q16</t>
  </si>
  <si>
    <t>Dec '19</t>
  </si>
  <si>
    <t>Apr '20</t>
  </si>
  <si>
    <t>May `20</t>
  </si>
  <si>
    <t>Jun ´20</t>
  </si>
  <si>
    <t>Adjustment Reported/ 
Approved 
(Q15- 31/12/2019)</t>
  </si>
  <si>
    <t>Name: Francisca de Jesús Cárdenas Morán</t>
  </si>
  <si>
    <t>Signed by the  THP  Director</t>
  </si>
  <si>
    <t>Date:  ____________________________________________________</t>
  </si>
  <si>
    <t>two million two hundred thirty-one thousand seven hundred thirty-four and 46/100 dollars</t>
  </si>
  <si>
    <t>Date: March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</si>
</sst>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quot;#,##0;[Red]\-&quot;Q&quot;#,##0"/>
    <numFmt numFmtId="43" formatCode="_-* #,##0.00_-;\-* #,##0.00_-;_-* &quot;-&quot;??_-;_-@_-"/>
    <numFmt numFmtId="164" formatCode="&quot;$&quot;#,##0.00_);\(&quot;$&quot;#,##0.00\)"/>
    <numFmt numFmtId="165" formatCode="_(&quot;$&quot;* #,##0.00_);_(&quot;$&quot;* \(#,##0.00\);_(&quot;$&quot;* &quot;-&quot;??_);_(@_)"/>
    <numFmt numFmtId="166" formatCode="_(* #,##0.00_);_(* \(#,##0.00\);_(* &quot;-&quot;??_);_(@_)"/>
    <numFmt numFmtId="167" formatCode="_(* #,##0_);_(* \(#,##0\);_(* &quot;-&quot;??_);_(@_)"/>
    <numFmt numFmtId="168" formatCode="0_);[Red]\(0\)"/>
    <numFmt numFmtId="169" formatCode="[$-409]mmmm\ d\,\ yyyy;@"/>
    <numFmt numFmtId="170" formatCode="[$-409]mmm\-yy;@"/>
    <numFmt numFmtId="171" formatCode="m/d/yy;@"/>
    <numFmt numFmtId="172" formatCode="_(&quot;$&quot;* #,##0_);_(&quot;$&quot;* \(#,##0\);_(&quot;$&quot;* &quot;-&quot;??_);_(@_)"/>
    <numFmt numFmtId="173" formatCode="0.0%"/>
    <numFmt numFmtId="174" formatCode="[$-409]dd\-mmm\-yy;@"/>
    <numFmt numFmtId="175" formatCode="_(&quot;$&quot;* #,##0.0000_);_(&quot;$&quot;* \(#,##0.0000\);_(&quot;$&quot;* &quot;-&quot;??_);_(@_)"/>
    <numFmt numFmtId="176" formatCode="_(&quot;$&quot;* #,##0.00000_);_(&quot;$&quot;* \(#,##0.00000\);_(&quot;$&quot;* &quot;-&quot;??_);_(@_)"/>
    <numFmt numFmtId="177" formatCode="_(&quot;$&quot;* #,##0.000000_);_(&quot;$&quot;* \(#,##0.000000\);_(&quot;$&quot;* &quot;-&quot;??_);_(@_)"/>
    <numFmt numFmtId="178" formatCode="_(* #,##0.00000_);_(* \(#,##0.00000\);_(* &quot;-&quot;??_);_(@_)"/>
  </numFmts>
  <fonts count="40"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9"/>
      <color indexed="81"/>
      <name val="Tahoma"/>
      <family val="2"/>
    </font>
    <font>
      <sz val="9"/>
      <color indexed="81"/>
      <name val="Tahoma"/>
      <family val="2"/>
    </font>
    <font>
      <sz val="9"/>
      <color theme="1"/>
      <name val="Calibri"/>
      <family val="2"/>
      <scheme val="minor"/>
    </font>
    <font>
      <b/>
      <sz val="16"/>
      <color theme="1"/>
      <name val="Calibri"/>
      <family val="2"/>
      <scheme val="minor"/>
    </font>
    <font>
      <sz val="11"/>
      <color rgb="FF006100"/>
      <name val="Calibri"/>
      <family val="2"/>
      <scheme val="minor"/>
    </font>
    <font>
      <b/>
      <sz val="14"/>
      <color theme="1"/>
      <name val="Calibri"/>
      <family val="2"/>
      <scheme val="minor"/>
    </font>
    <font>
      <b/>
      <sz val="11"/>
      <color theme="0"/>
      <name val="Calibri"/>
      <family val="2"/>
      <scheme val="minor"/>
    </font>
  </fonts>
  <fills count="30">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6EFCE"/>
      </patternFill>
    </fill>
    <fill>
      <patternFill patternType="solid">
        <fgColor theme="5"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39997558519241921"/>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indexed="64"/>
      </top>
      <bottom/>
      <diagonal/>
    </border>
  </borders>
  <cellStyleXfs count="21">
    <xf numFmtId="0" fontId="0" fillId="0" borderId="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6"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9" fontId="1" fillId="0" borderId="0" applyFont="0" applyFill="0" applyBorder="0" applyAlignment="0" applyProtection="0"/>
    <xf numFmtId="0" fontId="37" fillId="23" borderId="0" applyNumberFormat="0" applyBorder="0" applyAlignment="0" applyProtection="0"/>
  </cellStyleXfs>
  <cellXfs count="515">
    <xf numFmtId="0" fontId="0" fillId="0" borderId="0" xfId="0"/>
    <xf numFmtId="167" fontId="2" fillId="0" borderId="0" xfId="2" applyNumberFormat="1"/>
    <xf numFmtId="167" fontId="3" fillId="0" borderId="1" xfId="3" applyNumberFormat="1" applyFont="1" applyBorder="1"/>
    <xf numFmtId="167" fontId="2" fillId="0" borderId="2" xfId="2" applyNumberFormat="1" applyFill="1" applyBorder="1"/>
    <xf numFmtId="167" fontId="2" fillId="0" borderId="3" xfId="2" applyNumberFormat="1" applyBorder="1"/>
    <xf numFmtId="167" fontId="2" fillId="0" borderId="0" xfId="2" applyNumberFormat="1" applyBorder="1"/>
    <xf numFmtId="168" fontId="2" fillId="0" borderId="0" xfId="2" applyNumberFormat="1"/>
    <xf numFmtId="0" fontId="2" fillId="0" borderId="0" xfId="4"/>
    <xf numFmtId="167" fontId="4" fillId="0" borderId="1" xfId="2" applyNumberFormat="1" applyFont="1" applyBorder="1"/>
    <xf numFmtId="167" fontId="2" fillId="0" borderId="0" xfId="2" applyNumberFormat="1" applyFont="1"/>
    <xf numFmtId="0" fontId="2" fillId="0" borderId="0" xfId="4" applyBorder="1"/>
    <xf numFmtId="167" fontId="2" fillId="0" borderId="4" xfId="2" applyNumberFormat="1" applyFill="1" applyBorder="1" applyAlignment="1">
      <alignment horizontal="right"/>
    </xf>
    <xf numFmtId="167" fontId="2" fillId="0" borderId="5" xfId="2" applyNumberFormat="1" applyFill="1" applyBorder="1"/>
    <xf numFmtId="0" fontId="0" fillId="0" borderId="6" xfId="0" applyBorder="1" applyAlignment="1">
      <alignment horizontal="left" indent="1"/>
    </xf>
    <xf numFmtId="167" fontId="2" fillId="0" borderId="7" xfId="2" applyNumberFormat="1" applyFill="1" applyBorder="1" applyAlignment="1">
      <alignment horizontal="right"/>
    </xf>
    <xf numFmtId="167" fontId="2" fillId="0" borderId="0" xfId="2" applyNumberFormat="1" applyFill="1" applyBorder="1"/>
    <xf numFmtId="0" fontId="0" fillId="0" borderId="8" xfId="0" applyBorder="1" applyAlignment="1">
      <alignment horizontal="left" indent="1"/>
    </xf>
    <xf numFmtId="167" fontId="2" fillId="0" borderId="7" xfId="2" applyNumberFormat="1" applyFont="1" applyFill="1" applyBorder="1" applyAlignment="1">
      <alignment horizontal="right"/>
    </xf>
    <xf numFmtId="167" fontId="2" fillId="0" borderId="9" xfId="2" applyNumberFormat="1" applyFont="1" applyBorder="1" applyAlignment="1">
      <alignment horizontal="right"/>
    </xf>
    <xf numFmtId="167" fontId="2" fillId="0" borderId="10" xfId="2" applyNumberFormat="1" applyFill="1" applyBorder="1" applyAlignment="1"/>
    <xf numFmtId="167" fontId="2" fillId="0" borderId="0" xfId="2" applyNumberFormat="1" applyAlignment="1"/>
    <xf numFmtId="167" fontId="2" fillId="0" borderId="0" xfId="2" applyNumberFormat="1" applyFill="1" applyBorder="1" applyAlignment="1">
      <alignment horizontal="center"/>
    </xf>
    <xf numFmtId="167" fontId="2" fillId="0" borderId="0" xfId="2" applyNumberFormat="1" applyBorder="1" applyAlignment="1">
      <alignment horizontal="center"/>
    </xf>
    <xf numFmtId="167" fontId="5" fillId="0" borderId="0" xfId="2" applyNumberFormat="1" applyFont="1" applyBorder="1" applyAlignment="1">
      <alignment horizontal="left"/>
    </xf>
    <xf numFmtId="168" fontId="4" fillId="0" borderId="0" xfId="2" applyNumberFormat="1" applyFont="1" applyFill="1"/>
    <xf numFmtId="167" fontId="4" fillId="0" borderId="0" xfId="2" applyNumberFormat="1" applyFont="1" applyFill="1"/>
    <xf numFmtId="167" fontId="2" fillId="0" borderId="0" xfId="2" applyNumberFormat="1" applyFont="1" applyFill="1" applyBorder="1" applyAlignment="1">
      <alignment horizontal="left"/>
    </xf>
    <xf numFmtId="167"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8" fontId="4" fillId="6" borderId="12"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168" fontId="4" fillId="0" borderId="0" xfId="2" applyNumberFormat="1" applyFont="1" applyFill="1" applyBorder="1" applyAlignment="1">
      <alignment horizontal="center" vertical="center" wrapText="1"/>
    </xf>
    <xf numFmtId="167" fontId="2" fillId="0" borderId="13" xfId="2" applyNumberFormat="1" applyBorder="1"/>
    <xf numFmtId="167" fontId="2" fillId="0" borderId="12" xfId="2" applyNumberFormat="1" applyBorder="1"/>
    <xf numFmtId="167" fontId="9" fillId="7"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7" fontId="4" fillId="5" borderId="12" xfId="2" applyNumberFormat="1" applyFont="1" applyFill="1" applyBorder="1"/>
    <xf numFmtId="167" fontId="4" fillId="8" borderId="12" xfId="2" applyNumberFormat="1" applyFont="1" applyFill="1" applyBorder="1" applyAlignment="1">
      <alignment horizontal="center"/>
    </xf>
    <xf numFmtId="167" fontId="4" fillId="8" borderId="13" xfId="2" applyNumberFormat="1" applyFont="1" applyFill="1" applyBorder="1" applyAlignment="1">
      <alignment horizontal="center"/>
    </xf>
    <xf numFmtId="167" fontId="10" fillId="2" borderId="12" xfId="2" applyNumberFormat="1" applyFont="1" applyFill="1" applyBorder="1" applyAlignment="1">
      <alignment wrapText="1"/>
    </xf>
    <xf numFmtId="167" fontId="4" fillId="2" borderId="13" xfId="2" applyNumberFormat="1" applyFont="1" applyFill="1" applyBorder="1" applyAlignment="1">
      <alignment horizontal="center"/>
    </xf>
    <xf numFmtId="167" fontId="4" fillId="2" borderId="12" xfId="2" applyNumberFormat="1" applyFont="1" applyFill="1" applyBorder="1" applyAlignment="1">
      <alignment horizontal="center"/>
    </xf>
    <xf numFmtId="168" fontId="4" fillId="2" borderId="12" xfId="2" applyNumberFormat="1" applyFont="1" applyFill="1" applyBorder="1" applyAlignment="1">
      <alignment horizontal="center"/>
    </xf>
    <xf numFmtId="1" fontId="2" fillId="0" borderId="0" xfId="2" applyNumberFormat="1" applyBorder="1"/>
    <xf numFmtId="167" fontId="3" fillId="5" borderId="12" xfId="2" applyNumberFormat="1" applyFont="1" applyFill="1" applyBorder="1" applyAlignment="1">
      <alignment horizontal="left" vertical="center" wrapText="1"/>
    </xf>
    <xf numFmtId="167" fontId="3" fillId="9" borderId="12" xfId="2" applyNumberFormat="1" applyFont="1" applyFill="1" applyBorder="1" applyAlignment="1">
      <alignment horizontal="left" wrapText="1"/>
    </xf>
    <xf numFmtId="167" fontId="4" fillId="9" borderId="13" xfId="2" applyNumberFormat="1" applyFont="1" applyFill="1" applyBorder="1"/>
    <xf numFmtId="167" fontId="3" fillId="0" borderId="12" xfId="2" applyNumberFormat="1" applyFont="1" applyBorder="1" applyAlignment="1">
      <alignment wrapText="1"/>
    </xf>
    <xf numFmtId="167" fontId="4" fillId="0" borderId="13" xfId="2" applyNumberFormat="1" applyFont="1" applyBorder="1"/>
    <xf numFmtId="167" fontId="4" fillId="0" borderId="12" xfId="2" applyNumberFormat="1" applyFont="1" applyBorder="1"/>
    <xf numFmtId="167" fontId="4" fillId="2" borderId="13" xfId="2" applyNumberFormat="1" applyFont="1" applyFill="1" applyBorder="1"/>
    <xf numFmtId="167" fontId="4" fillId="2" borderId="12" xfId="2" applyNumberFormat="1" applyFont="1" applyFill="1" applyBorder="1"/>
    <xf numFmtId="167" fontId="3" fillId="9"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7" fontId="3" fillId="5" borderId="12" xfId="2" applyNumberFormat="1" applyFont="1" applyFill="1" applyBorder="1" applyAlignment="1">
      <alignment horizontal="left" wrapText="1"/>
    </xf>
    <xf numFmtId="0" fontId="3" fillId="9" borderId="12" xfId="2" applyNumberFormat="1" applyFont="1" applyFill="1" applyBorder="1" applyAlignment="1">
      <alignment horizontal="left" wrapText="1"/>
    </xf>
    <xf numFmtId="167" fontId="2" fillId="0" borderId="0" xfId="2" applyNumberFormat="1" applyFill="1"/>
    <xf numFmtId="0" fontId="2" fillId="0" borderId="0" xfId="4" applyFont="1"/>
    <xf numFmtId="167" fontId="14" fillId="0" borderId="0" xfId="2" applyNumberFormat="1" applyFont="1"/>
    <xf numFmtId="168" fontId="14" fillId="0" borderId="0" xfId="2" applyNumberFormat="1" applyFont="1"/>
    <xf numFmtId="167"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9"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7" fontId="2" fillId="0" borderId="0" xfId="1" applyNumberFormat="1" applyFont="1" applyBorder="1"/>
    <xf numFmtId="171"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7"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7" borderId="19" xfId="0" applyFont="1" applyFill="1" applyBorder="1" applyAlignment="1">
      <alignment horizont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9"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2" fontId="2" fillId="0" borderId="12" xfId="6" applyNumberFormat="1" applyFont="1" applyFill="1" applyBorder="1" applyAlignment="1">
      <alignment horizontal="center"/>
    </xf>
    <xf numFmtId="172" fontId="2" fillId="12" borderId="12" xfId="6" applyNumberFormat="1" applyFont="1" applyFill="1" applyBorder="1" applyAlignment="1">
      <alignment horizontal="center"/>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9"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6" fontId="4" fillId="5" borderId="12" xfId="0" applyNumberFormat="1" applyFont="1" applyFill="1" applyBorder="1"/>
    <xf numFmtId="4" fontId="4" fillId="5" borderId="27" xfId="0" applyNumberFormat="1" applyFont="1" applyFill="1" applyBorder="1"/>
    <xf numFmtId="4" fontId="2" fillId="11" borderId="12" xfId="0" applyNumberFormat="1" applyFont="1" applyFill="1" applyBorder="1"/>
    <xf numFmtId="4" fontId="2" fillId="11" borderId="27" xfId="0" applyNumberFormat="1" applyFont="1" applyFill="1" applyBorder="1"/>
    <xf numFmtId="4" fontId="4" fillId="11" borderId="27" xfId="0" applyNumberFormat="1" applyFont="1" applyFill="1" applyBorder="1"/>
    <xf numFmtId="0" fontId="4" fillId="13" borderId="42" xfId="0" applyFont="1" applyFill="1" applyBorder="1" applyAlignment="1">
      <alignment horizontal="center"/>
    </xf>
    <xf numFmtId="4" fontId="2" fillId="11" borderId="29" xfId="0" applyNumberFormat="1" applyFont="1" applyFill="1" applyBorder="1"/>
    <xf numFmtId="4" fontId="2" fillId="11" borderId="43" xfId="0" applyNumberFormat="1" applyFont="1" applyFill="1" applyBorder="1"/>
    <xf numFmtId="4" fontId="4" fillId="6" borderId="37" xfId="0" applyNumberFormat="1" applyFont="1" applyFill="1" applyBorder="1"/>
    <xf numFmtId="166" fontId="2" fillId="11" borderId="12" xfId="0" applyNumberFormat="1" applyFont="1" applyFill="1" applyBorder="1"/>
    <xf numFmtId="0" fontId="2" fillId="11" borderId="26" xfId="0" applyFont="1" applyFill="1" applyBorder="1" applyAlignment="1">
      <alignment horizontal="left" vertical="top" wrapText="1"/>
    </xf>
    <xf numFmtId="0" fontId="4" fillId="11"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1" borderId="28" xfId="0" applyFont="1" applyFill="1" applyBorder="1" applyAlignment="1">
      <alignment vertical="top" wrapText="1"/>
    </xf>
    <xf numFmtId="0" fontId="4" fillId="6" borderId="38" xfId="0" applyFont="1" applyFill="1" applyBorder="1" applyAlignment="1">
      <alignment wrapText="1"/>
    </xf>
    <xf numFmtId="0" fontId="2" fillId="11" borderId="26" xfId="0" applyFont="1" applyFill="1" applyBorder="1" applyAlignment="1">
      <alignment horizontal="left" wrapText="1"/>
    </xf>
    <xf numFmtId="0" fontId="0" fillId="0" borderId="15" xfId="0" applyBorder="1" applyAlignment="1">
      <alignment horizontal="left" indent="1"/>
    </xf>
    <xf numFmtId="169" fontId="0" fillId="0" borderId="15" xfId="0" applyNumberFormat="1" applyBorder="1" applyAlignment="1">
      <alignment horizontal="left" indent="1"/>
    </xf>
    <xf numFmtId="166" fontId="4" fillId="5" borderId="17" xfId="0" applyNumberFormat="1" applyFont="1" applyFill="1" applyBorder="1"/>
    <xf numFmtId="166" fontId="2" fillId="9" borderId="12" xfId="0" applyNumberFormat="1" applyFont="1" applyFill="1" applyBorder="1"/>
    <xf numFmtId="166" fontId="2" fillId="11" borderId="10" xfId="0" applyNumberFormat="1" applyFont="1" applyFill="1" applyBorder="1"/>
    <xf numFmtId="166" fontId="4" fillId="7" borderId="29" xfId="0" applyNumberFormat="1" applyFont="1" applyFill="1" applyBorder="1" applyAlignment="1"/>
    <xf numFmtId="166" fontId="4" fillId="5" borderId="25" xfId="0" applyNumberFormat="1" applyFont="1" applyFill="1" applyBorder="1"/>
    <xf numFmtId="166" fontId="2" fillId="11" borderId="27" xfId="0" applyNumberFormat="1" applyFont="1" applyFill="1" applyBorder="1"/>
    <xf numFmtId="166" fontId="4" fillId="5" borderId="27" xfId="0" applyNumberFormat="1" applyFont="1" applyFill="1" applyBorder="1"/>
    <xf numFmtId="166" fontId="4" fillId="11" borderId="27" xfId="0" applyNumberFormat="1" applyFont="1" applyFill="1" applyBorder="1"/>
    <xf numFmtId="166" fontId="2" fillId="11" borderId="11" xfId="0" applyNumberFormat="1" applyFont="1" applyFill="1" applyBorder="1"/>
    <xf numFmtId="166" fontId="4" fillId="7" borderId="43" xfId="0" applyNumberFormat="1" applyFont="1" applyFill="1" applyBorder="1" applyAlignment="1"/>
    <xf numFmtId="167" fontId="3" fillId="10" borderId="12" xfId="1" applyNumberFormat="1" applyFont="1" applyFill="1" applyBorder="1" applyAlignment="1">
      <alignment horizontal="center"/>
    </xf>
    <xf numFmtId="0" fontId="2" fillId="0" borderId="11" xfId="2" applyNumberFormat="1" applyFont="1" applyBorder="1" applyAlignment="1">
      <alignment horizontal="center"/>
    </xf>
    <xf numFmtId="167" fontId="2" fillId="0" borderId="0" xfId="2" applyNumberFormat="1" applyAlignment="1">
      <alignment vertical="top"/>
    </xf>
    <xf numFmtId="167" fontId="2" fillId="0" borderId="0" xfId="2" applyNumberFormat="1" applyFont="1" applyAlignment="1">
      <alignment vertical="top"/>
    </xf>
    <xf numFmtId="0" fontId="2" fillId="0" borderId="0" xfId="4" applyAlignment="1">
      <alignment vertical="top"/>
    </xf>
    <xf numFmtId="168" fontId="4" fillId="6" borderId="12" xfId="2" applyNumberFormat="1" applyFont="1" applyFill="1" applyBorder="1" applyAlignment="1">
      <alignment horizontal="center" vertical="top"/>
    </xf>
    <xf numFmtId="167" fontId="3" fillId="10" borderId="12" xfId="1" applyNumberFormat="1" applyFont="1" applyFill="1" applyBorder="1" applyAlignment="1">
      <alignment horizontal="center" vertical="top"/>
    </xf>
    <xf numFmtId="167" fontId="4" fillId="2" borderId="12" xfId="2" applyNumberFormat="1" applyFont="1" applyFill="1" applyBorder="1" applyAlignment="1">
      <alignment horizontal="center" vertical="top"/>
    </xf>
    <xf numFmtId="166" fontId="4" fillId="5" borderId="13" xfId="2" applyNumberFormat="1" applyFont="1" applyFill="1" applyBorder="1"/>
    <xf numFmtId="166" fontId="4" fillId="9" borderId="13" xfId="2" applyNumberFormat="1" applyFont="1" applyFill="1" applyBorder="1"/>
    <xf numFmtId="166" fontId="4" fillId="5" borderId="12" xfId="2" applyNumberFormat="1" applyFont="1" applyFill="1" applyBorder="1" applyAlignment="1">
      <alignment vertical="top"/>
    </xf>
    <xf numFmtId="166" fontId="4" fillId="9" borderId="12" xfId="2" applyNumberFormat="1" applyFont="1" applyFill="1" applyBorder="1" applyAlignment="1">
      <alignment vertical="top"/>
    </xf>
    <xf numFmtId="167" fontId="23" fillId="14" borderId="12" xfId="2" applyNumberFormat="1" applyFont="1" applyFill="1" applyBorder="1" applyAlignment="1">
      <alignment horizontal="left" vertical="center" wrapText="1"/>
    </xf>
    <xf numFmtId="166" fontId="2" fillId="14" borderId="12" xfId="2" applyNumberFormat="1" applyFont="1" applyFill="1" applyBorder="1"/>
    <xf numFmtId="166" fontId="2" fillId="14" borderId="12" xfId="2" applyNumberFormat="1" applyFont="1" applyFill="1" applyBorder="1" applyAlignment="1">
      <alignment vertical="top"/>
    </xf>
    <xf numFmtId="1" fontId="2" fillId="0" borderId="0" xfId="2" applyNumberFormat="1" applyFont="1" applyBorder="1"/>
    <xf numFmtId="167" fontId="2" fillId="0" borderId="0" xfId="2" applyNumberFormat="1" applyFont="1" applyBorder="1"/>
    <xf numFmtId="167" fontId="2" fillId="0" borderId="13" xfId="2" applyNumberFormat="1" applyFont="1" applyBorder="1"/>
    <xf numFmtId="167" fontId="2" fillId="0" borderId="12" xfId="2" applyNumberFormat="1" applyFont="1" applyBorder="1"/>
    <xf numFmtId="167" fontId="2" fillId="14" borderId="12" xfId="2" applyNumberFormat="1" applyFont="1" applyFill="1" applyBorder="1"/>
    <xf numFmtId="1" fontId="2" fillId="0" borderId="0" xfId="4" applyNumberFormat="1" applyFont="1" applyBorder="1"/>
    <xf numFmtId="0" fontId="23" fillId="14"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7" fontId="23" fillId="14" borderId="12" xfId="2" applyNumberFormat="1" applyFont="1" applyFill="1" applyBorder="1" applyAlignment="1">
      <alignment horizontal="left" wrapText="1"/>
    </xf>
    <xf numFmtId="166" fontId="4" fillId="0" borderId="12" xfId="2" applyNumberFormat="1" applyFont="1" applyBorder="1"/>
    <xf numFmtId="166" fontId="4" fillId="2" borderId="12" xfId="2" applyNumberFormat="1" applyFont="1" applyFill="1" applyBorder="1"/>
    <xf numFmtId="166" fontId="4" fillId="0" borderId="12" xfId="2" applyNumberFormat="1" applyFont="1" applyFill="1" applyBorder="1"/>
    <xf numFmtId="166"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0"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0" borderId="12" xfId="2" applyNumberFormat="1" applyFont="1" applyFill="1" applyBorder="1" applyAlignment="1">
      <alignment horizontal="left" vertical="center" wrapText="1"/>
    </xf>
    <xf numFmtId="0" fontId="2" fillId="0" borderId="0" xfId="5" applyFill="1"/>
    <xf numFmtId="167" fontId="4" fillId="6" borderId="15" xfId="2" applyNumberFormat="1" applyFont="1" applyFill="1" applyBorder="1" applyAlignment="1">
      <alignment horizontal="center" vertical="center"/>
    </xf>
    <xf numFmtId="170" fontId="0" fillId="0" borderId="0" xfId="0" applyNumberFormat="1"/>
    <xf numFmtId="173" fontId="0" fillId="0" borderId="0" xfId="0" applyNumberFormat="1"/>
    <xf numFmtId="172" fontId="0" fillId="0" borderId="0" xfId="12" applyNumberFormat="1" applyFont="1"/>
    <xf numFmtId="0" fontId="0" fillId="15" borderId="0" xfId="0" applyFill="1"/>
    <xf numFmtId="0" fontId="0" fillId="16" borderId="0" xfId="0" applyFill="1"/>
    <xf numFmtId="10" fontId="0" fillId="0" borderId="0" xfId="0" applyNumberFormat="1"/>
    <xf numFmtId="0" fontId="24" fillId="6" borderId="0" xfId="0" applyFont="1" applyFill="1"/>
    <xf numFmtId="0" fontId="0" fillId="6" borderId="0" xfId="0" applyFill="1"/>
    <xf numFmtId="170" fontId="24" fillId="6" borderId="0" xfId="0" applyNumberFormat="1" applyFont="1" applyFill="1"/>
    <xf numFmtId="4" fontId="0" fillId="0" borderId="0" xfId="0" applyNumberFormat="1"/>
    <xf numFmtId="172" fontId="0" fillId="0" borderId="0" xfId="0" applyNumberFormat="1" applyFill="1"/>
    <xf numFmtId="0" fontId="0" fillId="18" borderId="0" xfId="0" applyFill="1"/>
    <xf numFmtId="166" fontId="4" fillId="0" borderId="0" xfId="0" applyNumberFormat="1" applyFont="1"/>
    <xf numFmtId="0" fontId="0" fillId="0" borderId="0" xfId="0" applyFill="1"/>
    <xf numFmtId="0" fontId="26" fillId="0" borderId="0" xfId="0" applyFont="1" applyFill="1"/>
    <xf numFmtId="166" fontId="26" fillId="0" borderId="0" xfId="1" applyFont="1" applyFill="1"/>
    <xf numFmtId="166" fontId="26" fillId="0" borderId="0" xfId="0" applyNumberFormat="1" applyFont="1" applyFill="1"/>
    <xf numFmtId="172" fontId="24" fillId="6" borderId="0" xfId="0" applyNumberFormat="1" applyFont="1" applyFill="1"/>
    <xf numFmtId="166" fontId="0" fillId="0" borderId="0" xfId="0" applyNumberFormat="1"/>
    <xf numFmtId="43" fontId="0" fillId="0" borderId="0" xfId="0" applyNumberFormat="1"/>
    <xf numFmtId="172" fontId="24" fillId="0" borderId="0" xfId="0" applyNumberFormat="1" applyFont="1" applyFill="1"/>
    <xf numFmtId="0" fontId="24" fillId="0" borderId="0" xfId="0" applyFont="1" applyFill="1"/>
    <xf numFmtId="0" fontId="26" fillId="20" borderId="0" xfId="0" applyFont="1" applyFill="1"/>
    <xf numFmtId="4" fontId="3" fillId="10" borderId="12" xfId="1" applyNumberFormat="1" applyFont="1" applyFill="1" applyBorder="1" applyAlignment="1">
      <alignment horizontal="center"/>
    </xf>
    <xf numFmtId="166" fontId="2" fillId="0" borderId="0" xfId="2" applyNumberFormat="1" applyBorder="1"/>
    <xf numFmtId="166" fontId="2" fillId="0" borderId="0" xfId="2" applyNumberFormat="1" applyFont="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6" fontId="5" fillId="0" borderId="0" xfId="2" applyNumberFormat="1" applyFont="1" applyFill="1" applyBorder="1" applyAlignment="1">
      <alignment horizontal="left"/>
    </xf>
    <xf numFmtId="166" fontId="3" fillId="10" borderId="12" xfId="1" applyNumberFormat="1" applyFont="1" applyFill="1" applyBorder="1" applyAlignment="1">
      <alignment horizontal="center"/>
    </xf>
    <xf numFmtId="166" fontId="4" fillId="8" borderId="12" xfId="2" applyNumberFormat="1" applyFont="1" applyFill="1" applyBorder="1" applyAlignment="1">
      <alignment horizontal="center"/>
    </xf>
    <xf numFmtId="166" fontId="4" fillId="2" borderId="12" xfId="2" applyNumberFormat="1" applyFont="1" applyFill="1" applyBorder="1" applyAlignment="1">
      <alignment horizontal="center"/>
    </xf>
    <xf numFmtId="166" fontId="4" fillId="2" borderId="12" xfId="4" applyNumberFormat="1" applyFont="1" applyFill="1" applyBorder="1"/>
    <xf numFmtId="166" fontId="2" fillId="0" borderId="0" xfId="2" applyNumberFormat="1"/>
    <xf numFmtId="14" fontId="3" fillId="5" borderId="12" xfId="0" applyNumberFormat="1" applyFont="1" applyFill="1" applyBorder="1" applyAlignment="1">
      <alignment horizontal="center" vertical="center" wrapText="1"/>
    </xf>
    <xf numFmtId="166" fontId="4" fillId="0" borderId="12" xfId="2" applyNumberFormat="1" applyFont="1" applyFill="1" applyBorder="1" applyAlignment="1">
      <alignment vertical="top"/>
    </xf>
    <xf numFmtId="166" fontId="4" fillId="2" borderId="12" xfId="2" applyNumberFormat="1" applyFont="1" applyFill="1" applyBorder="1" applyAlignment="1">
      <alignment vertical="top"/>
    </xf>
    <xf numFmtId="166" fontId="2" fillId="14" borderId="13" xfId="2" applyNumberFormat="1" applyFont="1" applyFill="1" applyBorder="1" applyAlignment="1">
      <alignment vertical="top"/>
    </xf>
    <xf numFmtId="166" fontId="4" fillId="9" borderId="13" xfId="2" applyNumberFormat="1" applyFont="1" applyFill="1" applyBorder="1" applyAlignment="1">
      <alignment vertical="top"/>
    </xf>
    <xf numFmtId="166" fontId="4" fillId="0" borderId="13" xfId="2" applyNumberFormat="1" applyFont="1" applyBorder="1"/>
    <xf numFmtId="166" fontId="4" fillId="2" borderId="13" xfId="2" applyNumberFormat="1" applyFont="1" applyFill="1" applyBorder="1"/>
    <xf numFmtId="166" fontId="4" fillId="2" borderId="13" xfId="4" applyNumberFormat="1" applyFont="1" applyFill="1" applyBorder="1"/>
    <xf numFmtId="166" fontId="2" fillId="0" borderId="0" xfId="2" applyNumberFormat="1" applyFill="1"/>
    <xf numFmtId="166" fontId="2" fillId="0" borderId="0" xfId="2" applyNumberFormat="1" applyAlignment="1">
      <alignment vertical="top"/>
    </xf>
    <xf numFmtId="40" fontId="4" fillId="5" borderId="12" xfId="0" applyNumberFormat="1" applyFont="1" applyFill="1" applyBorder="1"/>
    <xf numFmtId="40" fontId="2" fillId="11" borderId="12" xfId="0" applyNumberFormat="1" applyFont="1" applyFill="1" applyBorder="1"/>
    <xf numFmtId="40" fontId="2" fillId="0" borderId="12" xfId="0" applyNumberFormat="1" applyFont="1" applyFill="1" applyBorder="1"/>
    <xf numFmtId="40" fontId="2" fillId="11"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4" borderId="12" xfId="2" applyNumberFormat="1" applyFont="1" applyFill="1" applyBorder="1"/>
    <xf numFmtId="40" fontId="4" fillId="9"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4" borderId="13" xfId="2" applyNumberFormat="1" applyFont="1" applyFill="1" applyBorder="1"/>
    <xf numFmtId="40" fontId="4" fillId="9" borderId="13" xfId="2" applyNumberFormat="1" applyFont="1" applyFill="1" applyBorder="1"/>
    <xf numFmtId="40" fontId="4" fillId="0" borderId="12" xfId="2" applyNumberFormat="1" applyFont="1" applyFill="1" applyBorder="1"/>
    <xf numFmtId="40" fontId="13" fillId="10"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8"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6" fontId="2" fillId="14" borderId="13" xfId="2" applyNumberFormat="1" applyFont="1" applyFill="1" applyBorder="1"/>
    <xf numFmtId="166" fontId="2" fillId="14" borderId="12" xfId="2" applyNumberFormat="1" applyFont="1" applyFill="1" applyBorder="1"/>
    <xf numFmtId="9" fontId="0" fillId="0" borderId="0" xfId="0" applyNumberFormat="1"/>
    <xf numFmtId="172" fontId="0" fillId="0" borderId="0" xfId="0" applyNumberFormat="1"/>
    <xf numFmtId="172" fontId="0" fillId="6" borderId="0" xfId="0" applyNumberFormat="1" applyFill="1"/>
    <xf numFmtId="172" fontId="26" fillId="17" borderId="0" xfId="12" applyNumberFormat="1" applyFont="1" applyFill="1"/>
    <xf numFmtId="172" fontId="22" fillId="0" borderId="0" xfId="12" applyNumberFormat="1" applyFont="1"/>
    <xf numFmtId="174" fontId="0" fillId="0" borderId="8" xfId="0" applyNumberFormat="1" applyBorder="1" applyAlignment="1">
      <alignment horizontal="left" indent="1"/>
    </xf>
    <xf numFmtId="0" fontId="31" fillId="21" borderId="0" xfId="0" applyFont="1" applyFill="1" applyAlignment="1">
      <alignment horizontal="left"/>
    </xf>
    <xf numFmtId="172" fontId="24" fillId="21" borderId="0" xfId="12" applyNumberFormat="1" applyFont="1" applyFill="1" applyAlignment="1">
      <alignment horizontal="left"/>
    </xf>
    <xf numFmtId="172" fontId="24" fillId="21" borderId="0" xfId="12" applyNumberFormat="1" applyFont="1" applyFill="1"/>
    <xf numFmtId="0" fontId="30" fillId="19" borderId="0" xfId="0" applyFont="1" applyFill="1"/>
    <xf numFmtId="172" fontId="30" fillId="19" borderId="0" xfId="0" applyNumberFormat="1" applyFont="1" applyFill="1"/>
    <xf numFmtId="0" fontId="2" fillId="0" borderId="0" xfId="2" applyNumberFormat="1" applyFont="1" applyBorder="1" applyAlignment="1">
      <alignment horizontal="center"/>
    </xf>
    <xf numFmtId="9" fontId="0" fillId="0" borderId="0" xfId="19" applyFont="1"/>
    <xf numFmtId="172" fontId="27" fillId="22" borderId="0" xfId="12" applyNumberFormat="1" applyFont="1" applyFill="1"/>
    <xf numFmtId="0" fontId="30" fillId="0" borderId="0" xfId="0" applyFont="1"/>
    <xf numFmtId="170" fontId="30" fillId="0" borderId="0" xfId="0" applyNumberFormat="1" applyFont="1"/>
    <xf numFmtId="173" fontId="30" fillId="0" borderId="0" xfId="0" applyNumberFormat="1" applyFont="1"/>
    <xf numFmtId="9" fontId="30" fillId="0" borderId="0" xfId="0" applyNumberFormat="1" applyFont="1"/>
    <xf numFmtId="9" fontId="30" fillId="0" borderId="0" xfId="19" applyFont="1"/>
    <xf numFmtId="172" fontId="32" fillId="0" borderId="0" xfId="12" applyNumberFormat="1" applyFont="1"/>
    <xf numFmtId="0" fontId="30" fillId="0" borderId="0" xfId="0" applyFont="1" applyFill="1"/>
    <xf numFmtId="0" fontId="30" fillId="6" borderId="0" xfId="0" applyFont="1" applyFill="1"/>
    <xf numFmtId="0" fontId="4" fillId="13" borderId="33" xfId="5" applyFont="1" applyFill="1" applyBorder="1"/>
    <xf numFmtId="172" fontId="1" fillId="0" borderId="0" xfId="12" applyNumberFormat="1" applyFont="1" applyFill="1"/>
    <xf numFmtId="172" fontId="0" fillId="13" borderId="0" xfId="12" applyNumberFormat="1" applyFont="1" applyFill="1"/>
    <xf numFmtId="172" fontId="27" fillId="13" borderId="0" xfId="12" applyNumberFormat="1" applyFont="1" applyFill="1"/>
    <xf numFmtId="0" fontId="4" fillId="7" borderId="12" xfId="4" applyFont="1" applyFill="1" applyBorder="1" applyAlignment="1">
      <alignment horizontal="center" vertical="center" wrapText="1"/>
    </xf>
    <xf numFmtId="164" fontId="2" fillId="0" borderId="12" xfId="6" applyNumberFormat="1" applyFont="1" applyFill="1" applyBorder="1" applyAlignment="1"/>
    <xf numFmtId="167" fontId="4" fillId="0" borderId="0" xfId="2" applyNumberFormat="1" applyFont="1" applyFill="1" applyBorder="1"/>
    <xf numFmtId="0" fontId="0" fillId="0" borderId="0" xfId="0" applyBorder="1"/>
    <xf numFmtId="166" fontId="13" fillId="10" borderId="18" xfId="1" applyFont="1" applyFill="1" applyBorder="1" applyAlignment="1">
      <alignment horizontal="center" vertical="center"/>
    </xf>
    <xf numFmtId="0" fontId="4" fillId="0" borderId="33" xfId="5" applyFont="1" applyFill="1" applyBorder="1"/>
    <xf numFmtId="0" fontId="17" fillId="0" borderId="12" xfId="5" applyFont="1" applyFill="1" applyBorder="1" applyAlignment="1">
      <alignment horizontal="left" vertical="top" wrapText="1"/>
    </xf>
    <xf numFmtId="169" fontId="35" fillId="0" borderId="8" xfId="0" applyNumberFormat="1" applyFont="1" applyBorder="1" applyAlignment="1">
      <alignment horizontal="left" indent="1"/>
    </xf>
    <xf numFmtId="4" fontId="0" fillId="0" borderId="0" xfId="0" applyNumberFormat="1" applyFill="1"/>
    <xf numFmtId="166" fontId="2" fillId="22" borderId="12" xfId="0" applyNumberFormat="1" applyFont="1" applyFill="1" applyBorder="1"/>
    <xf numFmtId="172" fontId="36" fillId="0" borderId="0" xfId="0" applyNumberFormat="1" applyFont="1"/>
    <xf numFmtId="166" fontId="2" fillId="11" borderId="46" xfId="0" applyNumberFormat="1" applyFont="1" applyFill="1" applyBorder="1"/>
    <xf numFmtId="166" fontId="2" fillId="11" borderId="31" xfId="0" applyNumberFormat="1" applyFont="1" applyFill="1" applyBorder="1"/>
    <xf numFmtId="166" fontId="24" fillId="0" borderId="0" xfId="1" applyFont="1" applyFill="1"/>
    <xf numFmtId="172" fontId="32" fillId="0" borderId="0" xfId="12" applyNumberFormat="1" applyFont="1" applyFill="1"/>
    <xf numFmtId="170" fontId="0" fillId="0" borderId="0" xfId="0" applyNumberFormat="1" applyAlignment="1">
      <alignment horizontal="center" vertical="center"/>
    </xf>
    <xf numFmtId="170" fontId="30" fillId="0" borderId="0" xfId="0" applyNumberFormat="1" applyFont="1" applyAlignment="1">
      <alignment horizontal="center" vertical="center"/>
    </xf>
    <xf numFmtId="0" fontId="24" fillId="6" borderId="0" xfId="0" applyFont="1" applyFill="1" applyAlignment="1">
      <alignment horizontal="center" vertical="center"/>
    </xf>
    <xf numFmtId="49" fontId="24" fillId="6" borderId="0" xfId="0" applyNumberFormat="1" applyFont="1" applyFill="1" applyAlignment="1">
      <alignment horizontal="center" vertical="center"/>
    </xf>
    <xf numFmtId="166" fontId="0" fillId="0" borderId="0" xfId="1" applyFont="1"/>
    <xf numFmtId="166" fontId="30" fillId="0" borderId="0" xfId="1" applyFont="1" applyFill="1"/>
    <xf numFmtId="166" fontId="4" fillId="5" borderId="13" xfId="1" applyFont="1" applyFill="1" applyBorder="1"/>
    <xf numFmtId="0" fontId="4" fillId="7" borderId="12" xfId="4" applyFont="1" applyFill="1" applyBorder="1" applyAlignment="1">
      <alignment horizontal="center" vertical="center" wrapText="1"/>
    </xf>
    <xf numFmtId="0" fontId="4" fillId="7" borderId="12" xfId="4" applyFont="1" applyFill="1" applyBorder="1" applyAlignment="1">
      <alignment horizontal="center" vertical="center" wrapText="1"/>
    </xf>
    <xf numFmtId="0" fontId="0" fillId="0" borderId="0" xfId="0" applyAlignment="1">
      <alignment horizontal="center"/>
    </xf>
    <xf numFmtId="170" fontId="24" fillId="6" borderId="0" xfId="0" applyNumberFormat="1" applyFont="1" applyFill="1" applyAlignment="1">
      <alignment horizontal="center"/>
    </xf>
    <xf numFmtId="0" fontId="30" fillId="0" borderId="0" xfId="0" applyFont="1" applyAlignment="1">
      <alignment horizontal="center"/>
    </xf>
    <xf numFmtId="0" fontId="0" fillId="14" borderId="0" xfId="0" applyFill="1" applyAlignment="1">
      <alignment horizontal="center"/>
    </xf>
    <xf numFmtId="49" fontId="0" fillId="0" borderId="0" xfId="0" applyNumberFormat="1" applyAlignment="1">
      <alignment horizontal="center"/>
    </xf>
    <xf numFmtId="0" fontId="24" fillId="6" borderId="0" xfId="0" applyFont="1" applyFill="1" applyAlignment="1">
      <alignment horizontal="center"/>
    </xf>
    <xf numFmtId="6" fontId="0" fillId="6" borderId="0" xfId="0" applyNumberFormat="1" applyFill="1" applyAlignment="1">
      <alignment horizontal="center"/>
    </xf>
    <xf numFmtId="0" fontId="30" fillId="0" borderId="0" xfId="20" applyFont="1" applyFill="1"/>
    <xf numFmtId="9" fontId="30" fillId="0" borderId="0" xfId="20" applyNumberFormat="1" applyFont="1" applyFill="1" applyAlignment="1">
      <alignment vertical="center"/>
    </xf>
    <xf numFmtId="172" fontId="30" fillId="0" borderId="0" xfId="20" applyNumberFormat="1" applyFont="1" applyFill="1"/>
    <xf numFmtId="172" fontId="30" fillId="0" borderId="0" xfId="0" applyNumberFormat="1" applyFont="1" applyFill="1"/>
    <xf numFmtId="6" fontId="0" fillId="0" borderId="0" xfId="0" applyNumberFormat="1" applyAlignment="1">
      <alignment horizontal="center"/>
    </xf>
    <xf numFmtId="167" fontId="4" fillId="8" borderId="12" xfId="2" applyNumberFormat="1" applyFont="1" applyFill="1" applyBorder="1" applyAlignment="1">
      <alignment horizontal="center" vertical="center"/>
    </xf>
    <xf numFmtId="0" fontId="0" fillId="0" borderId="0" xfId="0" applyAlignment="1">
      <alignment vertical="center"/>
    </xf>
    <xf numFmtId="166" fontId="0" fillId="0" borderId="0" xfId="1" applyFont="1" applyAlignment="1">
      <alignment vertical="center"/>
    </xf>
    <xf numFmtId="49" fontId="0" fillId="0" borderId="12" xfId="0" applyNumberFormat="1" applyBorder="1"/>
    <xf numFmtId="0" fontId="0" fillId="0" borderId="12" xfId="0" applyBorder="1"/>
    <xf numFmtId="166" fontId="0" fillId="0" borderId="12" xfId="1" applyFont="1" applyBorder="1"/>
    <xf numFmtId="0" fontId="0" fillId="24" borderId="12" xfId="0" applyFill="1" applyBorder="1" applyAlignment="1">
      <alignment vertical="center" wrapText="1"/>
    </xf>
    <xf numFmtId="166" fontId="0" fillId="24" borderId="12" xfId="1" applyFont="1" applyFill="1" applyBorder="1" applyAlignment="1">
      <alignment vertical="center" wrapText="1"/>
    </xf>
    <xf numFmtId="166" fontId="2" fillId="14" borderId="13" xfId="1" applyFont="1" applyFill="1" applyBorder="1"/>
    <xf numFmtId="49" fontId="30" fillId="0" borderId="0" xfId="20" applyNumberFormat="1" applyFont="1" applyFill="1"/>
    <xf numFmtId="0" fontId="0" fillId="25" borderId="0" xfId="0" applyFill="1"/>
    <xf numFmtId="166" fontId="0" fillId="0" borderId="0" xfId="1" applyFont="1" applyFill="1"/>
    <xf numFmtId="0" fontId="4" fillId="0" borderId="47" xfId="0" applyFont="1" applyFill="1" applyBorder="1" applyAlignment="1">
      <alignment horizontal="center"/>
    </xf>
    <xf numFmtId="40" fontId="2" fillId="0" borderId="14" xfId="0" applyNumberFormat="1" applyFont="1" applyFill="1" applyBorder="1"/>
    <xf numFmtId="40" fontId="2" fillId="0" borderId="48" xfId="0" applyNumberFormat="1" applyFont="1" applyFill="1" applyBorder="1"/>
    <xf numFmtId="0" fontId="4" fillId="7" borderId="12" xfId="4" applyFont="1" applyFill="1" applyBorder="1" applyAlignment="1">
      <alignment horizontal="center" vertical="center" wrapText="1"/>
    </xf>
    <xf numFmtId="6" fontId="24" fillId="6" borderId="0" xfId="0" applyNumberFormat="1" applyFont="1" applyFill="1" applyAlignment="1">
      <alignment horizontal="center"/>
    </xf>
    <xf numFmtId="166" fontId="2" fillId="14" borderId="12" xfId="1" applyFont="1" applyFill="1" applyBorder="1"/>
    <xf numFmtId="167" fontId="2" fillId="0" borderId="0" xfId="2" applyNumberFormat="1" applyFill="1" applyAlignment="1">
      <alignment vertical="top"/>
    </xf>
    <xf numFmtId="166" fontId="30" fillId="26" borderId="0" xfId="20" applyNumberFormat="1" applyFont="1" applyFill="1"/>
    <xf numFmtId="166" fontId="30" fillId="26" borderId="0" xfId="1" applyFont="1" applyFill="1"/>
    <xf numFmtId="172" fontId="30" fillId="0" borderId="0" xfId="20" applyNumberFormat="1" applyFont="1" applyFill="1" applyBorder="1"/>
    <xf numFmtId="0" fontId="31" fillId="0" borderId="0" xfId="0" applyFont="1" applyFill="1" applyAlignment="1">
      <alignment horizontal="left"/>
    </xf>
    <xf numFmtId="172" fontId="24" fillId="0" borderId="0" xfId="12" applyNumberFormat="1" applyFont="1" applyFill="1" applyAlignment="1">
      <alignment horizontal="left"/>
    </xf>
    <xf numFmtId="172" fontId="24" fillId="0" borderId="0" xfId="12" applyNumberFormat="1" applyFont="1" applyFill="1"/>
    <xf numFmtId="166" fontId="0" fillId="0" borderId="0" xfId="0" applyNumberFormat="1" applyFill="1"/>
    <xf numFmtId="0" fontId="0" fillId="27" borderId="0" xfId="0" applyFill="1"/>
    <xf numFmtId="166" fontId="0" fillId="27" borderId="0" xfId="1" applyFont="1" applyFill="1"/>
    <xf numFmtId="43" fontId="0" fillId="27" borderId="0" xfId="0" applyNumberFormat="1" applyFill="1"/>
    <xf numFmtId="0" fontId="0" fillId="26" borderId="0" xfId="0" applyFill="1"/>
    <xf numFmtId="0" fontId="30" fillId="26" borderId="0" xfId="20" applyFont="1" applyFill="1"/>
    <xf numFmtId="9" fontId="30" fillId="26" borderId="0" xfId="20" applyNumberFormat="1" applyFont="1" applyFill="1"/>
    <xf numFmtId="172" fontId="30" fillId="26" borderId="0" xfId="20" applyNumberFormat="1" applyFont="1" applyFill="1"/>
    <xf numFmtId="9" fontId="30" fillId="26" borderId="0" xfId="20" applyNumberFormat="1" applyFont="1" applyFill="1" applyAlignment="1">
      <alignment vertical="center"/>
    </xf>
    <xf numFmtId="0" fontId="30" fillId="26" borderId="0" xfId="20" applyFont="1" applyFill="1" applyAlignment="1">
      <alignment vertical="center"/>
    </xf>
    <xf numFmtId="0" fontId="0" fillId="28" borderId="0" xfId="0" applyFill="1"/>
    <xf numFmtId="166" fontId="0" fillId="28" borderId="0" xfId="1" applyFont="1" applyFill="1"/>
    <xf numFmtId="172" fontId="0" fillId="28" borderId="0" xfId="12" applyNumberFormat="1" applyFont="1" applyFill="1"/>
    <xf numFmtId="166" fontId="2" fillId="0" borderId="0" xfId="1" applyFont="1"/>
    <xf numFmtId="166" fontId="4" fillId="9" borderId="13" xfId="1" applyFont="1" applyFill="1" applyBorder="1"/>
    <xf numFmtId="166" fontId="4" fillId="5" borderId="12" xfId="1" applyFont="1" applyFill="1" applyBorder="1"/>
    <xf numFmtId="166" fontId="26" fillId="28" borderId="0" xfId="1" applyFont="1" applyFill="1"/>
    <xf numFmtId="166" fontId="0" fillId="14" borderId="0" xfId="1" applyFont="1" applyFill="1"/>
    <xf numFmtId="166" fontId="0" fillId="14" borderId="0" xfId="0" applyNumberFormat="1" applyFill="1"/>
    <xf numFmtId="43" fontId="0" fillId="14" borderId="0" xfId="0" applyNumberFormat="1" applyFill="1"/>
    <xf numFmtId="172" fontId="30" fillId="27" borderId="0" xfId="20" applyNumberFormat="1" applyFont="1" applyFill="1" applyBorder="1"/>
    <xf numFmtId="166" fontId="0" fillId="27" borderId="0" xfId="0" applyNumberFormat="1" applyFill="1"/>
    <xf numFmtId="10" fontId="30" fillId="26" borderId="0" xfId="20" applyNumberFormat="1" applyFont="1" applyFill="1" applyAlignment="1">
      <alignment vertical="center"/>
    </xf>
    <xf numFmtId="9" fontId="30" fillId="26" borderId="0" xfId="19" applyFont="1" applyFill="1" applyAlignment="1">
      <alignment vertical="center"/>
    </xf>
    <xf numFmtId="0" fontId="26" fillId="26" borderId="0" xfId="0" applyFont="1" applyFill="1"/>
    <xf numFmtId="0" fontId="37" fillId="26" borderId="0" xfId="20" applyFill="1"/>
    <xf numFmtId="166" fontId="37" fillId="26" borderId="0" xfId="20" applyNumberFormat="1" applyFill="1"/>
    <xf numFmtId="172" fontId="37" fillId="26" borderId="0" xfId="20" applyNumberFormat="1" applyFill="1"/>
    <xf numFmtId="43" fontId="0" fillId="0" borderId="0" xfId="0" applyNumberFormat="1" applyFill="1"/>
    <xf numFmtId="172" fontId="30" fillId="19" borderId="0" xfId="20" applyNumberFormat="1" applyFont="1" applyFill="1"/>
    <xf numFmtId="166" fontId="30" fillId="19" borderId="0" xfId="20" applyNumberFormat="1" applyFont="1" applyFill="1"/>
    <xf numFmtId="0" fontId="30" fillId="19" borderId="0" xfId="20" applyFont="1" applyFill="1"/>
    <xf numFmtId="166" fontId="39" fillId="28" borderId="0" xfId="1" applyFont="1" applyFill="1"/>
    <xf numFmtId="166" fontId="0" fillId="22" borderId="0" xfId="1" applyFont="1" applyFill="1"/>
    <xf numFmtId="178" fontId="0" fillId="0" borderId="0" xfId="1" applyNumberFormat="1" applyFont="1"/>
    <xf numFmtId="166" fontId="4" fillId="0" borderId="0" xfId="1" applyFont="1" applyFill="1" applyBorder="1" applyAlignment="1">
      <alignment horizontal="center" vertical="center" wrapText="1"/>
    </xf>
    <xf numFmtId="0" fontId="0" fillId="0" borderId="31" xfId="0" applyFill="1" applyBorder="1"/>
    <xf numFmtId="0" fontId="0" fillId="0" borderId="49" xfId="0" applyFill="1" applyBorder="1"/>
    <xf numFmtId="0" fontId="30" fillId="0" borderId="49" xfId="20" applyFont="1" applyFill="1" applyBorder="1"/>
    <xf numFmtId="166" fontId="31" fillId="0" borderId="49" xfId="20" applyNumberFormat="1" applyFont="1" applyFill="1" applyBorder="1"/>
    <xf numFmtId="0" fontId="31" fillId="0" borderId="49" xfId="20" applyFont="1" applyFill="1" applyBorder="1" applyAlignment="1">
      <alignment horizontal="center" vertical="center"/>
    </xf>
    <xf numFmtId="9" fontId="30" fillId="0" borderId="49" xfId="20" applyNumberFormat="1" applyFont="1" applyFill="1" applyBorder="1" applyAlignment="1">
      <alignment vertical="center"/>
    </xf>
    <xf numFmtId="9" fontId="30" fillId="0" borderId="49" xfId="20" applyNumberFormat="1" applyFont="1" applyFill="1" applyBorder="1"/>
    <xf numFmtId="9" fontId="30" fillId="0" borderId="49" xfId="19" applyFont="1" applyFill="1" applyBorder="1" applyAlignment="1">
      <alignment vertical="center"/>
    </xf>
    <xf numFmtId="172" fontId="30" fillId="0" borderId="49" xfId="20" applyNumberFormat="1" applyFont="1" applyFill="1" applyBorder="1"/>
    <xf numFmtId="166" fontId="30" fillId="0" borderId="49" xfId="20" applyNumberFormat="1" applyFont="1" applyFill="1" applyBorder="1"/>
    <xf numFmtId="166" fontId="30" fillId="0" borderId="49" xfId="1" applyFont="1" applyFill="1" applyBorder="1"/>
    <xf numFmtId="9" fontId="0" fillId="0" borderId="0" xfId="19" applyFont="1" applyFill="1"/>
    <xf numFmtId="9" fontId="0" fillId="0" borderId="0" xfId="0" applyNumberFormat="1" applyFill="1"/>
    <xf numFmtId="0" fontId="0" fillId="0" borderId="33" xfId="0" applyFill="1" applyBorder="1"/>
    <xf numFmtId="0" fontId="0" fillId="0" borderId="0" xfId="0" applyFill="1" applyBorder="1"/>
    <xf numFmtId="0" fontId="30" fillId="0" borderId="0" xfId="20" applyFont="1" applyFill="1" applyBorder="1"/>
    <xf numFmtId="166" fontId="31" fillId="0" borderId="0" xfId="20" applyNumberFormat="1" applyFont="1" applyFill="1" applyBorder="1"/>
    <xf numFmtId="0" fontId="31" fillId="0" borderId="0" xfId="20" applyFont="1" applyFill="1" applyBorder="1" applyAlignment="1">
      <alignment horizontal="center" vertical="center"/>
    </xf>
    <xf numFmtId="9" fontId="30" fillId="0" borderId="0" xfId="20" applyNumberFormat="1" applyFont="1" applyFill="1" applyBorder="1" applyAlignment="1">
      <alignment vertical="center"/>
    </xf>
    <xf numFmtId="9" fontId="30" fillId="0" borderId="0" xfId="20" applyNumberFormat="1" applyFont="1" applyFill="1" applyBorder="1"/>
    <xf numFmtId="166" fontId="30" fillId="0" borderId="0" xfId="20" applyNumberFormat="1" applyFont="1" applyFill="1" applyBorder="1"/>
    <xf numFmtId="166" fontId="30" fillId="0" borderId="0" xfId="1" applyFont="1" applyFill="1" applyBorder="1"/>
    <xf numFmtId="0" fontId="0" fillId="0" borderId="35" xfId="0" applyFill="1" applyBorder="1"/>
    <xf numFmtId="0" fontId="0" fillId="0" borderId="23" xfId="0" applyFill="1" applyBorder="1"/>
    <xf numFmtId="0" fontId="30" fillId="0" borderId="23" xfId="20" applyFont="1" applyFill="1" applyBorder="1"/>
    <xf numFmtId="166" fontId="31" fillId="0" borderId="23" xfId="20" applyNumberFormat="1" applyFont="1" applyFill="1" applyBorder="1"/>
    <xf numFmtId="0" fontId="31" fillId="0" borderId="23" xfId="20" applyFont="1" applyFill="1" applyBorder="1" applyAlignment="1">
      <alignment horizontal="center" vertical="center"/>
    </xf>
    <xf numFmtId="9" fontId="30" fillId="0" borderId="23" xfId="20" applyNumberFormat="1" applyFont="1" applyFill="1" applyBorder="1" applyAlignment="1">
      <alignment vertical="center"/>
    </xf>
    <xf numFmtId="9" fontId="30" fillId="0" borderId="23" xfId="20" applyNumberFormat="1" applyFont="1" applyFill="1" applyBorder="1"/>
    <xf numFmtId="172" fontId="30" fillId="0" borderId="23" xfId="20" applyNumberFormat="1" applyFont="1" applyFill="1" applyBorder="1"/>
    <xf numFmtId="166" fontId="30" fillId="0" borderId="23" xfId="1" applyFont="1" applyFill="1" applyBorder="1"/>
    <xf numFmtId="166" fontId="30" fillId="0" borderId="0" xfId="20" applyNumberFormat="1" applyFont="1" applyFill="1"/>
    <xf numFmtId="0" fontId="30" fillId="0" borderId="0" xfId="20" applyFont="1" applyFill="1" applyAlignment="1">
      <alignment horizontal="center" vertical="center"/>
    </xf>
    <xf numFmtId="9" fontId="30" fillId="0" borderId="0" xfId="20" applyNumberFormat="1" applyFont="1" applyFill="1"/>
    <xf numFmtId="0" fontId="30" fillId="0" borderId="0" xfId="20" applyFont="1" applyFill="1" applyAlignment="1">
      <alignment vertical="center"/>
    </xf>
    <xf numFmtId="9" fontId="30" fillId="0" borderId="0" xfId="19" applyFont="1" applyFill="1" applyAlignment="1">
      <alignment vertical="center"/>
    </xf>
    <xf numFmtId="166" fontId="1" fillId="0" borderId="0" xfId="20" applyNumberFormat="1" applyFont="1" applyFill="1"/>
    <xf numFmtId="0" fontId="30" fillId="0" borderId="0" xfId="20" applyFont="1" applyFill="1" applyAlignment="1">
      <alignment wrapText="1"/>
    </xf>
    <xf numFmtId="173" fontId="30" fillId="0" borderId="0" xfId="20" applyNumberFormat="1" applyFont="1" applyFill="1" applyAlignment="1">
      <alignment vertical="center"/>
    </xf>
    <xf numFmtId="9" fontId="30" fillId="0" borderId="0" xfId="19" applyFont="1" applyFill="1" applyBorder="1" applyAlignment="1">
      <alignment vertical="center"/>
    </xf>
    <xf numFmtId="165" fontId="0" fillId="0" borderId="0" xfId="0" applyNumberFormat="1" applyFill="1"/>
    <xf numFmtId="166" fontId="30" fillId="0" borderId="0" xfId="20" applyNumberFormat="1" applyFont="1" applyFill="1" applyAlignment="1">
      <alignment vertical="center"/>
    </xf>
    <xf numFmtId="0" fontId="0" fillId="0" borderId="0" xfId="0" applyFont="1" applyFill="1"/>
    <xf numFmtId="165" fontId="30" fillId="0" borderId="0" xfId="20" applyNumberFormat="1" applyFont="1" applyFill="1"/>
    <xf numFmtId="10" fontId="30" fillId="0" borderId="0" xfId="20" applyNumberFormat="1" applyFont="1" applyFill="1" applyAlignment="1">
      <alignment vertical="center"/>
    </xf>
    <xf numFmtId="10" fontId="30" fillId="0" borderId="0" xfId="20" applyNumberFormat="1" applyFont="1" applyFill="1"/>
    <xf numFmtId="172" fontId="30" fillId="0" borderId="0" xfId="20" applyNumberFormat="1" applyFont="1" applyFill="1" applyAlignment="1">
      <alignment vertical="center"/>
    </xf>
    <xf numFmtId="176" fontId="30" fillId="0" borderId="0" xfId="20" applyNumberFormat="1" applyFont="1" applyFill="1" applyBorder="1"/>
    <xf numFmtId="175" fontId="30" fillId="0" borderId="0" xfId="20" applyNumberFormat="1" applyFont="1" applyFill="1" applyBorder="1"/>
    <xf numFmtId="0" fontId="28" fillId="0" borderId="0" xfId="20" applyFont="1" applyFill="1"/>
    <xf numFmtId="177" fontId="30" fillId="0" borderId="0" xfId="20" applyNumberFormat="1" applyFont="1" applyFill="1" applyBorder="1"/>
    <xf numFmtId="166" fontId="30" fillId="0" borderId="0" xfId="20" applyNumberFormat="1" applyFont="1" applyFill="1" applyAlignment="1">
      <alignment horizontal="center" vertical="center"/>
    </xf>
    <xf numFmtId="166" fontId="37" fillId="0" borderId="0" xfId="1" applyFont="1" applyFill="1"/>
    <xf numFmtId="172" fontId="37" fillId="0" borderId="0" xfId="20" applyNumberFormat="1" applyFill="1"/>
    <xf numFmtId="165" fontId="30" fillId="0" borderId="0" xfId="20" applyNumberFormat="1" applyFont="1" applyFill="1" applyBorder="1"/>
    <xf numFmtId="172" fontId="30" fillId="22" borderId="0" xfId="20" applyNumberFormat="1" applyFont="1" applyFill="1"/>
    <xf numFmtId="166" fontId="30" fillId="22" borderId="0" xfId="20" applyNumberFormat="1" applyFont="1" applyFill="1"/>
    <xf numFmtId="172" fontId="30" fillId="14" borderId="0" xfId="20" applyNumberFormat="1" applyFont="1" applyFill="1"/>
    <xf numFmtId="172" fontId="37" fillId="14" borderId="0" xfId="20" applyNumberFormat="1" applyFill="1"/>
    <xf numFmtId="0" fontId="2" fillId="0" borderId="0" xfId="4" applyFont="1" applyAlignment="1">
      <alignment horizontal="left" wrapText="1"/>
    </xf>
    <xf numFmtId="168" fontId="4" fillId="7" borderId="12" xfId="2" applyNumberFormat="1" applyFont="1" applyFill="1" applyBorder="1" applyAlignment="1">
      <alignment horizontal="center" vertical="top" wrapText="1"/>
    </xf>
    <xf numFmtId="167" fontId="6" fillId="2" borderId="12" xfId="3" applyNumberFormat="1" applyFont="1" applyFill="1" applyBorder="1" applyAlignment="1">
      <alignment horizontal="center" vertical="center" wrapText="1"/>
    </xf>
    <xf numFmtId="0" fontId="4" fillId="7" borderId="12" xfId="4" applyFont="1" applyFill="1" applyBorder="1" applyAlignment="1">
      <alignment horizontal="center" vertical="top" wrapText="1"/>
    </xf>
    <xf numFmtId="49" fontId="4" fillId="7" borderId="46" xfId="0" applyNumberFormat="1" applyFont="1" applyFill="1" applyBorder="1" applyAlignment="1">
      <alignment horizontal="center" vertical="center" wrapText="1"/>
    </xf>
    <xf numFmtId="49" fontId="4" fillId="7" borderId="17" xfId="0" applyNumberFormat="1" applyFont="1" applyFill="1" applyBorder="1" applyAlignment="1">
      <alignment horizontal="center" vertical="center" wrapText="1"/>
    </xf>
    <xf numFmtId="166" fontId="3" fillId="5" borderId="12"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168" fontId="4" fillId="7" borderId="12" xfId="2"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wrapText="1"/>
    </xf>
    <xf numFmtId="0" fontId="4" fillId="7" borderId="12" xfId="4" applyFont="1" applyFill="1" applyBorder="1" applyAlignment="1">
      <alignment horizontal="center" vertical="center" wrapText="1"/>
    </xf>
    <xf numFmtId="166" fontId="3" fillId="5" borderId="14" xfId="0"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166" fontId="3" fillId="5" borderId="13"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21" xfId="0" applyFont="1" applyFill="1" applyBorder="1" applyAlignment="1">
      <alignment horizontal="center" vertical="center"/>
    </xf>
    <xf numFmtId="0" fontId="18" fillId="7" borderId="40" xfId="0" applyFont="1" applyFill="1" applyBorder="1" applyAlignment="1">
      <alignment vertical="center" wrapText="1"/>
    </xf>
    <xf numFmtId="0" fontId="0" fillId="7" borderId="44" xfId="0" applyFill="1" applyBorder="1" applyAlignment="1"/>
    <xf numFmtId="0" fontId="0" fillId="7" borderId="45" xfId="0" applyFill="1" applyBorder="1" applyAlignment="1"/>
    <xf numFmtId="0" fontId="4" fillId="7"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7" borderId="14" xfId="5" applyFont="1" applyFill="1" applyBorder="1" applyAlignment="1">
      <alignment wrapText="1"/>
    </xf>
    <xf numFmtId="0" fontId="4" fillId="7" borderId="13" xfId="5" applyFont="1" applyFill="1" applyBorder="1" applyAlignment="1">
      <alignment wrapText="1"/>
    </xf>
    <xf numFmtId="0" fontId="4" fillId="7" borderId="12" xfId="5" applyFont="1" applyFill="1" applyBorder="1" applyAlignment="1">
      <alignment vertical="center" wrapText="1"/>
    </xf>
    <xf numFmtId="0" fontId="2" fillId="7" borderId="12" xfId="5" applyFill="1" applyBorder="1" applyAlignment="1">
      <alignment vertical="center" wrapText="1"/>
    </xf>
    <xf numFmtId="0" fontId="38" fillId="29" borderId="0" xfId="0" applyFont="1" applyFill="1" applyAlignment="1">
      <alignment horizontal="center"/>
    </xf>
    <xf numFmtId="0" fontId="0" fillId="29" borderId="0" xfId="0" applyFill="1" applyAlignment="1">
      <alignment horizontal="center"/>
    </xf>
    <xf numFmtId="0" fontId="26" fillId="28" borderId="0" xfId="0" applyFont="1" applyFill="1" applyAlignment="1">
      <alignment horizontal="left"/>
    </xf>
    <xf numFmtId="0" fontId="0" fillId="24" borderId="14"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13" xfId="0" applyFill="1" applyBorder="1" applyAlignment="1">
      <alignment horizontal="center" vertical="center" wrapText="1"/>
    </xf>
    <xf numFmtId="0" fontId="26" fillId="20" borderId="0" xfId="0" applyFont="1" applyFill="1" applyAlignment="1">
      <alignment horizontal="left"/>
    </xf>
  </cellXfs>
  <cellStyles count="21">
    <cellStyle name="Bueno" xfId="20" builtinId="26"/>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ronacom\MCC-Josue-Jorge\Users\jricart\Downloads\QDRP%20Guatemala_Q6%20Draft%20_DA%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P-Com"/>
      <sheetName val="DFP-CASH"/>
      <sheetName val="QFR - A"/>
      <sheetName val="QFR - B"/>
      <sheetName val="THP DR"/>
      <sheetName val="Contract level"/>
      <sheetName val="Error checks"/>
      <sheetName val="Historico"/>
    </sheetNames>
    <sheetDataSet>
      <sheetData sheetId="0"/>
      <sheetData sheetId="1"/>
      <sheetData sheetId="2"/>
      <sheetData sheetId="3">
        <row r="34">
          <cell r="G34">
            <v>1800000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84"/>
  <sheetViews>
    <sheetView showGridLines="0" topLeftCell="B7" zoomScale="85" zoomScaleNormal="85" zoomScaleSheetLayoutView="70" zoomScalePageLayoutView="81" workbookViewId="0">
      <selection activeCell="E20" sqref="E20:G20"/>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42578125" style="66" customWidth="1" outlineLevel="1"/>
    <col min="4" max="4" width="17.42578125" style="1" customWidth="1"/>
    <col min="5" max="7" width="17.42578125" style="260" customWidth="1" outlineLevel="1"/>
    <col min="8" max="12" width="17.42578125" style="1" customWidth="1"/>
    <col min="13" max="13" width="17.42578125" style="6" customWidth="1"/>
    <col min="14" max="14" width="28.7109375" style="189" customWidth="1"/>
    <col min="15" max="15" width="17.42578125" style="7" customWidth="1"/>
    <col min="16" max="16384" width="0" style="1" hidden="1"/>
  </cols>
  <sheetData>
    <row r="1" spans="1:16" ht="13.5" outlineLevel="1" thickBot="1" x14ac:dyDescent="0.25">
      <c r="B1" s="2" t="s">
        <v>0</v>
      </c>
      <c r="C1" s="3"/>
      <c r="D1" s="4"/>
      <c r="E1" s="251"/>
      <c r="F1" s="251"/>
      <c r="G1" s="251"/>
    </row>
    <row r="2" spans="1:16" ht="13.5" outlineLevel="1" thickBot="1" x14ac:dyDescent="0.25">
      <c r="B2" s="8"/>
      <c r="C2" s="3"/>
      <c r="D2" s="4"/>
      <c r="E2" s="251"/>
      <c r="F2" s="251"/>
      <c r="G2" s="251"/>
      <c r="N2" s="190"/>
    </row>
    <row r="3" spans="1:16" ht="12.75" customHeight="1" outlineLevel="1" x14ac:dyDescent="0.25">
      <c r="B3" s="11" t="s">
        <v>1</v>
      </c>
      <c r="C3" s="12"/>
      <c r="D3" s="13" t="s">
        <v>63</v>
      </c>
      <c r="E3" s="252"/>
      <c r="F3" s="252"/>
      <c r="G3" s="252"/>
    </row>
    <row r="4" spans="1:16" ht="12.75" customHeight="1" outlineLevel="1" x14ac:dyDescent="0.25">
      <c r="B4" s="14" t="s">
        <v>2</v>
      </c>
      <c r="C4" s="15"/>
      <c r="D4" s="16" t="s">
        <v>64</v>
      </c>
      <c r="E4" s="252"/>
      <c r="F4" s="252"/>
      <c r="G4" s="252"/>
    </row>
    <row r="5" spans="1:16" ht="12.75" customHeight="1" outlineLevel="1" x14ac:dyDescent="0.25">
      <c r="B5" s="17" t="s">
        <v>3</v>
      </c>
      <c r="C5" s="15"/>
      <c r="D5" s="16" t="str">
        <f>'THP DR'!B7</f>
        <v>TR14GTM15001</v>
      </c>
      <c r="E5" s="252"/>
      <c r="F5" s="252"/>
      <c r="G5" s="252"/>
    </row>
    <row r="6" spans="1:16" ht="12.75" customHeight="1" outlineLevel="1" x14ac:dyDescent="0.25">
      <c r="B6" s="14" t="s">
        <v>4</v>
      </c>
      <c r="C6" s="15"/>
      <c r="D6" s="298">
        <v>43920</v>
      </c>
      <c r="E6" s="252"/>
      <c r="F6" s="252"/>
      <c r="G6" s="252"/>
      <c r="N6" s="191"/>
    </row>
    <row r="7" spans="1:16" ht="13.5" customHeight="1" outlineLevel="1" thickBot="1" x14ac:dyDescent="0.25">
      <c r="B7" s="18" t="s">
        <v>5</v>
      </c>
      <c r="C7" s="19"/>
      <c r="D7" s="188">
        <v>16</v>
      </c>
      <c r="E7" s="252"/>
      <c r="F7" s="252"/>
      <c r="G7" s="252"/>
    </row>
    <row r="8" spans="1:16" s="25" customFormat="1" ht="13.5" customHeight="1" outlineLevel="1" x14ac:dyDescent="0.2">
      <c r="B8" s="26"/>
      <c r="C8" s="27"/>
      <c r="D8" s="28"/>
      <c r="E8" s="255"/>
      <c r="F8" s="255"/>
      <c r="G8" s="255"/>
      <c r="M8" s="24"/>
      <c r="N8" s="189"/>
      <c r="O8" s="7"/>
    </row>
    <row r="9" spans="1:16" ht="11.25" customHeight="1" outlineLevel="1" x14ac:dyDescent="0.2">
      <c r="A9" s="5"/>
      <c r="B9" s="477" t="s">
        <v>6</v>
      </c>
      <c r="C9" s="29" t="s">
        <v>7</v>
      </c>
      <c r="D9" s="30" t="s">
        <v>8</v>
      </c>
      <c r="E9" s="482" t="s">
        <v>9</v>
      </c>
      <c r="F9" s="482"/>
      <c r="G9" s="482"/>
      <c r="H9" s="226"/>
      <c r="I9" s="226"/>
      <c r="J9" s="226"/>
      <c r="K9" s="226"/>
      <c r="L9" s="226"/>
      <c r="M9" s="31" t="s">
        <v>10</v>
      </c>
      <c r="N9" s="192" t="s">
        <v>10</v>
      </c>
      <c r="O9" s="31" t="s">
        <v>11</v>
      </c>
    </row>
    <row r="10" spans="1:16" s="37" customFormat="1" ht="72.75" customHeight="1" x14ac:dyDescent="0.2">
      <c r="A10" s="5"/>
      <c r="B10" s="477"/>
      <c r="C10" s="33" t="s">
        <v>12</v>
      </c>
      <c r="D10" s="34" t="s">
        <v>13</v>
      </c>
      <c r="E10" s="481" t="str">
        <f>"Grant Quarter #"&amp;$D$7</f>
        <v>Grant Quarter #16</v>
      </c>
      <c r="F10" s="481"/>
      <c r="G10" s="481"/>
      <c r="H10" s="319" t="s">
        <v>199</v>
      </c>
      <c r="I10" s="342" t="s">
        <v>250</v>
      </c>
      <c r="J10" s="342" t="s">
        <v>251</v>
      </c>
      <c r="K10" s="342" t="s">
        <v>267</v>
      </c>
      <c r="L10" s="370" t="s">
        <v>268</v>
      </c>
      <c r="M10" s="479" t="s">
        <v>14</v>
      </c>
      <c r="N10" s="478" t="s">
        <v>115</v>
      </c>
      <c r="O10" s="476" t="s">
        <v>15</v>
      </c>
      <c r="P10" s="36"/>
    </row>
    <row r="11" spans="1:16" s="37" customFormat="1" ht="25.5" x14ac:dyDescent="0.2">
      <c r="A11" s="5"/>
      <c r="B11" s="38" t="s">
        <v>16</v>
      </c>
      <c r="C11" s="39" t="s">
        <v>272</v>
      </c>
      <c r="D11" s="40" t="s">
        <v>200</v>
      </c>
      <c r="E11" s="261" t="s">
        <v>273</v>
      </c>
      <c r="F11" s="261" t="s">
        <v>274</v>
      </c>
      <c r="G11" s="261" t="s">
        <v>275</v>
      </c>
      <c r="H11" s="319" t="s">
        <v>233</v>
      </c>
      <c r="I11" s="342" t="s">
        <v>247</v>
      </c>
      <c r="J11" s="342" t="s">
        <v>248</v>
      </c>
      <c r="K11" s="342" t="s">
        <v>249</v>
      </c>
      <c r="L11" s="370" t="s">
        <v>265</v>
      </c>
      <c r="M11" s="480"/>
      <c r="N11" s="478"/>
      <c r="O11" s="476"/>
      <c r="P11" s="36"/>
    </row>
    <row r="12" spans="1:16" customFormat="1" ht="15" x14ac:dyDescent="0.25">
      <c r="B12" s="187" t="s">
        <v>85</v>
      </c>
      <c r="C12" s="187" t="s">
        <v>86</v>
      </c>
      <c r="D12" s="187" t="s">
        <v>87</v>
      </c>
      <c r="E12" s="256" t="s">
        <v>88</v>
      </c>
      <c r="F12" s="256" t="s">
        <v>89</v>
      </c>
      <c r="G12" s="250" t="s">
        <v>90</v>
      </c>
      <c r="H12" s="250" t="s">
        <v>91</v>
      </c>
      <c r="I12" s="256" t="s">
        <v>252</v>
      </c>
      <c r="J12" s="250" t="s">
        <v>253</v>
      </c>
      <c r="K12" s="256" t="s">
        <v>254</v>
      </c>
      <c r="L12" s="256" t="s">
        <v>264</v>
      </c>
      <c r="M12" s="187" t="s">
        <v>92</v>
      </c>
      <c r="N12" s="193" t="s">
        <v>93</v>
      </c>
      <c r="O12" s="187" t="s">
        <v>94</v>
      </c>
    </row>
    <row r="13" spans="1:16" s="37" customFormat="1" x14ac:dyDescent="0.2">
      <c r="A13" s="5"/>
      <c r="B13" s="42"/>
      <c r="C13" s="43"/>
      <c r="D13" s="42"/>
      <c r="E13" s="257"/>
      <c r="F13" s="257"/>
      <c r="G13" s="257"/>
      <c r="H13" s="42"/>
      <c r="I13" s="42"/>
      <c r="J13" s="42"/>
      <c r="K13" s="42"/>
      <c r="L13" s="42"/>
      <c r="M13" s="42"/>
      <c r="N13" s="42"/>
      <c r="O13" s="42"/>
      <c r="P13" s="36"/>
    </row>
    <row r="14" spans="1:16" s="37" customFormat="1" x14ac:dyDescent="0.2">
      <c r="A14" s="5"/>
      <c r="B14" s="44" t="s">
        <v>67</v>
      </c>
      <c r="C14" s="45"/>
      <c r="D14" s="46"/>
      <c r="E14" s="258"/>
      <c r="F14" s="258"/>
      <c r="G14" s="258"/>
      <c r="H14" s="46"/>
      <c r="I14" s="46"/>
      <c r="J14" s="46"/>
      <c r="K14" s="46"/>
      <c r="L14" s="46"/>
      <c r="M14" s="47"/>
      <c r="N14" s="194"/>
      <c r="O14" s="47"/>
      <c r="P14" s="36"/>
    </row>
    <row r="15" spans="1:16" s="205" customFormat="1" outlineLevel="1" x14ac:dyDescent="0.2">
      <c r="A15" s="202" t="str">
        <f>LEFT(B15,4)</f>
        <v xml:space="preserve">1.1 </v>
      </c>
      <c r="B15" s="49" t="s">
        <v>68</v>
      </c>
      <c r="C15" s="195">
        <f>SUM(C16:C18)</f>
        <v>11984163.199999999</v>
      </c>
      <c r="D15" s="195">
        <f>SUM(D16:D18)</f>
        <v>0</v>
      </c>
      <c r="E15" s="195">
        <f t="shared" ref="E15:G15" si="0">SUM(E16:E18)</f>
        <v>0</v>
      </c>
      <c r="F15" s="195">
        <f t="shared" si="0"/>
        <v>0</v>
      </c>
      <c r="G15" s="195">
        <f t="shared" si="0"/>
        <v>0</v>
      </c>
      <c r="H15" s="195">
        <f t="shared" ref="H15" si="1">SUM(H16:H18)</f>
        <v>0</v>
      </c>
      <c r="I15" s="195"/>
      <c r="J15" s="195"/>
      <c r="K15" s="195"/>
      <c r="L15" s="195"/>
      <c r="M15" s="195">
        <f>SUM(M16:M18)</f>
        <v>11984163.199999999</v>
      </c>
      <c r="N15" s="197">
        <f>'QFR - B'!I15</f>
        <v>12000000</v>
      </c>
      <c r="O15" s="277">
        <f>N15-M15</f>
        <v>15836.800000000745</v>
      </c>
      <c r="P15" s="204"/>
    </row>
    <row r="16" spans="1:16" s="205" customFormat="1" outlineLevel="1" x14ac:dyDescent="0.2">
      <c r="A16" s="202" t="s">
        <v>125</v>
      </c>
      <c r="B16" s="199" t="s">
        <v>95</v>
      </c>
      <c r="C16" s="292">
        <v>7593016.0899999999</v>
      </c>
      <c r="D16" s="292">
        <v>0</v>
      </c>
      <c r="E16" s="292">
        <v>0</v>
      </c>
      <c r="F16" s="292">
        <v>0</v>
      </c>
      <c r="G16" s="292"/>
      <c r="H16" s="292">
        <f>SUMIF('Contract level'!$A:$A,"="&amp;'DFP-Com'!$A16,'Contract level'!BM:BM)</f>
        <v>0</v>
      </c>
      <c r="I16" s="292">
        <f>SUMIF('Contract level'!$A:$A,"="&amp;'DFP-Com'!$A16,'Contract level'!BN:BN)</f>
        <v>0</v>
      </c>
      <c r="J16" s="292">
        <f>SUMIF('Contract level'!$A:$A,"="&amp;'DFP-Com'!$A16,'Contract level'!BO:BO)</f>
        <v>0</v>
      </c>
      <c r="K16" s="292">
        <f>SUMIF('Contract level'!$A:$A,"="&amp;'DFP-Com'!$A16,'Contract level'!BP:BP)</f>
        <v>0</v>
      </c>
      <c r="L16" s="292">
        <f>SUMIF('Contract level'!$A:$A,"="&amp;'DFP-Com'!$A16,'Contract level'!BQ:BQ)</f>
        <v>0</v>
      </c>
      <c r="M16" s="292">
        <f>SUM(H16:K16)+D16+C16</f>
        <v>7593016.0899999999</v>
      </c>
      <c r="N16" s="201">
        <v>0</v>
      </c>
      <c r="O16" s="278"/>
      <c r="P16" s="204"/>
    </row>
    <row r="17" spans="1:16" s="205" customFormat="1" outlineLevel="1" x14ac:dyDescent="0.2">
      <c r="A17" s="202" t="s">
        <v>126</v>
      </c>
      <c r="B17" s="199" t="s">
        <v>96</v>
      </c>
      <c r="C17" s="292">
        <v>4390617.6499999994</v>
      </c>
      <c r="D17" s="292">
        <v>0</v>
      </c>
      <c r="E17" s="292">
        <v>0</v>
      </c>
      <c r="F17" s="292">
        <v>0</v>
      </c>
      <c r="G17" s="292">
        <v>0</v>
      </c>
      <c r="H17" s="292">
        <f>SUMIF('Contract level'!$A:$A,"="&amp;'DFP-Com'!$A17,'Contract level'!BM:BM)</f>
        <v>0</v>
      </c>
      <c r="I17" s="292">
        <f>SUMIF('Contract level'!$A:$A,"="&amp;'DFP-Com'!$A17,'Contract level'!BN:BN)</f>
        <v>0</v>
      </c>
      <c r="J17" s="292">
        <f>SUMIF('Contract level'!$A:$A,"="&amp;'DFP-Com'!$A17,'Contract level'!BO:BO)</f>
        <v>0</v>
      </c>
      <c r="K17" s="292">
        <f>SUMIF('Contract level'!$A:$A,"="&amp;'DFP-Com'!$A17,'Contract level'!BP:BP)</f>
        <v>0</v>
      </c>
      <c r="L17" s="292">
        <f>SUMIF('Contract level'!$A:$A,"="&amp;'DFP-Com'!$A17,'Contract level'!BQ:BQ)</f>
        <v>0</v>
      </c>
      <c r="M17" s="292">
        <f>SUM(H17:K17)+D17+C17</f>
        <v>4390617.6499999994</v>
      </c>
      <c r="N17" s="201">
        <v>0</v>
      </c>
      <c r="O17" s="278"/>
      <c r="P17" s="204"/>
    </row>
    <row r="18" spans="1:16" s="205" customFormat="1" outlineLevel="1" x14ac:dyDescent="0.2">
      <c r="A18" s="202" t="s">
        <v>127</v>
      </c>
      <c r="B18" s="199" t="s">
        <v>103</v>
      </c>
      <c r="C18" s="292">
        <v>529.46</v>
      </c>
      <c r="D18" s="200">
        <v>0</v>
      </c>
      <c r="E18" s="292">
        <v>0</v>
      </c>
      <c r="F18" s="292"/>
      <c r="G18" s="292"/>
      <c r="H18" s="292">
        <f>SUMIF('Contract level'!$A:$A,"="&amp;'DFP-Com'!$A18,'Contract level'!BM:BM)</f>
        <v>0</v>
      </c>
      <c r="I18" s="292">
        <f>SUMIF('Contract level'!$A:$A,"="&amp;'DFP-Com'!$A18,'Contract level'!BN:BN)</f>
        <v>0</v>
      </c>
      <c r="J18" s="292">
        <f>SUMIF('Contract level'!$A:$A,"="&amp;'DFP-Com'!$A18,'Contract level'!BO:BO)</f>
        <v>0</v>
      </c>
      <c r="K18" s="292">
        <f>SUMIF('Contract level'!$A:$A,"="&amp;'DFP-Com'!$A18,'Contract level'!BP:BP)</f>
        <v>0</v>
      </c>
      <c r="L18" s="292">
        <f>SUMIF('Contract level'!$A:$A,"="&amp;'DFP-Com'!$A18,'Contract level'!BQ:BQ)</f>
        <v>0</v>
      </c>
      <c r="M18" s="292">
        <f>SUM(H18:H18)+D18+C18</f>
        <v>529.46</v>
      </c>
      <c r="N18" s="201">
        <v>0</v>
      </c>
      <c r="O18" s="278"/>
      <c r="P18" s="204"/>
    </row>
    <row r="19" spans="1:16" s="205" customFormat="1" ht="12.95" customHeight="1" outlineLevel="1" x14ac:dyDescent="0.2">
      <c r="A19" s="202" t="str">
        <f t="shared" ref="A19:A37" si="2">LEFT(B19,4)</f>
        <v xml:space="preserve">1.2 </v>
      </c>
      <c r="B19" s="49" t="s">
        <v>69</v>
      </c>
      <c r="C19" s="195">
        <f>C20</f>
        <v>4011046.43</v>
      </c>
      <c r="D19" s="195">
        <f>D20</f>
        <v>47897.53</v>
      </c>
      <c r="E19" s="195">
        <f t="shared" ref="E19:M19" si="3">E20</f>
        <v>80000</v>
      </c>
      <c r="F19" s="195">
        <f t="shared" si="3"/>
        <v>0</v>
      </c>
      <c r="G19" s="195">
        <f t="shared" si="3"/>
        <v>413000</v>
      </c>
      <c r="H19" s="195">
        <f t="shared" si="3"/>
        <v>493000</v>
      </c>
      <c r="I19" s="195">
        <f t="shared" si="3"/>
        <v>216521.41999999998</v>
      </c>
      <c r="J19" s="195">
        <f t="shared" si="3"/>
        <v>0</v>
      </c>
      <c r="K19" s="195">
        <f t="shared" si="3"/>
        <v>20216.625</v>
      </c>
      <c r="L19" s="195">
        <f t="shared" si="3"/>
        <v>0</v>
      </c>
      <c r="M19" s="195">
        <f t="shared" si="3"/>
        <v>4788682.0049999999</v>
      </c>
      <c r="N19" s="197">
        <f>'QFR - B'!I16</f>
        <v>4300000</v>
      </c>
      <c r="O19" s="277">
        <f>N19-M19</f>
        <v>-488682.00499999989</v>
      </c>
      <c r="P19" s="204"/>
    </row>
    <row r="20" spans="1:16" s="205" customFormat="1" ht="12.95" customHeight="1" outlineLevel="1" x14ac:dyDescent="0.2">
      <c r="A20" s="202" t="s">
        <v>128</v>
      </c>
      <c r="B20" s="199" t="s">
        <v>104</v>
      </c>
      <c r="C20" s="292">
        <v>4011046.43</v>
      </c>
      <c r="D20" s="292">
        <v>47897.53</v>
      </c>
      <c r="E20" s="292">
        <v>80000</v>
      </c>
      <c r="F20" s="292">
        <v>0</v>
      </c>
      <c r="G20" s="292">
        <v>413000</v>
      </c>
      <c r="H20" s="292">
        <f>SUMIF('Contract level'!$A:$A,"="&amp;'DFP-Com'!$A20,'Contract level'!BM:BM)</f>
        <v>493000</v>
      </c>
      <c r="I20" s="292">
        <f>SUMIF('Contract level'!$A:$A,"="&amp;'DFP-Com'!$A20,'Contract level'!BN:BN)</f>
        <v>216521.41999999998</v>
      </c>
      <c r="J20" s="292">
        <f>SUMIF('Contract level'!$A:$A,"="&amp;'DFP-Com'!$A20,'Contract level'!BO:BO)</f>
        <v>0</v>
      </c>
      <c r="K20" s="292">
        <f>SUMIF('Contract level'!$A:$A,"="&amp;'DFP-Com'!$A20,'Contract level'!BP:BP)</f>
        <v>20216.625</v>
      </c>
      <c r="L20" s="292">
        <f>SUMIF('Contract level'!$A:$A,"="&amp;'DFP-Com'!$A20,'Contract level'!BQ:BQ)</f>
        <v>0</v>
      </c>
      <c r="M20" s="200">
        <f>SUM(H20:K20)+D20+C20</f>
        <v>4788682.0049999999</v>
      </c>
      <c r="N20" s="201">
        <v>0</v>
      </c>
      <c r="O20" s="278"/>
      <c r="P20" s="204"/>
    </row>
    <row r="21" spans="1:16" s="205" customFormat="1" outlineLevel="1" x14ac:dyDescent="0.2">
      <c r="A21" s="202">
        <v>1.3</v>
      </c>
      <c r="B21" s="49" t="s">
        <v>70</v>
      </c>
      <c r="C21" s="195">
        <f>SUM(C22:C24)</f>
        <v>2969015.15</v>
      </c>
      <c r="D21" s="195">
        <f>SUM(D22:D24)</f>
        <v>83518.5</v>
      </c>
      <c r="E21" s="195">
        <f t="shared" ref="E21:G21" si="4">SUM(E22:E24)</f>
        <v>0</v>
      </c>
      <c r="F21" s="195">
        <f t="shared" si="4"/>
        <v>0</v>
      </c>
      <c r="G21" s="195">
        <f t="shared" si="4"/>
        <v>0</v>
      </c>
      <c r="H21" s="195">
        <f t="shared" ref="H21:K21" si="5">SUM(H22:H24)</f>
        <v>0</v>
      </c>
      <c r="I21" s="195">
        <f t="shared" si="5"/>
        <v>0</v>
      </c>
      <c r="J21" s="195">
        <f t="shared" si="5"/>
        <v>0</v>
      </c>
      <c r="K21" s="195">
        <f t="shared" si="5"/>
        <v>45553.017500000016</v>
      </c>
      <c r="L21" s="195">
        <f t="shared" ref="L21" si="6">SUM(L22:L24)</f>
        <v>0</v>
      </c>
      <c r="M21" s="195">
        <f>SUM(M22:M24)</f>
        <v>3098086.6675</v>
      </c>
      <c r="N21" s="197">
        <f>'QFR - B'!I17</f>
        <v>3098100</v>
      </c>
      <c r="O21" s="277">
        <f>N21-M21</f>
        <v>13.332500000018626</v>
      </c>
      <c r="P21" s="204"/>
    </row>
    <row r="22" spans="1:16" s="205" customFormat="1" ht="12.95" customHeight="1" outlineLevel="1" x14ac:dyDescent="0.2">
      <c r="A22" s="202" t="s">
        <v>129</v>
      </c>
      <c r="B22" s="199" t="s">
        <v>97</v>
      </c>
      <c r="C22" s="292">
        <v>2772876.18</v>
      </c>
      <c r="D22" s="292">
        <v>0</v>
      </c>
      <c r="E22" s="292">
        <v>0</v>
      </c>
      <c r="F22" s="292">
        <v>0</v>
      </c>
      <c r="G22" s="292"/>
      <c r="H22" s="292">
        <f>SUMIF('Contract level'!$A:$A,"="&amp;'DFP-Com'!$A22,'Contract level'!BM:BM)</f>
        <v>0</v>
      </c>
      <c r="I22" s="292">
        <f>SUMIF('Contract level'!$A:$A,"="&amp;'DFP-Com'!$A22,'Contract level'!BN:BN)</f>
        <v>0</v>
      </c>
      <c r="J22" s="292">
        <f>SUMIF('Contract level'!$A:$A,"="&amp;'DFP-Com'!$A22,'Contract level'!BO:BO)</f>
        <v>0</v>
      </c>
      <c r="K22" s="292">
        <f>SUMIF('Contract level'!$A:$A,"="&amp;'DFP-Com'!$A22,'Contract level'!BP:BP)</f>
        <v>0</v>
      </c>
      <c r="L22" s="292">
        <f>SUMIF('Contract level'!$A:$A,"="&amp;'DFP-Com'!$A22,'Contract level'!BQ:BQ)</f>
        <v>0</v>
      </c>
      <c r="M22" s="292">
        <f>SUM(H22:L22)+D22+C22</f>
        <v>2772876.18</v>
      </c>
      <c r="N22" s="201"/>
      <c r="O22" s="278"/>
      <c r="P22" s="204"/>
    </row>
    <row r="23" spans="1:16" s="205" customFormat="1" ht="12.95" customHeight="1" outlineLevel="1" x14ac:dyDescent="0.2">
      <c r="A23" s="202" t="s">
        <v>130</v>
      </c>
      <c r="B23" s="199" t="s">
        <v>113</v>
      </c>
      <c r="C23" s="292">
        <v>195722.36000000002</v>
      </c>
      <c r="D23" s="292">
        <v>83518.5</v>
      </c>
      <c r="E23" s="292">
        <v>0</v>
      </c>
      <c r="F23" s="292">
        <v>0</v>
      </c>
      <c r="G23" s="292"/>
      <c r="H23" s="292">
        <f>SUMIF('Contract level'!$A:$A,"="&amp;'DFP-Com'!$A23,'Contract level'!BM:BM)</f>
        <v>0</v>
      </c>
      <c r="I23" s="292">
        <f>SUMIF('Contract level'!$A:$A,"="&amp;'DFP-Com'!$A23,'Contract level'!BN:BN)</f>
        <v>0</v>
      </c>
      <c r="J23" s="292">
        <f>SUMIF('Contract level'!$A:$A,"="&amp;'DFP-Com'!$A23,'Contract level'!BO:BO)</f>
        <v>0</v>
      </c>
      <c r="K23" s="292">
        <f>SUMIF('Contract level'!$A:$A,"="&amp;'DFP-Com'!$A23,'Contract level'!BP:BP)</f>
        <v>45553.017500000016</v>
      </c>
      <c r="L23" s="292">
        <f>SUMIF('Contract level'!$A:$A,"="&amp;'DFP-Com'!$A23,'Contract level'!BQ:BQ)</f>
        <v>0</v>
      </c>
      <c r="M23" s="292">
        <f>SUM(H23:L23)+D23+C23</f>
        <v>324793.87750000006</v>
      </c>
      <c r="N23" s="201"/>
      <c r="O23" s="278"/>
      <c r="P23" s="204"/>
    </row>
    <row r="24" spans="1:16" s="205" customFormat="1" outlineLevel="1" x14ac:dyDescent="0.2">
      <c r="A24" s="202" t="s">
        <v>131</v>
      </c>
      <c r="B24" s="199" t="s">
        <v>112</v>
      </c>
      <c r="C24" s="292">
        <v>416.61</v>
      </c>
      <c r="D24" s="292">
        <v>0</v>
      </c>
      <c r="E24" s="292">
        <v>0</v>
      </c>
      <c r="F24" s="292">
        <v>0</v>
      </c>
      <c r="G24" s="292">
        <v>0</v>
      </c>
      <c r="H24" s="292">
        <f>SUMIF('Contract level'!$A:$A,"="&amp;'DFP-Com'!$A24,'Contract level'!BM:BM)</f>
        <v>0</v>
      </c>
      <c r="I24" s="292">
        <f>SUMIF('Contract level'!$A:$A,"="&amp;'DFP-Com'!$A24,'Contract level'!BN:BN)</f>
        <v>0</v>
      </c>
      <c r="J24" s="292">
        <f>SUMIF('Contract level'!$A:$A,"="&amp;'DFP-Com'!$A24,'Contract level'!BO:BO)</f>
        <v>0</v>
      </c>
      <c r="K24" s="292">
        <f>SUMIF('Contract level'!$A:$A,"="&amp;'DFP-Com'!$A24,'Contract level'!BP:BP)</f>
        <v>0</v>
      </c>
      <c r="L24" s="292">
        <f>SUMIF('Contract level'!$A:$A,"="&amp;'DFP-Com'!$A24,'Contract level'!BQ:BQ)</f>
        <v>0</v>
      </c>
      <c r="M24" s="292">
        <f>SUM(H24:K24)+D24+C24</f>
        <v>416.61</v>
      </c>
      <c r="N24" s="201"/>
      <c r="O24" s="278"/>
      <c r="P24" s="204"/>
    </row>
    <row r="25" spans="1:16" s="205" customFormat="1" x14ac:dyDescent="0.2">
      <c r="A25" s="202" t="str">
        <f t="shared" si="2"/>
        <v>TOTA</v>
      </c>
      <c r="B25" s="50" t="s">
        <v>61</v>
      </c>
      <c r="C25" s="196">
        <f>C21+C19+C15</f>
        <v>18964224.780000001</v>
      </c>
      <c r="D25" s="196">
        <f>D21+D19+D15</f>
        <v>131416.03</v>
      </c>
      <c r="E25" s="196">
        <f t="shared" ref="E25:M25" si="7">E21+E19+E15</f>
        <v>80000</v>
      </c>
      <c r="F25" s="196">
        <f t="shared" si="7"/>
        <v>0</v>
      </c>
      <c r="G25" s="196">
        <f t="shared" si="7"/>
        <v>413000</v>
      </c>
      <c r="H25" s="196">
        <f t="shared" ref="H25:K25" si="8">H21+H19+H15</f>
        <v>493000</v>
      </c>
      <c r="I25" s="196">
        <f t="shared" si="8"/>
        <v>216521.41999999998</v>
      </c>
      <c r="J25" s="196">
        <f t="shared" si="8"/>
        <v>0</v>
      </c>
      <c r="K25" s="196">
        <f t="shared" si="8"/>
        <v>65769.642500000016</v>
      </c>
      <c r="L25" s="196">
        <f t="shared" ref="L25" si="9">L21+L19+L15</f>
        <v>0</v>
      </c>
      <c r="M25" s="196">
        <f t="shared" si="7"/>
        <v>19870931.872499999</v>
      </c>
      <c r="N25" s="198">
        <f>N15+N19+N21</f>
        <v>19398100</v>
      </c>
      <c r="O25" s="279">
        <f>O15+O19+O21</f>
        <v>-472831.87249999912</v>
      </c>
      <c r="P25" s="204"/>
    </row>
    <row r="26" spans="1:16" s="37" customFormat="1" x14ac:dyDescent="0.2">
      <c r="A26" s="202" t="str">
        <f t="shared" si="2"/>
        <v/>
      </c>
      <c r="B26" s="52"/>
      <c r="C26" s="266"/>
      <c r="D26" s="213"/>
      <c r="E26" s="213"/>
      <c r="F26" s="213"/>
      <c r="G26" s="213"/>
      <c r="H26" s="213"/>
      <c r="I26" s="213"/>
      <c r="J26" s="213"/>
      <c r="K26" s="213"/>
      <c r="L26" s="213"/>
      <c r="M26" s="213"/>
      <c r="N26" s="262"/>
      <c r="O26" s="280"/>
      <c r="P26" s="36"/>
    </row>
    <row r="27" spans="1:16" s="37" customFormat="1" x14ac:dyDescent="0.2">
      <c r="A27" s="202" t="str">
        <f t="shared" si="2"/>
        <v>2. R</v>
      </c>
      <c r="B27" s="44" t="s">
        <v>73</v>
      </c>
      <c r="C27" s="267"/>
      <c r="D27" s="214"/>
      <c r="E27" s="214"/>
      <c r="F27" s="214"/>
      <c r="G27" s="214"/>
      <c r="H27" s="214"/>
      <c r="I27" s="214"/>
      <c r="J27" s="214"/>
      <c r="K27" s="214"/>
      <c r="L27" s="214"/>
      <c r="M27" s="214"/>
      <c r="N27" s="263"/>
      <c r="O27" s="281"/>
      <c r="P27" s="36"/>
    </row>
    <row r="28" spans="1:16" s="37" customFormat="1" outlineLevel="1" x14ac:dyDescent="0.2">
      <c r="A28" s="202">
        <v>2.1</v>
      </c>
      <c r="B28" s="49" t="s">
        <v>114</v>
      </c>
      <c r="C28" s="216">
        <f t="shared" ref="C28:M28" si="10">SUM(C29:C29)</f>
        <v>499434.82</v>
      </c>
      <c r="D28" s="216">
        <f t="shared" si="10"/>
        <v>326169.52</v>
      </c>
      <c r="E28" s="216">
        <f t="shared" si="10"/>
        <v>89832.12000000001</v>
      </c>
      <c r="F28" s="216">
        <f t="shared" si="10"/>
        <v>3630.86</v>
      </c>
      <c r="G28" s="216">
        <f t="shared" si="10"/>
        <v>95000</v>
      </c>
      <c r="H28" s="216">
        <f t="shared" si="10"/>
        <v>188462.97999999998</v>
      </c>
      <c r="I28" s="216">
        <f t="shared" si="10"/>
        <v>195187.52000000002</v>
      </c>
      <c r="J28" s="216">
        <f t="shared" si="10"/>
        <v>0</v>
      </c>
      <c r="K28" s="216">
        <f t="shared" si="10"/>
        <v>0</v>
      </c>
      <c r="L28" s="216">
        <f t="shared" si="10"/>
        <v>0</v>
      </c>
      <c r="M28" s="216">
        <f t="shared" si="10"/>
        <v>1209254.8400000001</v>
      </c>
      <c r="N28" s="197">
        <f>'QFR - B'!I20</f>
        <v>800000</v>
      </c>
      <c r="O28" s="277">
        <f>N28-M28</f>
        <v>-409254.84000000008</v>
      </c>
      <c r="P28" s="36"/>
    </row>
    <row r="29" spans="1:16" s="205" customFormat="1" outlineLevel="1" x14ac:dyDescent="0.2">
      <c r="A29" s="202" t="s">
        <v>132</v>
      </c>
      <c r="B29" s="199" t="s">
        <v>107</v>
      </c>
      <c r="C29" s="292">
        <v>499434.82</v>
      </c>
      <c r="D29" s="292">
        <v>326169.52</v>
      </c>
      <c r="E29" s="292">
        <v>89832.12000000001</v>
      </c>
      <c r="F29" s="292">
        <v>3630.86</v>
      </c>
      <c r="G29" s="292">
        <v>95000</v>
      </c>
      <c r="H29" s="292">
        <f>SUMIF('Contract level'!$A:$A,"="&amp;'DFP-Com'!$A29,'Contract level'!BM:BM)</f>
        <v>188462.97999999998</v>
      </c>
      <c r="I29" s="292">
        <f>SUMIF('Contract level'!$A:$A,"="&amp;'DFP-Com'!$A29,'Contract level'!BN:BN)</f>
        <v>195187.52000000002</v>
      </c>
      <c r="J29" s="292">
        <f>SUMIF('Contract level'!$A:$A,"="&amp;'DFP-Com'!$A29,'Contract level'!BO:BO)</f>
        <v>0</v>
      </c>
      <c r="K29" s="292">
        <f>SUMIF('Contract level'!$A:$A,"="&amp;'DFP-Com'!$A29,'Contract level'!BP:BP)</f>
        <v>0</v>
      </c>
      <c r="L29" s="292">
        <f>SUMIF('Contract level'!$A:$A,"="&amp;'DFP-Com'!$A29,'Contract level'!BQ:BQ)</f>
        <v>0</v>
      </c>
      <c r="M29" s="200">
        <f>SUM(H29:K29)+D29+C29</f>
        <v>1209254.8400000001</v>
      </c>
      <c r="N29" s="201"/>
      <c r="O29" s="278"/>
      <c r="P29" s="204"/>
    </row>
    <row r="30" spans="1:16" s="37" customFormat="1" outlineLevel="1" x14ac:dyDescent="0.2">
      <c r="A30" s="202">
        <v>2.2000000000000002</v>
      </c>
      <c r="B30" s="49" t="s">
        <v>77</v>
      </c>
      <c r="C30" s="195">
        <f>SUM(C31:C33)</f>
        <v>1582420.44</v>
      </c>
      <c r="D30" s="195">
        <f>SUM(D31:D33)</f>
        <v>0</v>
      </c>
      <c r="E30" s="195">
        <f t="shared" ref="E30:G30" si="11">SUM(E31:E33)</f>
        <v>0</v>
      </c>
      <c r="F30" s="195">
        <f t="shared" si="11"/>
        <v>0</v>
      </c>
      <c r="G30" s="195">
        <f t="shared" si="11"/>
        <v>0</v>
      </c>
      <c r="H30" s="195">
        <f t="shared" ref="H30:K30" si="12">SUM(H31:H33)</f>
        <v>0</v>
      </c>
      <c r="I30" s="195">
        <f t="shared" si="12"/>
        <v>0</v>
      </c>
      <c r="J30" s="195">
        <f t="shared" si="12"/>
        <v>184550</v>
      </c>
      <c r="K30" s="195">
        <f t="shared" si="12"/>
        <v>0</v>
      </c>
      <c r="L30" s="195">
        <f t="shared" ref="L30" si="13">SUM(L31:L33)</f>
        <v>0</v>
      </c>
      <c r="M30" s="195">
        <f>SUM(M31:M33)</f>
        <v>1766970.44</v>
      </c>
      <c r="N30" s="197">
        <f>'QFR - B'!I21</f>
        <v>3307400</v>
      </c>
      <c r="O30" s="277">
        <f>N30-M30</f>
        <v>1540429.56</v>
      </c>
      <c r="P30" s="36"/>
    </row>
    <row r="31" spans="1:16" s="205" customFormat="1" outlineLevel="1" x14ac:dyDescent="0.2">
      <c r="A31" s="202" t="s">
        <v>133</v>
      </c>
      <c r="B31" s="199" t="s">
        <v>108</v>
      </c>
      <c r="C31" s="292">
        <v>511547.66999999993</v>
      </c>
      <c r="D31" s="292">
        <v>0</v>
      </c>
      <c r="E31" s="292"/>
      <c r="F31" s="292">
        <v>0</v>
      </c>
      <c r="G31" s="292"/>
      <c r="H31" s="292">
        <f>SUMIF('Contract level'!$A:$A,"="&amp;'DFP-Com'!$A31,'Contract level'!BM:BM)</f>
        <v>0</v>
      </c>
      <c r="I31" s="292">
        <f>SUMIF('Contract level'!$A:$A,"="&amp;'DFP-Com'!$A31,'Contract level'!BN:BN)</f>
        <v>0</v>
      </c>
      <c r="J31" s="292">
        <f>SUMIF('Contract level'!$A:$A,"="&amp;'DFP-Com'!$A31,'Contract level'!BO:BO)</f>
        <v>184550</v>
      </c>
      <c r="K31" s="292">
        <f>SUMIF('Contract level'!$A:$A,"="&amp;'DFP-Com'!$A31,'Contract level'!BP:BP)</f>
        <v>0</v>
      </c>
      <c r="L31" s="292">
        <f>SUMIF('Contract level'!$A:$A,"="&amp;'DFP-Com'!$A31,'Contract level'!BQ:BQ)</f>
        <v>0</v>
      </c>
      <c r="M31" s="200">
        <f>SUM(H31:K31)+D31+C31</f>
        <v>696097.66999999993</v>
      </c>
      <c r="N31" s="201"/>
      <c r="O31" s="278"/>
      <c r="P31" s="204"/>
    </row>
    <row r="32" spans="1:16" s="205" customFormat="1" outlineLevel="1" x14ac:dyDescent="0.2">
      <c r="A32" s="202" t="s">
        <v>134</v>
      </c>
      <c r="B32" s="199" t="s">
        <v>109</v>
      </c>
      <c r="C32" s="292">
        <v>1030229</v>
      </c>
      <c r="D32" s="292">
        <v>0</v>
      </c>
      <c r="E32" s="292">
        <v>0</v>
      </c>
      <c r="F32" s="292"/>
      <c r="G32" s="292"/>
      <c r="H32" s="292">
        <f>SUMIF('Contract level'!$A:$A,"="&amp;'DFP-Com'!$A32,'Contract level'!BM:BM)</f>
        <v>0</v>
      </c>
      <c r="I32" s="292">
        <f>SUMIF('Contract level'!$A:$A,"="&amp;'DFP-Com'!$A32,'Contract level'!BN:BN)</f>
        <v>0</v>
      </c>
      <c r="J32" s="292">
        <f>SUMIF('Contract level'!$A:$A,"="&amp;'DFP-Com'!$A32,'Contract level'!BO:BO)</f>
        <v>0</v>
      </c>
      <c r="K32" s="292">
        <f>SUMIF('Contract level'!$A:$A,"="&amp;'DFP-Com'!$A32,'Contract level'!BP:BP)</f>
        <v>0</v>
      </c>
      <c r="L32" s="292">
        <f>SUMIF('Contract level'!$A:$A,"="&amp;'DFP-Com'!$A32,'Contract level'!BQ:BQ)</f>
        <v>0</v>
      </c>
      <c r="M32" s="292">
        <f>SUM(H32:K32)+D32+C32</f>
        <v>1030229</v>
      </c>
      <c r="N32" s="201"/>
      <c r="O32" s="278"/>
      <c r="P32" s="204"/>
    </row>
    <row r="33" spans="1:16" s="205" customFormat="1" outlineLevel="1" x14ac:dyDescent="0.2">
      <c r="A33" s="202" t="s">
        <v>135</v>
      </c>
      <c r="B33" s="199" t="s">
        <v>111</v>
      </c>
      <c r="C33" s="292">
        <v>40643.769999999997</v>
      </c>
      <c r="D33" s="292">
        <v>0</v>
      </c>
      <c r="E33" s="292"/>
      <c r="F33" s="292"/>
      <c r="G33" s="292"/>
      <c r="H33" s="292">
        <f>SUMIF('Contract level'!$A:$A,"="&amp;'DFP-Com'!$A33,'Contract level'!BM:BM)</f>
        <v>0</v>
      </c>
      <c r="I33" s="292">
        <f>SUMIF('Contract level'!$A:$A,"="&amp;'DFP-Com'!$A33,'Contract level'!BN:BN)</f>
        <v>0</v>
      </c>
      <c r="J33" s="292">
        <f>SUMIF('Contract level'!$A:$A,"="&amp;'DFP-Com'!$A33,'Contract level'!BO:BO)</f>
        <v>0</v>
      </c>
      <c r="K33" s="292">
        <f>SUMIF('Contract level'!$A:$A,"="&amp;'DFP-Com'!$A33,'Contract level'!BP:BP)</f>
        <v>0</v>
      </c>
      <c r="L33" s="292">
        <f>SUMIF('Contract level'!$A:$A,"="&amp;'DFP-Com'!$A33,'Contract level'!BQ:BQ)</f>
        <v>0</v>
      </c>
      <c r="M33" s="200">
        <f>SUM(H33:K33)+D33+C33</f>
        <v>40643.769999999997</v>
      </c>
      <c r="N33" s="201"/>
      <c r="O33" s="278"/>
      <c r="P33" s="204"/>
    </row>
    <row r="34" spans="1:16" s="37" customFormat="1" x14ac:dyDescent="0.2">
      <c r="A34" s="202" t="str">
        <f t="shared" si="2"/>
        <v>TOTA</v>
      </c>
      <c r="B34" s="57" t="s">
        <v>62</v>
      </c>
      <c r="C34" s="196">
        <f>C30+C28</f>
        <v>2081855.26</v>
      </c>
      <c r="D34" s="196">
        <f>D30+D28</f>
        <v>326169.52</v>
      </c>
      <c r="E34" s="196">
        <f>+E28+E30</f>
        <v>89832.12000000001</v>
      </c>
      <c r="F34" s="196">
        <f>+F28+F30</f>
        <v>3630.86</v>
      </c>
      <c r="G34" s="196">
        <f>+G28+G30</f>
        <v>95000</v>
      </c>
      <c r="H34" s="196">
        <f t="shared" ref="H34:K34" si="14">H30+H28</f>
        <v>188462.97999999998</v>
      </c>
      <c r="I34" s="196">
        <f t="shared" si="14"/>
        <v>195187.52000000002</v>
      </c>
      <c r="J34" s="196">
        <f t="shared" si="14"/>
        <v>184550</v>
      </c>
      <c r="K34" s="196">
        <f t="shared" si="14"/>
        <v>0</v>
      </c>
      <c r="L34" s="196">
        <f t="shared" ref="L34" si="15">L30+L28</f>
        <v>0</v>
      </c>
      <c r="M34" s="196">
        <f>M28+M30</f>
        <v>2976225.2800000003</v>
      </c>
      <c r="N34" s="265">
        <f>SUM(N28:N33)</f>
        <v>4107400</v>
      </c>
      <c r="O34" s="279">
        <f>SUM(O27:O33)</f>
        <v>1131174.72</v>
      </c>
      <c r="P34" s="36"/>
    </row>
    <row r="35" spans="1:16" s="37" customFormat="1" x14ac:dyDescent="0.2">
      <c r="A35" s="202" t="str">
        <f t="shared" si="2"/>
        <v/>
      </c>
      <c r="B35" s="52"/>
      <c r="C35" s="266"/>
      <c r="D35" s="213"/>
      <c r="E35" s="213"/>
      <c r="F35" s="213"/>
      <c r="G35" s="213"/>
      <c r="H35" s="213"/>
      <c r="I35" s="213"/>
      <c r="J35" s="213"/>
      <c r="K35" s="213"/>
      <c r="L35" s="213"/>
      <c r="M35" s="213"/>
      <c r="N35" s="262"/>
      <c r="O35" s="280"/>
      <c r="P35" s="36"/>
    </row>
    <row r="36" spans="1:16" s="62" customFormat="1" x14ac:dyDescent="0.2">
      <c r="A36" s="202" t="str">
        <f t="shared" si="2"/>
        <v>3. M</v>
      </c>
      <c r="B36" s="44" t="s">
        <v>81</v>
      </c>
      <c r="C36" s="268"/>
      <c r="D36" s="259"/>
      <c r="E36" s="259"/>
      <c r="F36" s="259"/>
      <c r="G36" s="259"/>
      <c r="H36" s="259"/>
      <c r="I36" s="259"/>
      <c r="J36" s="259"/>
      <c r="K36" s="259"/>
      <c r="L36" s="259"/>
      <c r="M36" s="214"/>
      <c r="N36" s="263"/>
      <c r="O36" s="281"/>
      <c r="P36" s="61"/>
    </row>
    <row r="37" spans="1:16" s="62" customFormat="1" outlineLevel="1" x14ac:dyDescent="0.2">
      <c r="A37" s="202" t="str">
        <f t="shared" si="2"/>
        <v xml:space="preserve">   M</v>
      </c>
      <c r="B37" s="63" t="s">
        <v>82</v>
      </c>
      <c r="C37" s="195">
        <f t="shared" ref="C37:G37" si="16">SUM(C38:C41)</f>
        <v>531103.9</v>
      </c>
      <c r="D37" s="195">
        <f t="shared" si="16"/>
        <v>-4306.2200000000012</v>
      </c>
      <c r="E37" s="195">
        <f t="shared" si="16"/>
        <v>35400</v>
      </c>
      <c r="F37" s="195">
        <f t="shared" si="16"/>
        <v>0</v>
      </c>
      <c r="G37" s="195">
        <f t="shared" si="16"/>
        <v>34000</v>
      </c>
      <c r="H37" s="195">
        <f t="shared" ref="H37:M37" si="17">SUM(H38:H41)</f>
        <v>69400</v>
      </c>
      <c r="I37" s="195">
        <f t="shared" si="17"/>
        <v>194500</v>
      </c>
      <c r="J37" s="195">
        <f t="shared" si="17"/>
        <v>265000</v>
      </c>
      <c r="K37" s="195">
        <f t="shared" si="17"/>
        <v>30000</v>
      </c>
      <c r="L37" s="195">
        <f t="shared" ref="L37" si="18">SUM(L38:L41)</f>
        <v>0</v>
      </c>
      <c r="M37" s="216">
        <f t="shared" si="17"/>
        <v>1085697.68</v>
      </c>
      <c r="N37" s="197">
        <f>'QFR - B'!I24</f>
        <v>1431000</v>
      </c>
      <c r="O37" s="277">
        <f>N37-M37</f>
        <v>345302.32000000007</v>
      </c>
      <c r="P37" s="61"/>
    </row>
    <row r="38" spans="1:16" s="211" customFormat="1" outlineLevel="1" x14ac:dyDescent="0.2">
      <c r="A38" s="202" t="s">
        <v>136</v>
      </c>
      <c r="B38" s="208" t="s">
        <v>98</v>
      </c>
      <c r="C38" s="292">
        <v>488637.32</v>
      </c>
      <c r="D38" s="292">
        <v>-89084.7</v>
      </c>
      <c r="E38" s="291">
        <v>26400</v>
      </c>
      <c r="F38" s="291">
        <v>0</v>
      </c>
      <c r="G38" s="291">
        <v>20000</v>
      </c>
      <c r="H38" s="292">
        <f>SUMIF('Contract level'!$A:$A,"="&amp;'DFP-Com'!$A38,'Contract level'!BM:BM)</f>
        <v>46400</v>
      </c>
      <c r="I38" s="292">
        <f>SUMIF('Contract level'!$A:$A,"="&amp;'DFP-Com'!$A38,'Contract level'!BN:BN)</f>
        <v>0</v>
      </c>
      <c r="J38" s="292">
        <f>SUMIF('Contract level'!$A:$A,"="&amp;'DFP-Com'!$A38,'Contract level'!BO:BO)</f>
        <v>235000</v>
      </c>
      <c r="K38" s="292">
        <f>SUMIF('Contract level'!$A:$A,"="&amp;'DFP-Com'!$A38,'Contract level'!BP:BP)</f>
        <v>0</v>
      </c>
      <c r="L38" s="292">
        <f>SUMIF('Contract level'!$A:$A,"="&amp;'DFP-Com'!$A38,'Contract level'!BQ:BQ)</f>
        <v>0</v>
      </c>
      <c r="M38" s="200">
        <f>SUM(H38:L38)+D38+C38</f>
        <v>680952.62</v>
      </c>
      <c r="N38" s="264"/>
      <c r="O38" s="282"/>
      <c r="P38" s="210"/>
    </row>
    <row r="39" spans="1:16" s="211" customFormat="1" outlineLevel="1" x14ac:dyDescent="0.2">
      <c r="A39" s="202" t="s">
        <v>137</v>
      </c>
      <c r="B39" s="208" t="s">
        <v>99</v>
      </c>
      <c r="C39" s="292">
        <v>0</v>
      </c>
      <c r="D39" s="292">
        <v>0</v>
      </c>
      <c r="E39" s="291"/>
      <c r="F39" s="291"/>
      <c r="G39" s="291"/>
      <c r="H39" s="292">
        <f>SUMIF('Contract level'!$A:$A,"="&amp;'DFP-Com'!$A39,'Contract level'!BM:BM)</f>
        <v>0</v>
      </c>
      <c r="I39" s="292">
        <f>SUMIF('Contract level'!$A:$A,"="&amp;'DFP-Com'!$A39,'Contract level'!BN:BN)</f>
        <v>0</v>
      </c>
      <c r="J39" s="292">
        <f>SUMIF('Contract level'!$A:$A,"="&amp;'DFP-Com'!$A39,'Contract level'!BO:BO)</f>
        <v>0</v>
      </c>
      <c r="K39" s="292">
        <f>SUMIF('Contract level'!$A:$A,"="&amp;'DFP-Com'!$A39,'Contract level'!BP:BP)</f>
        <v>0</v>
      </c>
      <c r="L39" s="292">
        <f>SUMIF('Contract level'!$A:$A,"="&amp;'DFP-Com'!$A39,'Contract level'!BQ:BQ)</f>
        <v>0</v>
      </c>
      <c r="M39" s="292">
        <f>SUM(H39:L39)+D39+C39</f>
        <v>0</v>
      </c>
      <c r="N39" s="264"/>
      <c r="O39" s="282"/>
      <c r="P39" s="210"/>
    </row>
    <row r="40" spans="1:16" s="211" customFormat="1" outlineLevel="1" x14ac:dyDescent="0.2">
      <c r="A40" s="202" t="s">
        <v>138</v>
      </c>
      <c r="B40" s="208" t="s">
        <v>100</v>
      </c>
      <c r="C40" s="292">
        <v>0</v>
      </c>
      <c r="D40" s="200">
        <v>0</v>
      </c>
      <c r="E40" s="291"/>
      <c r="F40" s="291"/>
      <c r="G40" s="291"/>
      <c r="H40" s="292">
        <f>SUMIF('Contract level'!$A:$A,"="&amp;'DFP-Com'!$A40,'Contract level'!BM:BM)</f>
        <v>0</v>
      </c>
      <c r="I40" s="292">
        <f>SUMIF('Contract level'!$A:$A,"="&amp;'DFP-Com'!$A40,'Contract level'!BN:BN)</f>
        <v>0</v>
      </c>
      <c r="J40" s="292">
        <f>SUMIF('Contract level'!$A:$A,"="&amp;'DFP-Com'!$A40,'Contract level'!BO:BO)</f>
        <v>0</v>
      </c>
      <c r="K40" s="292">
        <f>SUMIF('Contract level'!$A:$A,"="&amp;'DFP-Com'!$A40,'Contract level'!BP:BP)</f>
        <v>0</v>
      </c>
      <c r="L40" s="292">
        <f>SUMIF('Contract level'!$A:$A,"="&amp;'DFP-Com'!$A40,'Contract level'!BQ:BQ)</f>
        <v>0</v>
      </c>
      <c r="M40" s="292">
        <f>SUM(H40:L40)+D40+C40</f>
        <v>0</v>
      </c>
      <c r="N40" s="264"/>
      <c r="O40" s="282"/>
      <c r="P40" s="210"/>
    </row>
    <row r="41" spans="1:16" s="211" customFormat="1" outlineLevel="1" x14ac:dyDescent="0.2">
      <c r="A41" s="202" t="s">
        <v>139</v>
      </c>
      <c r="B41" s="208" t="s">
        <v>110</v>
      </c>
      <c r="C41" s="292">
        <v>42466.58</v>
      </c>
      <c r="D41" s="292">
        <f>84722.43+56.05</f>
        <v>84778.48</v>
      </c>
      <c r="E41" s="291">
        <v>9000</v>
      </c>
      <c r="F41" s="291">
        <v>0</v>
      </c>
      <c r="G41" s="291">
        <v>14000</v>
      </c>
      <c r="H41" s="292">
        <f>SUMIF('Contract level'!$A:$A,"="&amp;'DFP-Com'!$A41,'Contract level'!BM:BM)</f>
        <v>23000</v>
      </c>
      <c r="I41" s="292">
        <f>SUMIF('Contract level'!$A:$A,"="&amp;'DFP-Com'!$A41,'Contract level'!BN:BN)</f>
        <v>194500</v>
      </c>
      <c r="J41" s="292">
        <f>SUMIF('Contract level'!$A:$A,"="&amp;'DFP-Com'!$A41,'Contract level'!BO:BO)</f>
        <v>30000</v>
      </c>
      <c r="K41" s="292">
        <f>SUMIF('Contract level'!$A:$A,"="&amp;'DFP-Com'!$A41,'Contract level'!BP:BP)</f>
        <v>30000</v>
      </c>
      <c r="L41" s="292">
        <f>SUMIF('Contract level'!$A:$A,"="&amp;'DFP-Com'!$A41,'Contract level'!BQ:BQ)</f>
        <v>0</v>
      </c>
      <c r="M41" s="292">
        <f>SUM(H41:L41)+D41+C41</f>
        <v>404745.06</v>
      </c>
      <c r="N41" s="264"/>
      <c r="O41" s="282"/>
      <c r="P41" s="210"/>
    </row>
    <row r="42" spans="1:16" s="37" customFormat="1" x14ac:dyDescent="0.2">
      <c r="A42" s="202"/>
      <c r="B42" s="57" t="s">
        <v>17</v>
      </c>
      <c r="C42" s="196">
        <f>C37</f>
        <v>531103.9</v>
      </c>
      <c r="D42" s="196">
        <f>D37</f>
        <v>-4306.2200000000012</v>
      </c>
      <c r="E42" s="196">
        <f t="shared" ref="E42:O42" si="19">E37</f>
        <v>35400</v>
      </c>
      <c r="F42" s="196">
        <f t="shared" si="19"/>
        <v>0</v>
      </c>
      <c r="G42" s="196">
        <f t="shared" si="19"/>
        <v>34000</v>
      </c>
      <c r="H42" s="196">
        <f t="shared" ref="H42:K42" si="20">H37</f>
        <v>69400</v>
      </c>
      <c r="I42" s="196">
        <f t="shared" si="20"/>
        <v>194500</v>
      </c>
      <c r="J42" s="196">
        <f t="shared" si="20"/>
        <v>265000</v>
      </c>
      <c r="K42" s="196">
        <f t="shared" si="20"/>
        <v>30000</v>
      </c>
      <c r="L42" s="196">
        <f t="shared" ref="L42" si="21">L37</f>
        <v>0</v>
      </c>
      <c r="M42" s="196">
        <f t="shared" si="19"/>
        <v>1085697.68</v>
      </c>
      <c r="N42" s="265">
        <f t="shared" si="19"/>
        <v>1431000</v>
      </c>
      <c r="O42" s="283">
        <f t="shared" si="19"/>
        <v>345302.32000000007</v>
      </c>
      <c r="P42" s="36"/>
    </row>
    <row r="43" spans="1:16" s="37" customFormat="1" x14ac:dyDescent="0.2">
      <c r="A43" s="202"/>
      <c r="B43" s="52"/>
      <c r="C43" s="266"/>
      <c r="D43" s="213"/>
      <c r="E43" s="213"/>
      <c r="F43" s="213"/>
      <c r="G43" s="213"/>
      <c r="H43" s="213"/>
      <c r="I43" s="213"/>
      <c r="J43" s="213"/>
      <c r="K43" s="213"/>
      <c r="L43" s="213"/>
      <c r="M43" s="213"/>
      <c r="N43" s="262"/>
      <c r="O43" s="280"/>
      <c r="P43" s="36"/>
    </row>
    <row r="44" spans="1:16" s="62" customFormat="1" x14ac:dyDescent="0.2">
      <c r="A44" s="202"/>
      <c r="B44" s="44" t="s">
        <v>75</v>
      </c>
      <c r="C44" s="268"/>
      <c r="D44" s="259"/>
      <c r="E44" s="259"/>
      <c r="F44" s="259"/>
      <c r="G44" s="259"/>
      <c r="H44" s="259"/>
      <c r="I44" s="259"/>
      <c r="J44" s="259"/>
      <c r="K44" s="259"/>
      <c r="L44" s="259"/>
      <c r="M44" s="214"/>
      <c r="N44" s="263"/>
      <c r="O44" s="281"/>
      <c r="P44" s="61"/>
    </row>
    <row r="45" spans="1:16" s="37" customFormat="1" outlineLevel="1" x14ac:dyDescent="0.2">
      <c r="A45" s="202"/>
      <c r="B45" s="64" t="s">
        <v>84</v>
      </c>
      <c r="C45" s="195">
        <f t="shared" ref="C45:G45" si="22">SUM(C46:C49)</f>
        <v>816974.56</v>
      </c>
      <c r="D45" s="195">
        <f t="shared" si="22"/>
        <v>301655.28999999998</v>
      </c>
      <c r="E45" s="195">
        <f t="shared" si="22"/>
        <v>31000</v>
      </c>
      <c r="F45" s="195">
        <f t="shared" si="22"/>
        <v>6000</v>
      </c>
      <c r="G45" s="195">
        <f t="shared" si="22"/>
        <v>4000</v>
      </c>
      <c r="H45" s="195">
        <f t="shared" ref="H45:K45" si="23">SUM(H46:H49)</f>
        <v>41000</v>
      </c>
      <c r="I45" s="195">
        <f t="shared" si="23"/>
        <v>44024.36</v>
      </c>
      <c r="J45" s="195">
        <f t="shared" si="23"/>
        <v>2000</v>
      </c>
      <c r="K45" s="195">
        <f t="shared" si="23"/>
        <v>305245.5</v>
      </c>
      <c r="L45" s="195">
        <f t="shared" ref="L45" si="24">SUM(L46:L49)</f>
        <v>0</v>
      </c>
      <c r="M45" s="216">
        <f>C45+D45+SUM(H45:K45)</f>
        <v>1510899.71</v>
      </c>
      <c r="N45" s="197">
        <f>'QFR - B'!I27</f>
        <v>1261000</v>
      </c>
      <c r="O45" s="277">
        <f>N45-M45</f>
        <v>-249899.70999999996</v>
      </c>
      <c r="P45" s="36"/>
    </row>
    <row r="46" spans="1:16" s="205" customFormat="1" ht="12.75" customHeight="1" outlineLevel="1" x14ac:dyDescent="0.2">
      <c r="A46" s="202" t="s">
        <v>140</v>
      </c>
      <c r="B46" s="212" t="s">
        <v>120</v>
      </c>
      <c r="C46" s="292">
        <v>559084.43000000005</v>
      </c>
      <c r="D46" s="292">
        <v>297954.40000000002</v>
      </c>
      <c r="E46" s="291"/>
      <c r="F46" s="291"/>
      <c r="G46" s="291"/>
      <c r="H46" s="292">
        <f>SUMIF('Contract level'!$A:$A,"="&amp;'DFP-Com'!$A46,'Contract level'!BM:BM)</f>
        <v>0</v>
      </c>
      <c r="I46" s="292">
        <f>SUMIF('Contract level'!$A:$A,"="&amp;'DFP-Com'!$A46,'Contract level'!BN:BN)</f>
        <v>30000</v>
      </c>
      <c r="J46" s="292">
        <f>SUMIF('Contract level'!$A:$A,"="&amp;'DFP-Com'!$A46,'Contract level'!BO:BO)</f>
        <v>0</v>
      </c>
      <c r="K46" s="292">
        <f>SUMIF('Contract level'!$A:$A,"="&amp;'DFP-Com'!$A46,'Contract level'!BP:BP)</f>
        <v>169841.09999999998</v>
      </c>
      <c r="L46" s="292">
        <f>SUMIF('Contract level'!$A:$A,"="&amp;'DFP-Com'!$A46,'Contract level'!BQ:BQ)</f>
        <v>0</v>
      </c>
      <c r="M46" s="200">
        <f>SUM(H46:L46)+D46+C46</f>
        <v>1056879.9300000002</v>
      </c>
      <c r="N46" s="264"/>
      <c r="O46" s="278"/>
      <c r="P46" s="204"/>
    </row>
    <row r="47" spans="1:16" s="205" customFormat="1" outlineLevel="1" x14ac:dyDescent="0.2">
      <c r="A47" s="202" t="s">
        <v>141</v>
      </c>
      <c r="B47" s="212" t="s">
        <v>121</v>
      </c>
      <c r="C47" s="292">
        <v>44396.22</v>
      </c>
      <c r="D47" s="292">
        <v>4303.54</v>
      </c>
      <c r="E47" s="291">
        <v>4000</v>
      </c>
      <c r="F47" s="291">
        <v>4000</v>
      </c>
      <c r="G47" s="291">
        <v>4000</v>
      </c>
      <c r="H47" s="292">
        <f>SUMIF('Contract level'!$A:$A,"="&amp;'DFP-Com'!$A47,'Contract level'!BM:BM)</f>
        <v>12000</v>
      </c>
      <c r="I47" s="292">
        <f>SUMIF('Contract level'!$A:$A,"="&amp;'DFP-Com'!$A47,'Contract level'!BN:BN)</f>
        <v>12696.46</v>
      </c>
      <c r="J47" s="292">
        <f>SUMIF('Contract level'!$A:$A,"="&amp;'DFP-Com'!$A47,'Contract level'!BO:BO)</f>
        <v>2000</v>
      </c>
      <c r="K47" s="292">
        <f>SUMIF('Contract level'!$A:$A,"="&amp;'DFP-Com'!$A47,'Contract level'!BP:BP)</f>
        <v>2673.78</v>
      </c>
      <c r="L47" s="292">
        <f>SUMIF('Contract level'!$A:$A,"="&amp;'DFP-Com'!$A47,'Contract level'!BQ:BQ)</f>
        <v>0</v>
      </c>
      <c r="M47" s="292">
        <f>SUM(H47:K47)+D47+C47</f>
        <v>78070</v>
      </c>
      <c r="N47" s="264"/>
      <c r="O47" s="282"/>
      <c r="P47" s="204"/>
    </row>
    <row r="48" spans="1:16" s="205" customFormat="1" outlineLevel="1" x14ac:dyDescent="0.2">
      <c r="A48" s="202" t="s">
        <v>142</v>
      </c>
      <c r="B48" s="212" t="s">
        <v>122</v>
      </c>
      <c r="C48" s="292">
        <v>120000</v>
      </c>
      <c r="D48" s="292">
        <v>0</v>
      </c>
      <c r="E48" s="291"/>
      <c r="F48" s="291"/>
      <c r="G48" s="291"/>
      <c r="H48" s="292">
        <f>SUMIF('Contract level'!$A:$A,"="&amp;'DFP-Com'!$A48,'Contract level'!BM:BM)</f>
        <v>0</v>
      </c>
      <c r="I48" s="292">
        <f>SUMIF('Contract level'!$A:$A,"="&amp;'DFP-Com'!$A48,'Contract level'!BN:BN)</f>
        <v>0</v>
      </c>
      <c r="J48" s="292">
        <f>SUMIF('Contract level'!$A:$A,"="&amp;'DFP-Com'!$A48,'Contract level'!BO:BO)</f>
        <v>0</v>
      </c>
      <c r="K48" s="292">
        <f>SUMIF('Contract level'!$A:$A,"="&amp;'DFP-Com'!$A48,'Contract level'!BP:BP)</f>
        <v>0</v>
      </c>
      <c r="L48" s="292">
        <f>SUMIF('Contract level'!$A:$A,"="&amp;'DFP-Com'!$A48,'Contract level'!BQ:BQ)</f>
        <v>0</v>
      </c>
      <c r="M48" s="292">
        <f>SUM(H48:K48)+D48+C48</f>
        <v>120000</v>
      </c>
      <c r="N48" s="264"/>
      <c r="O48" s="282"/>
      <c r="P48" s="204"/>
    </row>
    <row r="49" spans="1:16" s="205" customFormat="1" outlineLevel="1" x14ac:dyDescent="0.2">
      <c r="A49" s="202" t="s">
        <v>143</v>
      </c>
      <c r="B49" s="212" t="s">
        <v>123</v>
      </c>
      <c r="C49" s="292">
        <v>93493.91</v>
      </c>
      <c r="D49" s="292">
        <v>-602.65</v>
      </c>
      <c r="E49" s="291">
        <f>2000+25000</f>
        <v>27000</v>
      </c>
      <c r="F49" s="291">
        <v>2000</v>
      </c>
      <c r="G49" s="291"/>
      <c r="H49" s="292">
        <f>SUMIF('Contract level'!$A:$A,"="&amp;'DFP-Com'!$A49,'Contract level'!BM:BM)</f>
        <v>29000</v>
      </c>
      <c r="I49" s="292">
        <f>SUMIF('Contract level'!$A:$A,"="&amp;'DFP-Com'!$A49,'Contract level'!BN:BN)</f>
        <v>1327.9</v>
      </c>
      <c r="J49" s="292">
        <f>SUMIF('Contract level'!$A:$A,"="&amp;'DFP-Com'!$A49,'Contract level'!BO:BO)</f>
        <v>0</v>
      </c>
      <c r="K49" s="292">
        <f>SUMIF('Contract level'!$A:$A,"="&amp;'DFP-Com'!$A49,'Contract level'!BP:BP)</f>
        <v>132730.62</v>
      </c>
      <c r="L49" s="292">
        <f>SUMIF('Contract level'!$A:$A,"="&amp;'DFP-Com'!$A49,'Contract level'!BQ:BQ)</f>
        <v>0</v>
      </c>
      <c r="M49" s="292">
        <f>SUM(H49:K49)+D49+C49</f>
        <v>255949.78</v>
      </c>
      <c r="N49" s="264"/>
      <c r="O49" s="282"/>
      <c r="P49" s="204"/>
    </row>
    <row r="50" spans="1:16" s="62" customFormat="1" x14ac:dyDescent="0.2">
      <c r="A50" s="10"/>
      <c r="B50" s="65" t="s">
        <v>83</v>
      </c>
      <c r="C50" s="196">
        <f t="shared" ref="C50:O50" si="25">C45</f>
        <v>816974.56</v>
      </c>
      <c r="D50" s="196">
        <f t="shared" si="25"/>
        <v>301655.28999999998</v>
      </c>
      <c r="E50" s="196">
        <f t="shared" si="25"/>
        <v>31000</v>
      </c>
      <c r="F50" s="196">
        <f t="shared" si="25"/>
        <v>6000</v>
      </c>
      <c r="G50" s="196">
        <f t="shared" si="25"/>
        <v>4000</v>
      </c>
      <c r="H50" s="196">
        <f t="shared" ref="H50:K50" si="26">H45</f>
        <v>41000</v>
      </c>
      <c r="I50" s="196">
        <f t="shared" si="26"/>
        <v>44024.36</v>
      </c>
      <c r="J50" s="196">
        <f t="shared" si="26"/>
        <v>2000</v>
      </c>
      <c r="K50" s="196">
        <f t="shared" si="26"/>
        <v>305245.5</v>
      </c>
      <c r="L50" s="196">
        <f t="shared" ref="L50" si="27">L45</f>
        <v>0</v>
      </c>
      <c r="M50" s="196">
        <f t="shared" si="25"/>
        <v>1510899.71</v>
      </c>
      <c r="N50" s="265">
        <f t="shared" si="25"/>
        <v>1261000</v>
      </c>
      <c r="O50" s="283">
        <f t="shared" si="25"/>
        <v>-249899.70999999996</v>
      </c>
      <c r="P50" s="61"/>
    </row>
    <row r="51" spans="1:16" s="37" customFormat="1" x14ac:dyDescent="0.2">
      <c r="A51" s="5"/>
      <c r="B51" s="52"/>
      <c r="C51" s="266"/>
      <c r="D51" s="213"/>
      <c r="E51" s="213"/>
      <c r="F51" s="213"/>
      <c r="G51" s="213"/>
      <c r="H51" s="213"/>
      <c r="I51" s="213"/>
      <c r="J51" s="213"/>
      <c r="K51" s="213"/>
      <c r="L51" s="213"/>
      <c r="M51" s="215"/>
      <c r="N51" s="262"/>
      <c r="O51" s="284"/>
      <c r="P51" s="36"/>
    </row>
    <row r="52" spans="1:16" s="223" customFormat="1" ht="13.5" customHeight="1" thickBot="1" x14ac:dyDescent="0.3">
      <c r="A52" s="220"/>
      <c r="B52" s="224" t="s">
        <v>116</v>
      </c>
      <c r="C52" s="221">
        <f t="shared" ref="C52:G52" si="28">C50+C42+C34+C25</f>
        <v>22394158.5</v>
      </c>
      <c r="D52" s="221">
        <f t="shared" si="28"/>
        <v>754934.62</v>
      </c>
      <c r="E52" s="221">
        <f t="shared" si="28"/>
        <v>236232.12</v>
      </c>
      <c r="F52" s="221">
        <f t="shared" si="28"/>
        <v>9630.86</v>
      </c>
      <c r="G52" s="221">
        <f t="shared" si="28"/>
        <v>546000</v>
      </c>
      <c r="H52" s="221">
        <f t="shared" ref="H52:K52" si="29">H50+H42+H34+H25</f>
        <v>791862.98</v>
      </c>
      <c r="I52" s="221">
        <f t="shared" si="29"/>
        <v>650233.30000000005</v>
      </c>
      <c r="J52" s="221">
        <f t="shared" si="29"/>
        <v>451550</v>
      </c>
      <c r="K52" s="221">
        <f t="shared" si="29"/>
        <v>401015.14250000002</v>
      </c>
      <c r="L52" s="221">
        <f t="shared" ref="L52" si="30">L50+L42+L34+L25</f>
        <v>0</v>
      </c>
      <c r="M52" s="221">
        <f t="shared" ref="M52:O52" si="31">M50+M42+M34+M25</f>
        <v>25443754.542499997</v>
      </c>
      <c r="N52" s="221">
        <f t="shared" si="31"/>
        <v>26197500</v>
      </c>
      <c r="O52" s="285">
        <f t="shared" si="31"/>
        <v>753745.45750000095</v>
      </c>
      <c r="P52" s="222"/>
    </row>
    <row r="53" spans="1:16" ht="13.5" thickTop="1" x14ac:dyDescent="0.2">
      <c r="B53" s="7" t="s">
        <v>234</v>
      </c>
      <c r="C53" s="269"/>
      <c r="D53" s="260"/>
      <c r="H53" s="260"/>
      <c r="I53" s="260"/>
      <c r="J53" s="260"/>
      <c r="K53" s="260"/>
      <c r="L53" s="260"/>
      <c r="M53" s="260"/>
      <c r="N53" s="270"/>
      <c r="O53" s="286"/>
    </row>
    <row r="54" spans="1:16" ht="25.35" customHeight="1" x14ac:dyDescent="0.2">
      <c r="B54" s="475" t="s">
        <v>119</v>
      </c>
      <c r="C54" s="475"/>
      <c r="D54" s="475"/>
      <c r="E54" s="475"/>
      <c r="F54" s="475"/>
      <c r="G54" s="475"/>
      <c r="H54" s="260"/>
      <c r="I54" s="260"/>
      <c r="J54" s="260"/>
      <c r="K54" s="260"/>
      <c r="L54" s="260"/>
      <c r="M54" s="260"/>
      <c r="N54" s="270"/>
      <c r="O54" s="287"/>
    </row>
    <row r="55" spans="1:16" x14ac:dyDescent="0.2">
      <c r="B55" s="7"/>
      <c r="C55" s="269"/>
      <c r="D55" s="260"/>
      <c r="H55" s="260"/>
      <c r="I55" s="260"/>
      <c r="J55" s="260"/>
      <c r="K55" s="260"/>
      <c r="L55" s="260"/>
      <c r="M55" s="260"/>
      <c r="N55" s="270"/>
      <c r="O55" s="286"/>
    </row>
    <row r="56" spans="1:16" x14ac:dyDescent="0.2">
      <c r="B56" s="7"/>
      <c r="C56" s="269"/>
      <c r="D56" s="260"/>
      <c r="H56" s="260"/>
      <c r="I56" s="260"/>
      <c r="J56" s="260"/>
      <c r="K56" s="260"/>
      <c r="L56" s="260"/>
      <c r="M56" s="260"/>
      <c r="N56" s="270"/>
      <c r="O56" s="287"/>
    </row>
    <row r="57" spans="1:16" x14ac:dyDescent="0.2">
      <c r="B57" s="7"/>
      <c r="C57" s="269"/>
      <c r="D57" s="260"/>
      <c r="H57" s="260"/>
      <c r="I57" s="260"/>
      <c r="J57" s="260"/>
      <c r="K57" s="260"/>
      <c r="L57" s="260"/>
      <c r="M57" s="260"/>
      <c r="N57" s="270"/>
      <c r="O57" s="287"/>
    </row>
    <row r="58" spans="1:16" x14ac:dyDescent="0.2">
      <c r="B58" s="7"/>
      <c r="C58" s="269"/>
      <c r="D58" s="260"/>
      <c r="H58" s="260"/>
      <c r="I58" s="260"/>
      <c r="J58" s="260"/>
      <c r="K58" s="260"/>
      <c r="L58" s="260"/>
      <c r="M58" s="260"/>
      <c r="N58" s="270"/>
      <c r="O58" s="287"/>
    </row>
    <row r="59" spans="1:16" x14ac:dyDescent="0.2">
      <c r="B59" s="7"/>
      <c r="C59" s="269"/>
      <c r="D59" s="260"/>
      <c r="H59" s="260"/>
      <c r="I59" s="260"/>
      <c r="J59" s="260"/>
      <c r="K59" s="260"/>
      <c r="L59" s="260"/>
      <c r="M59" s="260"/>
      <c r="N59" s="270"/>
      <c r="O59" s="287"/>
    </row>
    <row r="60" spans="1:16" x14ac:dyDescent="0.2">
      <c r="B60" s="7"/>
      <c r="C60" s="269"/>
      <c r="D60" s="260"/>
      <c r="H60" s="260"/>
      <c r="I60" s="260"/>
      <c r="J60" s="260"/>
      <c r="K60" s="260"/>
      <c r="L60" s="260"/>
      <c r="M60" s="260"/>
      <c r="N60" s="270"/>
      <c r="O60" s="287"/>
    </row>
    <row r="61" spans="1:16" x14ac:dyDescent="0.2">
      <c r="C61" s="269"/>
      <c r="D61" s="260"/>
      <c r="H61" s="260"/>
      <c r="I61" s="260"/>
      <c r="J61" s="260"/>
      <c r="K61" s="260"/>
      <c r="L61" s="260"/>
      <c r="M61" s="260"/>
      <c r="N61" s="270"/>
      <c r="O61" s="287"/>
    </row>
    <row r="62" spans="1:16" x14ac:dyDescent="0.2">
      <c r="C62" s="269"/>
      <c r="D62" s="260"/>
      <c r="H62" s="260"/>
      <c r="I62" s="260"/>
      <c r="J62" s="260"/>
      <c r="K62" s="260"/>
      <c r="L62" s="260"/>
      <c r="M62" s="260"/>
      <c r="N62" s="270"/>
      <c r="O62" s="287"/>
    </row>
    <row r="63" spans="1:16" x14ac:dyDescent="0.2">
      <c r="C63" s="269"/>
      <c r="D63" s="260"/>
      <c r="H63" s="260"/>
      <c r="I63" s="260"/>
      <c r="J63" s="260"/>
      <c r="K63" s="260"/>
      <c r="L63" s="260"/>
      <c r="M63" s="260"/>
      <c r="N63" s="270"/>
      <c r="O63" s="287"/>
    </row>
    <row r="64" spans="1:16" x14ac:dyDescent="0.2">
      <c r="C64" s="269"/>
      <c r="D64" s="260"/>
      <c r="H64" s="260"/>
      <c r="I64" s="260"/>
      <c r="J64" s="260"/>
      <c r="K64" s="260"/>
      <c r="L64" s="260"/>
      <c r="M64" s="260"/>
      <c r="N64" s="270"/>
      <c r="O64" s="287"/>
    </row>
    <row r="65" spans="3:15" x14ac:dyDescent="0.2">
      <c r="C65" s="269"/>
      <c r="D65" s="260"/>
      <c r="H65" s="260"/>
      <c r="I65" s="260"/>
      <c r="J65" s="260"/>
      <c r="K65" s="260"/>
      <c r="L65" s="260"/>
      <c r="M65" s="260"/>
      <c r="N65" s="270"/>
      <c r="O65" s="287"/>
    </row>
    <row r="66" spans="3:15" x14ac:dyDescent="0.2">
      <c r="C66" s="269"/>
      <c r="D66" s="260"/>
      <c r="H66" s="260"/>
      <c r="I66" s="260"/>
      <c r="J66" s="260"/>
      <c r="K66" s="260"/>
      <c r="L66" s="260"/>
      <c r="M66" s="260"/>
      <c r="N66" s="270"/>
      <c r="O66" s="287"/>
    </row>
    <row r="67" spans="3:15" x14ac:dyDescent="0.2">
      <c r="O67" s="287"/>
    </row>
    <row r="68" spans="3:15" x14ac:dyDescent="0.2">
      <c r="O68" s="287"/>
    </row>
    <row r="69" spans="3:15" x14ac:dyDescent="0.2">
      <c r="O69" s="287"/>
    </row>
    <row r="70" spans="3:15" x14ac:dyDescent="0.2">
      <c r="O70" s="287"/>
    </row>
    <row r="71" spans="3:15" x14ac:dyDescent="0.2">
      <c r="O71" s="287"/>
    </row>
    <row r="72" spans="3:15" x14ac:dyDescent="0.2">
      <c r="O72" s="287"/>
    </row>
    <row r="73" spans="3:15" x14ac:dyDescent="0.2">
      <c r="O73" s="287"/>
    </row>
    <row r="83" spans="4:13" x14ac:dyDescent="0.2">
      <c r="H83" s="68"/>
      <c r="I83" s="68"/>
      <c r="J83" s="68"/>
      <c r="K83" s="68"/>
      <c r="L83" s="68"/>
      <c r="M83" s="69"/>
    </row>
    <row r="84" spans="4:13" x14ac:dyDescent="0.2">
      <c r="D84" s="70"/>
    </row>
  </sheetData>
  <mergeCells count="7">
    <mergeCell ref="B54:G54"/>
    <mergeCell ref="O10:O11"/>
    <mergeCell ref="B9:B10"/>
    <mergeCell ref="N10:N11"/>
    <mergeCell ref="M10:M11"/>
    <mergeCell ref="E10:G10"/>
    <mergeCell ref="E9:G9"/>
  </mergeCells>
  <phoneticPr fontId="28" type="noConversion"/>
  <printOptions horizontalCentered="1"/>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N85"/>
  <sheetViews>
    <sheetView showGridLines="0" tabSelected="1" topLeftCell="B10" zoomScale="85" zoomScaleNormal="85" zoomScalePageLayoutView="85" workbookViewId="0">
      <selection activeCell="E51" sqref="E51:G51"/>
    </sheetView>
  </sheetViews>
  <sheetFormatPr baseColWidth="10" defaultColWidth="0" defaultRowHeight="12.75" outlineLevelRow="1" outlineLevelCol="1" x14ac:dyDescent="0.2"/>
  <cols>
    <col min="1" max="1" width="8.5703125" style="1" hidden="1" customWidth="1" outlineLevel="1"/>
    <col min="2" max="2" width="49.42578125" style="1" customWidth="1" collapsed="1"/>
    <col min="3" max="3" width="17.42578125" style="66" customWidth="1"/>
    <col min="4" max="4" width="21.140625" style="1" customWidth="1"/>
    <col min="5" max="6" width="15.5703125" style="1" bestFit="1" customWidth="1"/>
    <col min="7" max="7" width="14.42578125" style="260" customWidth="1"/>
    <col min="8" max="12" width="15" style="1" customWidth="1"/>
    <col min="13" max="14" width="17.42578125" style="1" customWidth="1"/>
    <col min="15" max="15" width="19.42578125" style="6" customWidth="1"/>
    <col min="16" max="16" width="17.7109375" style="1" customWidth="1"/>
    <col min="17" max="17" width="17.42578125" style="10" hidden="1" customWidth="1"/>
    <col min="18" max="18" width="22.42578125" style="10" hidden="1" customWidth="1"/>
    <col min="19" max="40" width="11.42578125" style="5" hidden="1" customWidth="1"/>
    <col min="41" max="16384" width="0" style="5" hidden="1"/>
  </cols>
  <sheetData>
    <row r="1" spans="1:19" ht="13.5" outlineLevel="1" thickBot="1" x14ac:dyDescent="0.25">
      <c r="B1" s="2" t="s">
        <v>18</v>
      </c>
      <c r="C1" s="3"/>
      <c r="D1" s="4"/>
      <c r="E1" s="5"/>
      <c r="F1" s="5"/>
      <c r="G1" s="251"/>
    </row>
    <row r="2" spans="1:19" ht="13.5" outlineLevel="1" thickBot="1" x14ac:dyDescent="0.25">
      <c r="B2" s="8"/>
      <c r="C2" s="3"/>
      <c r="D2" s="4"/>
      <c r="E2" s="5"/>
      <c r="F2" s="5"/>
      <c r="G2" s="251"/>
      <c r="P2" s="9"/>
      <c r="S2" s="10"/>
    </row>
    <row r="3" spans="1:19" ht="12.75" customHeight="1" outlineLevel="1" x14ac:dyDescent="0.25">
      <c r="B3" s="11" t="s">
        <v>1</v>
      </c>
      <c r="C3" s="12"/>
      <c r="D3" s="13" t="s">
        <v>63</v>
      </c>
      <c r="E3" s="76"/>
      <c r="F3" s="76"/>
      <c r="G3" s="252"/>
    </row>
    <row r="4" spans="1:19" ht="12.75" customHeight="1" outlineLevel="1" x14ac:dyDescent="0.25">
      <c r="B4" s="14" t="s">
        <v>2</v>
      </c>
      <c r="C4" s="15"/>
      <c r="D4" s="16" t="s">
        <v>64</v>
      </c>
      <c r="E4" s="76"/>
      <c r="F4" s="76"/>
      <c r="G4" s="252"/>
    </row>
    <row r="5" spans="1:19" ht="12.75" customHeight="1" outlineLevel="1" x14ac:dyDescent="0.25">
      <c r="B5" s="17" t="s">
        <v>3</v>
      </c>
      <c r="C5" s="15"/>
      <c r="D5" s="16" t="str">
        <f>'THP DR'!B7</f>
        <v>TR14GTM15001</v>
      </c>
      <c r="E5" s="76"/>
      <c r="F5" s="76"/>
      <c r="G5" s="252"/>
    </row>
    <row r="6" spans="1:19" ht="12.75" customHeight="1" outlineLevel="1" x14ac:dyDescent="0.25">
      <c r="B6" s="14" t="s">
        <v>4</v>
      </c>
      <c r="C6" s="15"/>
      <c r="D6" s="326">
        <v>43920</v>
      </c>
      <c r="E6" s="80"/>
      <c r="F6" s="80"/>
      <c r="G6" s="252"/>
      <c r="P6" s="7"/>
      <c r="S6" s="10"/>
    </row>
    <row r="7" spans="1:19" ht="13.5" customHeight="1" outlineLevel="1" thickBot="1" x14ac:dyDescent="0.25">
      <c r="B7" s="18" t="s">
        <v>5</v>
      </c>
      <c r="C7" s="19"/>
      <c r="D7" s="188">
        <v>16</v>
      </c>
      <c r="E7" s="304"/>
      <c r="F7" s="304"/>
      <c r="G7" s="252"/>
      <c r="P7" s="20"/>
    </row>
    <row r="8" spans="1:19" ht="12.75" customHeight="1" outlineLevel="1" x14ac:dyDescent="0.2">
      <c r="B8" s="5"/>
      <c r="C8" s="21"/>
      <c r="D8" s="22"/>
      <c r="E8" s="22"/>
      <c r="F8" s="22"/>
      <c r="G8" s="253"/>
      <c r="P8" s="20"/>
    </row>
    <row r="9" spans="1:19" ht="12.75" customHeight="1" outlineLevel="1" x14ac:dyDescent="0.2">
      <c r="B9" s="23"/>
      <c r="C9" s="23"/>
      <c r="D9" s="23"/>
      <c r="E9" s="23"/>
      <c r="F9" s="23"/>
      <c r="G9" s="254"/>
      <c r="O9" s="24"/>
      <c r="P9" s="20"/>
    </row>
    <row r="10" spans="1:19" s="321" customFormat="1" ht="13.5" customHeight="1" outlineLevel="1" x14ac:dyDescent="0.2">
      <c r="A10" s="25"/>
      <c r="B10" s="26"/>
      <c r="C10" s="27"/>
      <c r="D10" s="28"/>
      <c r="E10" s="28"/>
      <c r="F10" s="28"/>
      <c r="G10" s="255"/>
      <c r="H10" s="25"/>
      <c r="I10" s="25"/>
      <c r="J10" s="25"/>
      <c r="K10" s="25"/>
      <c r="L10" s="25"/>
      <c r="M10" s="25"/>
      <c r="N10" s="25"/>
      <c r="O10" s="24"/>
      <c r="P10" s="20"/>
      <c r="Q10" s="10"/>
      <c r="R10" s="10"/>
    </row>
    <row r="11" spans="1:19" ht="15.75" outlineLevel="1" x14ac:dyDescent="0.2">
      <c r="A11" s="5"/>
      <c r="B11" s="477" t="s">
        <v>19</v>
      </c>
      <c r="C11" s="29" t="s">
        <v>7</v>
      </c>
      <c r="D11" s="30" t="s">
        <v>8</v>
      </c>
      <c r="E11" s="489" t="s">
        <v>9</v>
      </c>
      <c r="F11" s="490"/>
      <c r="G11" s="490"/>
      <c r="H11" s="226"/>
      <c r="I11" s="226"/>
      <c r="J11" s="226"/>
      <c r="K11" s="226"/>
      <c r="L11" s="226"/>
      <c r="M11" s="31" t="s">
        <v>10</v>
      </c>
      <c r="N11" s="31" t="s">
        <v>10</v>
      </c>
      <c r="O11" s="31" t="s">
        <v>11</v>
      </c>
      <c r="P11" s="32"/>
      <c r="Q11" s="5"/>
      <c r="R11" s="5"/>
    </row>
    <row r="12" spans="1:19" ht="87" customHeight="1" x14ac:dyDescent="0.2">
      <c r="A12" s="5"/>
      <c r="B12" s="477"/>
      <c r="C12" s="33" t="s">
        <v>202</v>
      </c>
      <c r="D12" s="34" t="s">
        <v>236</v>
      </c>
      <c r="E12" s="486" t="str">
        <f>"Grant Quarter #"&amp;$D$7</f>
        <v>Grant Quarter #16</v>
      </c>
      <c r="F12" s="487"/>
      <c r="G12" s="488"/>
      <c r="H12" s="319" t="s">
        <v>199</v>
      </c>
      <c r="I12" s="341" t="s">
        <v>250</v>
      </c>
      <c r="J12" s="341" t="s">
        <v>251</v>
      </c>
      <c r="K12" s="341" t="s">
        <v>267</v>
      </c>
      <c r="L12" s="370" t="s">
        <v>268</v>
      </c>
      <c r="M12" s="484" t="s">
        <v>20</v>
      </c>
      <c r="N12" s="485" t="s">
        <v>102</v>
      </c>
      <c r="O12" s="483" t="s">
        <v>15</v>
      </c>
      <c r="P12" s="35"/>
      <c r="Q12" s="5"/>
      <c r="R12" s="5"/>
    </row>
    <row r="13" spans="1:19" ht="25.5" x14ac:dyDescent="0.2">
      <c r="A13" s="5"/>
      <c r="B13" s="38" t="s">
        <v>16</v>
      </c>
      <c r="C13" s="39" t="s">
        <v>272</v>
      </c>
      <c r="D13" s="40" t="s">
        <v>200</v>
      </c>
      <c r="E13" s="261" t="s">
        <v>273</v>
      </c>
      <c r="F13" s="261" t="s">
        <v>274</v>
      </c>
      <c r="G13" s="261" t="s">
        <v>275</v>
      </c>
      <c r="H13" s="319" t="s">
        <v>233</v>
      </c>
      <c r="I13" s="341" t="s">
        <v>247</v>
      </c>
      <c r="J13" s="341" t="s">
        <v>248</v>
      </c>
      <c r="K13" s="341" t="s">
        <v>249</v>
      </c>
      <c r="L13" s="370" t="s">
        <v>233</v>
      </c>
      <c r="M13" s="484"/>
      <c r="N13" s="485"/>
      <c r="O13" s="483"/>
      <c r="P13" s="35"/>
      <c r="Q13" s="5"/>
      <c r="R13" s="5"/>
    </row>
    <row r="14" spans="1:19" s="322" customFormat="1" ht="15" x14ac:dyDescent="0.25">
      <c r="A14"/>
      <c r="B14" s="187" t="s">
        <v>85</v>
      </c>
      <c r="C14" s="187" t="s">
        <v>86</v>
      </c>
      <c r="D14" s="187" t="s">
        <v>87</v>
      </c>
      <c r="E14" s="256" t="s">
        <v>88</v>
      </c>
      <c r="F14" s="256" t="s">
        <v>89</v>
      </c>
      <c r="G14" s="250" t="s">
        <v>90</v>
      </c>
      <c r="H14" s="250" t="s">
        <v>91</v>
      </c>
      <c r="I14" s="256" t="s">
        <v>252</v>
      </c>
      <c r="J14" s="250" t="s">
        <v>253</v>
      </c>
      <c r="K14" s="256" t="s">
        <v>254</v>
      </c>
      <c r="L14" s="256" t="s">
        <v>264</v>
      </c>
      <c r="M14" s="187" t="s">
        <v>92</v>
      </c>
      <c r="N14" s="193" t="s">
        <v>93</v>
      </c>
      <c r="O14" s="187" t="s">
        <v>94</v>
      </c>
      <c r="P14" s="35"/>
    </row>
    <row r="15" spans="1:19" x14ac:dyDescent="0.2">
      <c r="A15" s="5"/>
      <c r="B15" s="42"/>
      <c r="C15" s="43"/>
      <c r="D15" s="42"/>
      <c r="E15" s="257"/>
      <c r="F15" s="257"/>
      <c r="G15" s="257"/>
      <c r="H15" s="42"/>
      <c r="I15" s="42"/>
      <c r="J15" s="42"/>
      <c r="K15" s="42"/>
      <c r="L15" s="42"/>
      <c r="M15" s="42"/>
      <c r="N15" s="42"/>
      <c r="O15" s="288"/>
      <c r="P15" s="35"/>
      <c r="Q15" s="5"/>
      <c r="R15" s="5"/>
    </row>
    <row r="16" spans="1:19" x14ac:dyDescent="0.2">
      <c r="A16" s="5"/>
      <c r="B16" s="44" t="s">
        <v>67</v>
      </c>
      <c r="C16" s="45"/>
      <c r="D16" s="46"/>
      <c r="E16" s="258"/>
      <c r="F16" s="258"/>
      <c r="G16" s="258"/>
      <c r="H16" s="46"/>
      <c r="I16" s="46"/>
      <c r="J16" s="46"/>
      <c r="K16" s="46"/>
      <c r="L16" s="46"/>
      <c r="M16" s="47"/>
      <c r="N16" s="194"/>
      <c r="O16" s="289"/>
      <c r="P16" s="35"/>
      <c r="Q16" s="5"/>
      <c r="R16" s="5"/>
    </row>
    <row r="17" spans="1:18" s="203" customFormat="1" outlineLevel="1" x14ac:dyDescent="0.2">
      <c r="A17" s="202"/>
      <c r="B17" s="49" t="s">
        <v>68</v>
      </c>
      <c r="C17" s="195">
        <f>SUM(C18:C20)</f>
        <v>8632128.8300000019</v>
      </c>
      <c r="D17" s="195">
        <f>SUM(D18:D20)</f>
        <v>1206140.8203088737</v>
      </c>
      <c r="E17" s="195">
        <f>SUM(E18:E20)</f>
        <v>163872.45000000001</v>
      </c>
      <c r="F17" s="195">
        <f t="shared" ref="F17:G17" si="0">SUM(F18:F20)</f>
        <v>0</v>
      </c>
      <c r="G17" s="195">
        <f t="shared" si="0"/>
        <v>518294.61030887347</v>
      </c>
      <c r="H17" s="195">
        <f t="shared" ref="H17" si="1">SUM(H18:H20)</f>
        <v>682167.06030887342</v>
      </c>
      <c r="I17" s="195">
        <f t="shared" ref="I17:K17" si="2">SUM(I18:I20)</f>
        <v>219917.29</v>
      </c>
      <c r="J17" s="195">
        <f t="shared" si="2"/>
        <v>1243809.17</v>
      </c>
      <c r="K17" s="195">
        <f t="shared" si="2"/>
        <v>2.8893175296772503E-2</v>
      </c>
      <c r="L17" s="195">
        <f t="shared" ref="L17" si="3">SUM(L18:L20)</f>
        <v>0</v>
      </c>
      <c r="M17" s="195">
        <f>SUM(M18:M20)</f>
        <v>11984163.199510925</v>
      </c>
      <c r="N17" s="197">
        <f>'QFR - B'!I15</f>
        <v>12000000</v>
      </c>
      <c r="O17" s="277">
        <f>N17-M17</f>
        <v>15836.800489075482</v>
      </c>
      <c r="P17" s="35">
        <f>+O17-'DFP-Com'!O15</f>
        <v>4.8907473683357239E-4</v>
      </c>
    </row>
    <row r="18" spans="1:18" s="203" customFormat="1" outlineLevel="1" x14ac:dyDescent="0.2">
      <c r="A18" s="202"/>
      <c r="B18" s="199" t="s">
        <v>95</v>
      </c>
      <c r="C18" s="292">
        <v>5519837.6100000013</v>
      </c>
      <c r="D18" s="292">
        <v>518294.61030887347</v>
      </c>
      <c r="E18" s="292">
        <v>0</v>
      </c>
      <c r="F18" s="292">
        <v>0</v>
      </c>
      <c r="G18" s="292">
        <v>518294.61030887347</v>
      </c>
      <c r="H18" s="292">
        <f>SUMIF('Contract level'!$A:$A,"="&amp;'DFP-Com'!$A16,'Contract level'!AR:AR)</f>
        <v>518294.61030887347</v>
      </c>
      <c r="I18" s="292">
        <f>SUMIF('Contract level'!$A:$A,"="&amp;'DFP-Com'!$A16,'Contract level'!AS:AS)</f>
        <v>0</v>
      </c>
      <c r="J18" s="292">
        <f>SUMIF('Contract level'!$A:$A,"="&amp;'DFP-Com'!$A16,'Contract level'!AT:AT)</f>
        <v>1036589.23</v>
      </c>
      <c r="K18" s="292">
        <f>SUMIF('Contract level'!$A:$A,"="&amp;'DFP-Com'!$A16,'Contract level'!AU:AU)</f>
        <v>2.8893175296772503E-2</v>
      </c>
      <c r="L18" s="292">
        <f>SUMIF('Contract level'!$A:$A,"="&amp;'DFP-Com'!$A16,'Contract level'!AV:AV)</f>
        <v>0</v>
      </c>
      <c r="M18" s="292">
        <f>SUM(H18:L18)+D18+C18</f>
        <v>7593016.0895109233</v>
      </c>
      <c r="N18" s="201">
        <v>0</v>
      </c>
      <c r="O18" s="278"/>
      <c r="P18" s="35">
        <f>+O18-'DFP-Com'!O16</f>
        <v>0</v>
      </c>
    </row>
    <row r="19" spans="1:18" s="203" customFormat="1" outlineLevel="1" x14ac:dyDescent="0.2">
      <c r="A19" s="202"/>
      <c r="B19" s="199" t="s">
        <v>96</v>
      </c>
      <c r="C19" s="292">
        <v>3111761.76</v>
      </c>
      <c r="D19" s="292">
        <v>687846.2100000002</v>
      </c>
      <c r="E19" s="292">
        <v>163872.45000000001</v>
      </c>
      <c r="F19" s="292">
        <v>0</v>
      </c>
      <c r="G19" s="292">
        <v>0</v>
      </c>
      <c r="H19" s="292">
        <f>SUMIF('Contract level'!$A:$A,"="&amp;'DFP-Com'!$A17,'Contract level'!AR:AR)</f>
        <v>163872.45000000001</v>
      </c>
      <c r="I19" s="292">
        <f>SUMIF('Contract level'!$A:$A,"="&amp;'DFP-Com'!$A17,'Contract level'!AS:AS)</f>
        <v>219917.29</v>
      </c>
      <c r="J19" s="292">
        <f>SUMIF('Contract level'!$A:$A,"="&amp;'DFP-Com'!$A17,'Contract level'!AT:AT)</f>
        <v>207219.94</v>
      </c>
      <c r="K19" s="292">
        <f>SUMIF('Contract level'!$A:$A,"="&amp;'DFP-Com'!$A17,'Contract level'!AU:AU)</f>
        <v>0</v>
      </c>
      <c r="L19" s="292">
        <f>SUMIF('Contract level'!$A:$A,"="&amp;'DFP-Com'!$A17,'Contract level'!AV:AV)</f>
        <v>0</v>
      </c>
      <c r="M19" s="292">
        <f>SUM(H19:L19)+D19+C19</f>
        <v>4390617.6500000004</v>
      </c>
      <c r="N19" s="201">
        <v>0</v>
      </c>
      <c r="O19" s="278"/>
      <c r="P19" s="35">
        <f>+O19-'DFP-Com'!O17</f>
        <v>0</v>
      </c>
    </row>
    <row r="20" spans="1:18" s="203" customFormat="1" outlineLevel="1" x14ac:dyDescent="0.2">
      <c r="A20" s="202"/>
      <c r="B20" s="199" t="s">
        <v>103</v>
      </c>
      <c r="C20" s="292">
        <v>529.46</v>
      </c>
      <c r="D20" s="292">
        <v>0</v>
      </c>
      <c r="E20" s="292">
        <v>0</v>
      </c>
      <c r="F20" s="292"/>
      <c r="G20" s="292"/>
      <c r="H20" s="292">
        <f>SUMIF('Contract level'!$A:$A,"="&amp;'DFP-Com'!$A18,'Contract level'!AR:AR)</f>
        <v>0</v>
      </c>
      <c r="I20" s="292">
        <f>SUMIF('Contract level'!$A:$A,"="&amp;'DFP-Com'!$A18,'Contract level'!AS:AS)</f>
        <v>0</v>
      </c>
      <c r="J20" s="292">
        <f>SUMIF('Contract level'!$A:$A,"="&amp;'DFP-Com'!$A18,'Contract level'!AT:AT)</f>
        <v>0</v>
      </c>
      <c r="K20" s="292">
        <f>SUMIF('Contract level'!$A:$A,"="&amp;'DFP-Com'!$A18,'Contract level'!AU:AU)</f>
        <v>0</v>
      </c>
      <c r="L20" s="292">
        <f>SUMIF('Contract level'!$A:$A,"="&amp;'DFP-Com'!$A18,'Contract level'!AV:AV)</f>
        <v>0</v>
      </c>
      <c r="M20" s="292">
        <f>SUM(H20:L20)+D20+C20</f>
        <v>529.46</v>
      </c>
      <c r="N20" s="201">
        <v>0</v>
      </c>
      <c r="O20" s="278"/>
      <c r="P20" s="35">
        <f>+O20-'DFP-Com'!O18</f>
        <v>0</v>
      </c>
    </row>
    <row r="21" spans="1:18" s="203" customFormat="1" ht="25.5" outlineLevel="1" x14ac:dyDescent="0.2">
      <c r="A21" s="202"/>
      <c r="B21" s="49" t="s">
        <v>69</v>
      </c>
      <c r="C21" s="195">
        <f>C22</f>
        <v>2398698.7800000003</v>
      </c>
      <c r="D21" s="195">
        <f>D22</f>
        <v>476298.26</v>
      </c>
      <c r="E21" s="195">
        <f t="shared" ref="E21:L21" si="4">E22</f>
        <v>398936.11999999994</v>
      </c>
      <c r="F21" s="195">
        <f t="shared" si="4"/>
        <v>273807.76999999996</v>
      </c>
      <c r="G21" s="195">
        <f t="shared" si="4"/>
        <v>402932.05</v>
      </c>
      <c r="H21" s="195">
        <f t="shared" si="4"/>
        <v>1075675.94</v>
      </c>
      <c r="I21" s="195">
        <f t="shared" si="4"/>
        <v>538969.02499999979</v>
      </c>
      <c r="J21" s="195">
        <f t="shared" si="4"/>
        <v>275760.25499991991</v>
      </c>
      <c r="K21" s="195">
        <f t="shared" si="4"/>
        <v>23279.75</v>
      </c>
      <c r="L21" s="195">
        <f t="shared" si="4"/>
        <v>0</v>
      </c>
      <c r="M21" s="195">
        <f>M22</f>
        <v>4788682.0099999197</v>
      </c>
      <c r="N21" s="197">
        <f>'QFR - B'!I16</f>
        <v>4300000</v>
      </c>
      <c r="O21" s="277">
        <f>N21-M21</f>
        <v>-488682.00999991968</v>
      </c>
      <c r="P21" s="35">
        <f>+O21-'DFP-Com'!O19</f>
        <v>-4.9999197944998741E-3</v>
      </c>
    </row>
    <row r="22" spans="1:18" s="203" customFormat="1" ht="12.95" customHeight="1" outlineLevel="1" x14ac:dyDescent="0.2">
      <c r="A22" s="202"/>
      <c r="B22" s="199" t="s">
        <v>104</v>
      </c>
      <c r="C22" s="292">
        <v>2398698.7800000003</v>
      </c>
      <c r="D22" s="292">
        <v>476298.26</v>
      </c>
      <c r="E22" s="292">
        <v>398936.11999999994</v>
      </c>
      <c r="F22" s="292">
        <v>273807.76999999996</v>
      </c>
      <c r="G22" s="292">
        <v>402932.05</v>
      </c>
      <c r="H22" s="292">
        <f>SUMIF('Contract level'!$A:$A,"="&amp;'DFP-Com'!$A20,'Contract level'!AR:AR)</f>
        <v>1075675.94</v>
      </c>
      <c r="I22" s="292">
        <f>SUMIF('Contract level'!$A:$A,"="&amp;'DFP-Com'!$A20,'Contract level'!AS:AS)</f>
        <v>538969.02499999979</v>
      </c>
      <c r="J22" s="292">
        <f>SUMIF('Contract level'!$A:$A,"="&amp;'DFP-Com'!$A20,'Contract level'!AT:AT)</f>
        <v>275760.25499991991</v>
      </c>
      <c r="K22" s="292">
        <f>SUMIF('Contract level'!$A:$A,"="&amp;'DFP-Com'!$A20,'Contract level'!AU:AU)</f>
        <v>23279.75</v>
      </c>
      <c r="L22" s="292">
        <f>SUMIF('Contract level'!$A:$A,"="&amp;'DFP-Com'!$A20,'Contract level'!AV:AV)</f>
        <v>0</v>
      </c>
      <c r="M22" s="292">
        <f>SUM(H22:L22)+D22+C22</f>
        <v>4788682.0099999197</v>
      </c>
      <c r="N22" s="201">
        <v>0</v>
      </c>
      <c r="O22" s="278"/>
      <c r="P22" s="35">
        <f>+O22-'DFP-Com'!O20</f>
        <v>0</v>
      </c>
    </row>
    <row r="23" spans="1:18" s="203" customFormat="1" outlineLevel="1" x14ac:dyDescent="0.2">
      <c r="A23" s="202"/>
      <c r="B23" s="49" t="s">
        <v>70</v>
      </c>
      <c r="C23" s="195">
        <f>SUM(C24:C26)</f>
        <v>2289389.7999999998</v>
      </c>
      <c r="D23" s="195">
        <f>SUM(D24:D26)</f>
        <v>435432.54</v>
      </c>
      <c r="E23" s="195">
        <f t="shared" ref="E23:M23" si="5">SUM(E24:E26)</f>
        <v>111197.04000000001</v>
      </c>
      <c r="F23" s="195">
        <f t="shared" si="5"/>
        <v>6510.17</v>
      </c>
      <c r="G23" s="195">
        <f t="shared" si="5"/>
        <v>8852.7999999999993</v>
      </c>
      <c r="H23" s="195">
        <f t="shared" ref="H23" si="6">SUM(H24:H26)</f>
        <v>126560.00392500067</v>
      </c>
      <c r="I23" s="195">
        <f t="shared" ref="I23:K23" si="7">SUM(I24:I26)</f>
        <v>172929.6400000001</v>
      </c>
      <c r="J23" s="195">
        <f t="shared" si="7"/>
        <v>20879.625</v>
      </c>
      <c r="K23" s="195">
        <f t="shared" si="7"/>
        <v>52895.052500000005</v>
      </c>
      <c r="L23" s="195">
        <f t="shared" ref="L23" si="8">SUM(L24:L26)</f>
        <v>0</v>
      </c>
      <c r="M23" s="195">
        <f t="shared" si="5"/>
        <v>3098086.6614250005</v>
      </c>
      <c r="N23" s="197">
        <f>'QFR - B'!I17</f>
        <v>3098100</v>
      </c>
      <c r="O23" s="277">
        <f>N23-M23</f>
        <v>13.338574999477714</v>
      </c>
      <c r="P23" s="35">
        <f>+O23-'DFP-Com'!O21</f>
        <v>6.0749994590878487E-3</v>
      </c>
    </row>
    <row r="24" spans="1:18" s="203" customFormat="1" ht="12.95" customHeight="1" outlineLevel="1" x14ac:dyDescent="0.2">
      <c r="A24" s="202"/>
      <c r="B24" s="199" t="s">
        <v>97</v>
      </c>
      <c r="C24" s="292">
        <v>2099093.15</v>
      </c>
      <c r="D24" s="292">
        <v>414635.68</v>
      </c>
      <c r="E24" s="292">
        <v>103658.96</v>
      </c>
      <c r="F24" s="292">
        <v>0</v>
      </c>
      <c r="G24" s="292">
        <v>0</v>
      </c>
      <c r="H24" s="292">
        <f>SUMIF('Contract level'!$A:$A,"="&amp;'DFP-Com'!$A22,'Contract level'!AR:AR)</f>
        <v>103658.96392500067</v>
      </c>
      <c r="I24" s="292">
        <f>SUMIF('Contract level'!$A:$A,"="&amp;'DFP-Com'!$A22,'Contract level'!AS:AS)</f>
        <v>155488.38000000009</v>
      </c>
      <c r="J24" s="292">
        <f>SUMIF('Contract level'!$A:$A,"="&amp;'DFP-Com'!$A22,'Contract level'!AT:AT)</f>
        <v>0</v>
      </c>
      <c r="K24" s="292">
        <f>SUMIF('Contract level'!$A:$A,"="&amp;'DFP-Com'!$A22,'Contract level'!AU:AU)</f>
        <v>0</v>
      </c>
      <c r="L24" s="292">
        <f>SUMIF('Contract level'!$A:$A,"="&amp;'DFP-Com'!$A22,'Contract level'!AV:AV)</f>
        <v>0</v>
      </c>
      <c r="M24" s="292">
        <f>SUM(H24:L24)+D24+C24</f>
        <v>2772876.1739250007</v>
      </c>
      <c r="N24" s="201">
        <v>0</v>
      </c>
      <c r="O24" s="278"/>
      <c r="P24" s="35">
        <f>+M24-'DFP-Com'!M22</f>
        <v>-6.0749994590878487E-3</v>
      </c>
    </row>
    <row r="25" spans="1:18" s="203" customFormat="1" ht="12.95" customHeight="1" outlineLevel="1" x14ac:dyDescent="0.2">
      <c r="A25" s="202"/>
      <c r="B25" s="199" t="s">
        <v>113</v>
      </c>
      <c r="C25" s="292">
        <v>189880.03999999998</v>
      </c>
      <c r="D25" s="292">
        <v>20796.86</v>
      </c>
      <c r="E25" s="292">
        <v>7538.08</v>
      </c>
      <c r="F25" s="292">
        <v>6510.17</v>
      </c>
      <c r="G25" s="292">
        <v>8852.7999999999993</v>
      </c>
      <c r="H25" s="292">
        <f>SUMIF('Contract level'!$A:$A,"="&amp;'DFP-Com'!$A23,'Contract level'!AR:AR)</f>
        <v>22901.040000000001</v>
      </c>
      <c r="I25" s="292">
        <f>SUMIF('Contract level'!$A:$A,"="&amp;'DFP-Com'!$A23,'Contract level'!AS:AS)</f>
        <v>17441.260000000002</v>
      </c>
      <c r="J25" s="292">
        <f>SUMIF('Contract level'!$A:$A,"="&amp;'DFP-Com'!$A23,'Contract level'!AT:AT)</f>
        <v>20879.625</v>
      </c>
      <c r="K25" s="292">
        <f>SUMIF('Contract level'!$A:$A,"="&amp;'DFP-Com'!$A23,'Contract level'!AU:AU)</f>
        <v>52895.052500000005</v>
      </c>
      <c r="L25" s="292">
        <f>SUMIF('Contract level'!$A:$A,"="&amp;'DFP-Com'!$A23,'Contract level'!AV:AV)</f>
        <v>0</v>
      </c>
      <c r="M25" s="292">
        <f>SUM(H25:L25)+D25+C25</f>
        <v>324793.8775</v>
      </c>
      <c r="N25" s="201">
        <v>0</v>
      </c>
      <c r="O25" s="278"/>
      <c r="P25" s="35">
        <f>+M25-'DFP-Com'!M23</f>
        <v>0</v>
      </c>
    </row>
    <row r="26" spans="1:18" s="203" customFormat="1" outlineLevel="1" x14ac:dyDescent="0.2">
      <c r="A26" s="202"/>
      <c r="B26" s="199" t="s">
        <v>112</v>
      </c>
      <c r="C26" s="292">
        <v>416.60999999999967</v>
      </c>
      <c r="D26" s="292">
        <v>0</v>
      </c>
      <c r="E26" s="292">
        <v>0</v>
      </c>
      <c r="F26" s="292">
        <v>0</v>
      </c>
      <c r="G26" s="292">
        <v>0</v>
      </c>
      <c r="H26" s="292">
        <f>SUMIF('Contract level'!$A:$A,"="&amp;'DFP-Com'!$A24,'Contract level'!AR:AR)</f>
        <v>0</v>
      </c>
      <c r="I26" s="292">
        <f>SUMIF('Contract level'!$A:$A,"="&amp;'DFP-Com'!$A24,'Contract level'!AS:AS)</f>
        <v>0</v>
      </c>
      <c r="J26" s="292">
        <f>SUMIF('Contract level'!$A:$A,"="&amp;'DFP-Com'!$A24,'Contract level'!AT:AT)</f>
        <v>0</v>
      </c>
      <c r="K26" s="292">
        <f>SUMIF('Contract level'!$A:$A,"="&amp;'DFP-Com'!$A24,'Contract level'!AU:AU)</f>
        <v>0</v>
      </c>
      <c r="L26" s="292">
        <f>SUMIF('Contract level'!$A:$A,"="&amp;'DFP-Com'!$A24,'Contract level'!AV:AV)</f>
        <v>0</v>
      </c>
      <c r="M26" s="292">
        <f>SUM(H26:L26)+D26+C26</f>
        <v>416.60999999999967</v>
      </c>
      <c r="N26" s="201">
        <v>0</v>
      </c>
      <c r="O26" s="278"/>
      <c r="P26" s="35">
        <f>+M26-'DFP-Com'!M24</f>
        <v>0</v>
      </c>
    </row>
    <row r="27" spans="1:18" s="203" customFormat="1" x14ac:dyDescent="0.2">
      <c r="A27" s="202"/>
      <c r="B27" s="50" t="s">
        <v>61</v>
      </c>
      <c r="C27" s="196">
        <f>C23+C21+C17</f>
        <v>13320217.410000002</v>
      </c>
      <c r="D27" s="196">
        <f>D23+D21+D17</f>
        <v>2117871.6203088737</v>
      </c>
      <c r="E27" s="196">
        <f t="shared" ref="E27:M27" si="9">E23+E21+E17</f>
        <v>674005.60999999987</v>
      </c>
      <c r="F27" s="196">
        <f t="shared" si="9"/>
        <v>280317.93999999994</v>
      </c>
      <c r="G27" s="196">
        <f t="shared" si="9"/>
        <v>930079.46030887344</v>
      </c>
      <c r="H27" s="196">
        <f t="shared" ref="H27" si="10">H23+H21+H17</f>
        <v>1884403.0042338741</v>
      </c>
      <c r="I27" s="196">
        <f t="shared" ref="I27:K27" si="11">I23+I21+I17</f>
        <v>931815.95499999996</v>
      </c>
      <c r="J27" s="196">
        <f t="shared" si="11"/>
        <v>1540449.0499999197</v>
      </c>
      <c r="K27" s="196">
        <f t="shared" si="11"/>
        <v>76174.831393175307</v>
      </c>
      <c r="L27" s="196">
        <f t="shared" ref="L27" si="12">L23+L21+L17</f>
        <v>0</v>
      </c>
      <c r="M27" s="196">
        <f t="shared" si="9"/>
        <v>19870931.870935842</v>
      </c>
      <c r="N27" s="198">
        <f>N17+N21+N23</f>
        <v>19398100</v>
      </c>
      <c r="O27" s="279">
        <f>O17+O21+O23</f>
        <v>-472831.87093584472</v>
      </c>
      <c r="P27" s="35">
        <f>+O27-'DFP-Com'!O25</f>
        <v>1.5641544014215469E-3</v>
      </c>
    </row>
    <row r="28" spans="1:18" x14ac:dyDescent="0.2">
      <c r="A28" s="48"/>
      <c r="B28" s="52"/>
      <c r="C28" s="53"/>
      <c r="D28" s="54"/>
      <c r="E28" s="213"/>
      <c r="F28" s="213"/>
      <c r="G28" s="213"/>
      <c r="H28" s="213"/>
      <c r="I28" s="213"/>
      <c r="J28" s="213"/>
      <c r="K28" s="213"/>
      <c r="L28" s="213"/>
      <c r="M28" s="213"/>
      <c r="N28" s="262"/>
      <c r="O28" s="280"/>
      <c r="P28" s="35">
        <f>+O28-'DFP-Com'!O26</f>
        <v>0</v>
      </c>
      <c r="Q28" s="5"/>
      <c r="R28" s="5"/>
    </row>
    <row r="29" spans="1:18" x14ac:dyDescent="0.2">
      <c r="A29" s="48"/>
      <c r="B29" s="44" t="s">
        <v>73</v>
      </c>
      <c r="C29" s="55"/>
      <c r="D29" s="56"/>
      <c r="E29" s="214"/>
      <c r="F29" s="214"/>
      <c r="G29" s="214"/>
      <c r="H29" s="214"/>
      <c r="I29" s="214"/>
      <c r="J29" s="214"/>
      <c r="K29" s="214"/>
      <c r="L29" s="214"/>
      <c r="M29" s="214"/>
      <c r="N29" s="263"/>
      <c r="O29" s="281"/>
      <c r="P29" s="35">
        <f>+O29-'DFP-Com'!O27</f>
        <v>0</v>
      </c>
      <c r="Q29" s="5"/>
      <c r="R29" s="5"/>
    </row>
    <row r="30" spans="1:18" outlineLevel="1" x14ac:dyDescent="0.2">
      <c r="A30" s="48"/>
      <c r="B30" s="49" t="s">
        <v>114</v>
      </c>
      <c r="C30" s="41">
        <f t="shared" ref="C30:M30" si="13">SUM(C31:C31)</f>
        <v>481881.96</v>
      </c>
      <c r="D30" s="395">
        <f t="shared" si="13"/>
        <v>34695.199999999997</v>
      </c>
      <c r="E30" s="216">
        <f t="shared" si="13"/>
        <v>14187.36</v>
      </c>
      <c r="F30" s="216">
        <f t="shared" si="13"/>
        <v>38962.400000000001</v>
      </c>
      <c r="G30" s="216">
        <f t="shared" si="13"/>
        <v>75733.114545454548</v>
      </c>
      <c r="H30" s="216">
        <f t="shared" si="13"/>
        <v>128882.87454545454</v>
      </c>
      <c r="I30" s="216">
        <f t="shared" si="13"/>
        <v>219689.66341818182</v>
      </c>
      <c r="J30" s="216">
        <f t="shared" si="13"/>
        <v>217822.82341818183</v>
      </c>
      <c r="K30" s="216">
        <f t="shared" si="13"/>
        <v>126282.31861818179</v>
      </c>
      <c r="L30" s="216">
        <f t="shared" si="13"/>
        <v>0</v>
      </c>
      <c r="M30" s="216">
        <f t="shared" si="13"/>
        <v>1209254.8399999999</v>
      </c>
      <c r="N30" s="197">
        <f>'QFR - B'!I20</f>
        <v>800000</v>
      </c>
      <c r="O30" s="277">
        <f>N30-M30</f>
        <v>-409254.83999999985</v>
      </c>
      <c r="P30" s="415">
        <f>+O30-'DFP-Com'!O28</f>
        <v>0</v>
      </c>
      <c r="Q30" s="5"/>
      <c r="R30" s="5"/>
    </row>
    <row r="31" spans="1:18" s="203" customFormat="1" outlineLevel="1" x14ac:dyDescent="0.2">
      <c r="A31" s="202"/>
      <c r="B31" s="199" t="s">
        <v>107</v>
      </c>
      <c r="C31" s="206">
        <v>481881.96</v>
      </c>
      <c r="D31" s="372">
        <v>34695.199999999997</v>
      </c>
      <c r="E31" s="292">
        <v>14187.36</v>
      </c>
      <c r="F31" s="292">
        <v>38962.400000000001</v>
      </c>
      <c r="G31" s="292">
        <v>75733.114545454548</v>
      </c>
      <c r="H31" s="292">
        <f>SUMIF('Contract level'!$A:$A,"="&amp;'DFP-Com'!$A29,'Contract level'!AR:AR)</f>
        <v>128882.87454545454</v>
      </c>
      <c r="I31" s="292">
        <f>SUMIF('Contract level'!$A:$A,"="&amp;'DFP-Com'!$A29,'Contract level'!AS:AS)</f>
        <v>219689.66341818182</v>
      </c>
      <c r="J31" s="292">
        <f>SUMIF('Contract level'!$A:$A,"="&amp;'DFP-Com'!$A29,'Contract level'!AT:AT)</f>
        <v>217822.82341818183</v>
      </c>
      <c r="K31" s="292">
        <f>SUMIF('Contract level'!$A:$A,"="&amp;'DFP-Com'!$A29,'Contract level'!AU:AU)</f>
        <v>126282.31861818179</v>
      </c>
      <c r="L31" s="292">
        <f>SUMIF('Contract level'!$A:$A,"="&amp;'DFP-Com'!$A29,'Contract level'!AV:AV)</f>
        <v>0</v>
      </c>
      <c r="M31" s="292">
        <f>SUM(H31:L31)+D31+C31</f>
        <v>1209254.8399999999</v>
      </c>
      <c r="N31" s="201"/>
      <c r="O31" s="278"/>
      <c r="P31" s="35">
        <f>+O31-'DFP-Com'!O29</f>
        <v>0</v>
      </c>
    </row>
    <row r="32" spans="1:18" outlineLevel="1" x14ac:dyDescent="0.2">
      <c r="A32" s="48"/>
      <c r="B32" s="49" t="s">
        <v>77</v>
      </c>
      <c r="C32" s="340">
        <f>SUM(C33:C35)</f>
        <v>1548175.27</v>
      </c>
      <c r="D32" s="340">
        <f>SUM(D33:D35)</f>
        <v>0</v>
      </c>
      <c r="E32" s="195">
        <f t="shared" ref="E32:G32" si="14">SUM(E33:E35)</f>
        <v>0</v>
      </c>
      <c r="F32" s="195">
        <f t="shared" si="14"/>
        <v>17000</v>
      </c>
      <c r="G32" s="195">
        <f t="shared" si="14"/>
        <v>0</v>
      </c>
      <c r="H32" s="195">
        <f t="shared" ref="H32" si="15">SUM(H33:H35)</f>
        <v>17000</v>
      </c>
      <c r="I32" s="195">
        <f t="shared" ref="I32:K32" si="16">SUM(I33:I35)</f>
        <v>17245.170000000013</v>
      </c>
      <c r="J32" s="195">
        <f t="shared" si="16"/>
        <v>184550</v>
      </c>
      <c r="K32" s="195">
        <f t="shared" si="16"/>
        <v>0</v>
      </c>
      <c r="L32" s="195">
        <f t="shared" ref="L32" si="17">SUM(L33:L35)</f>
        <v>0</v>
      </c>
      <c r="M32" s="195">
        <f>SUM(M33:M35)</f>
        <v>1766970.44</v>
      </c>
      <c r="N32" s="197">
        <f>'QFR - B'!I21</f>
        <v>3307400</v>
      </c>
      <c r="O32" s="277">
        <f>N32-M32</f>
        <v>1540429.56</v>
      </c>
      <c r="P32" s="35"/>
      <c r="Q32" s="5"/>
      <c r="R32" s="5"/>
    </row>
    <row r="33" spans="1:18" s="203" customFormat="1" outlineLevel="1" x14ac:dyDescent="0.2">
      <c r="A33" s="202"/>
      <c r="B33" s="199" t="s">
        <v>108</v>
      </c>
      <c r="C33" s="372">
        <v>477302.49999999988</v>
      </c>
      <c r="D33" s="292">
        <v>0</v>
      </c>
      <c r="E33" s="292"/>
      <c r="F33" s="292">
        <v>17000</v>
      </c>
      <c r="G33" s="292">
        <v>0</v>
      </c>
      <c r="H33" s="292">
        <f>SUMIF('Contract level'!$A:$A,"="&amp;'DFP-Com'!$A31,'Contract level'!AR:AR)</f>
        <v>17000</v>
      </c>
      <c r="I33" s="292">
        <f>SUMIF('Contract level'!$A:$A,"="&amp;'DFP-Com'!$A31,'Contract level'!AS:AS)</f>
        <v>17245.170000000013</v>
      </c>
      <c r="J33" s="292">
        <f>SUMIF('Contract level'!$A:$A,"="&amp;'DFP-Com'!$A31,'Contract level'!AT:AT)</f>
        <v>184550</v>
      </c>
      <c r="K33" s="292">
        <f>SUMIF('Contract level'!$A:$A,"="&amp;'DFP-Com'!$A31,'Contract level'!AU:AU)</f>
        <v>0</v>
      </c>
      <c r="L33" s="292">
        <f>SUMIF('Contract level'!$A:$A,"="&amp;'DFP-Com'!$A31,'Contract level'!AV:AV)</f>
        <v>0</v>
      </c>
      <c r="M33" s="292">
        <f>SUM(H33:L33)+D33+C33</f>
        <v>696097.66999999993</v>
      </c>
      <c r="N33" s="201"/>
      <c r="O33" s="278"/>
      <c r="P33" s="35"/>
    </row>
    <row r="34" spans="1:18" s="203" customFormat="1" outlineLevel="1" x14ac:dyDescent="0.2">
      <c r="A34" s="202"/>
      <c r="B34" s="199" t="s">
        <v>109</v>
      </c>
      <c r="C34" s="372">
        <v>1030229</v>
      </c>
      <c r="D34" s="372">
        <v>0</v>
      </c>
      <c r="E34" s="292">
        <v>0</v>
      </c>
      <c r="F34" s="292">
        <v>0</v>
      </c>
      <c r="G34" s="292"/>
      <c r="H34" s="292">
        <f>SUMIF('Contract level'!$A:$A,"="&amp;'DFP-Com'!$A32,'Contract level'!AR:AR)</f>
        <v>0</v>
      </c>
      <c r="I34" s="292">
        <f>SUMIF('Contract level'!$A:$A,"="&amp;'DFP-Com'!$A32,'Contract level'!AS:AS)</f>
        <v>0</v>
      </c>
      <c r="J34" s="292">
        <f>SUMIF('Contract level'!$A:$A,"="&amp;'DFP-Com'!$A32,'Contract level'!AT:AT)</f>
        <v>0</v>
      </c>
      <c r="K34" s="292">
        <f>SUMIF('Contract level'!$A:$A,"="&amp;'DFP-Com'!$A32,'Contract level'!AU:AU)</f>
        <v>0</v>
      </c>
      <c r="L34" s="292">
        <f>SUMIF('Contract level'!$A:$A,"="&amp;'DFP-Com'!$A32,'Contract level'!AV:AV)</f>
        <v>0</v>
      </c>
      <c r="M34" s="292">
        <f>SUM(H34:L34)+D34+C34</f>
        <v>1030229</v>
      </c>
      <c r="N34" s="201"/>
      <c r="O34" s="278"/>
      <c r="P34" s="35">
        <f>+O34-'DFP-Com'!O32</f>
        <v>0</v>
      </c>
    </row>
    <row r="35" spans="1:18" s="203" customFormat="1" outlineLevel="1" x14ac:dyDescent="0.2">
      <c r="A35" s="202"/>
      <c r="B35" s="199" t="s">
        <v>111</v>
      </c>
      <c r="C35" s="372">
        <v>40643.769999999997</v>
      </c>
      <c r="D35" s="372">
        <v>0</v>
      </c>
      <c r="E35" s="292"/>
      <c r="F35" s="292">
        <v>0</v>
      </c>
      <c r="G35" s="292">
        <v>0</v>
      </c>
      <c r="H35" s="292">
        <f>SUMIF('Contract level'!$A:$A,"="&amp;'DFP-Com'!$A33,'Contract level'!AR:AR)</f>
        <v>0</v>
      </c>
      <c r="I35" s="292">
        <f>SUMIF('Contract level'!$A:$A,"="&amp;'DFP-Com'!$A33,'Contract level'!AS:AS)</f>
        <v>0</v>
      </c>
      <c r="J35" s="292">
        <f>SUMIF('Contract level'!$A:$A,"="&amp;'DFP-Com'!$A33,'Contract level'!AT:AT)</f>
        <v>0</v>
      </c>
      <c r="K35" s="292">
        <f>SUMIF('Contract level'!$A:$A,"="&amp;'DFP-Com'!$A33,'Contract level'!AU:AU)</f>
        <v>0</v>
      </c>
      <c r="L35" s="292">
        <f>SUMIF('Contract level'!$A:$A,"="&amp;'DFP-Com'!$A33,'Contract level'!AV:AV)</f>
        <v>0</v>
      </c>
      <c r="M35" s="292">
        <f>SUM(H35:L35)+D35+C35</f>
        <v>40643.769999999997</v>
      </c>
      <c r="N35" s="201"/>
      <c r="O35" s="278"/>
      <c r="P35" s="35">
        <f>+O35-'DFP-Com'!O33</f>
        <v>0</v>
      </c>
    </row>
    <row r="36" spans="1:18" x14ac:dyDescent="0.2">
      <c r="A36" s="48"/>
      <c r="B36" s="57" t="s">
        <v>62</v>
      </c>
      <c r="C36" s="51">
        <f>C32+C30</f>
        <v>2030057.23</v>
      </c>
      <c r="D36" s="394">
        <f>D32+D30</f>
        <v>34695.199999999997</v>
      </c>
      <c r="E36" s="196">
        <f t="shared" ref="E36:O36" si="18">E32+E30</f>
        <v>14187.36</v>
      </c>
      <c r="F36" s="196">
        <f t="shared" si="18"/>
        <v>55962.400000000001</v>
      </c>
      <c r="G36" s="196">
        <f t="shared" si="18"/>
        <v>75733.114545454548</v>
      </c>
      <c r="H36" s="196">
        <f t="shared" ref="H36" si="19">H32+H30</f>
        <v>145882.87454545454</v>
      </c>
      <c r="I36" s="196">
        <f t="shared" ref="I36:K36" si="20">I32+I30</f>
        <v>236934.83341818184</v>
      </c>
      <c r="J36" s="196">
        <f t="shared" si="20"/>
        <v>402372.82341818186</v>
      </c>
      <c r="K36" s="196">
        <f t="shared" si="20"/>
        <v>126282.31861818179</v>
      </c>
      <c r="L36" s="196">
        <f t="shared" ref="L36" si="21">L32+L30</f>
        <v>0</v>
      </c>
      <c r="M36" s="196">
        <f>M32+M30</f>
        <v>2976225.2799999998</v>
      </c>
      <c r="N36" s="196">
        <f t="shared" si="18"/>
        <v>4107400</v>
      </c>
      <c r="O36" s="283">
        <f t="shared" si="18"/>
        <v>1131174.7200000002</v>
      </c>
      <c r="P36" s="35">
        <f>+O36-'DFP-Com'!O34</f>
        <v>0</v>
      </c>
      <c r="Q36" s="5"/>
      <c r="R36" s="5"/>
    </row>
    <row r="37" spans="1:18" x14ac:dyDescent="0.2">
      <c r="A37" s="48"/>
      <c r="B37" s="52"/>
      <c r="C37" s="53"/>
      <c r="D37" s="54"/>
      <c r="E37" s="213"/>
      <c r="F37" s="213"/>
      <c r="G37" s="213"/>
      <c r="H37" s="213"/>
      <c r="I37" s="213"/>
      <c r="J37" s="213"/>
      <c r="K37" s="213"/>
      <c r="L37" s="213"/>
      <c r="M37" s="213"/>
      <c r="N37" s="262"/>
      <c r="O37" s="280"/>
      <c r="P37" s="35">
        <f>+O37-'DFP-Com'!O35</f>
        <v>0</v>
      </c>
      <c r="Q37" s="5"/>
      <c r="R37" s="5"/>
    </row>
    <row r="38" spans="1:18" s="10" customFormat="1" x14ac:dyDescent="0.2">
      <c r="A38" s="58"/>
      <c r="B38" s="44" t="s">
        <v>81</v>
      </c>
      <c r="C38" s="59"/>
      <c r="D38" s="60"/>
      <c r="E38" s="259"/>
      <c r="F38" s="259"/>
      <c r="G38" s="259"/>
      <c r="H38" s="259"/>
      <c r="I38" s="259"/>
      <c r="J38" s="259"/>
      <c r="K38" s="259"/>
      <c r="L38" s="259"/>
      <c r="M38" s="214"/>
      <c r="N38" s="263"/>
      <c r="O38" s="281"/>
      <c r="P38" s="35">
        <f>+O38-'DFP-Com'!O36</f>
        <v>0</v>
      </c>
    </row>
    <row r="39" spans="1:18" s="10" customFormat="1" outlineLevel="1" x14ac:dyDescent="0.2">
      <c r="A39" s="58"/>
      <c r="B39" s="63" t="s">
        <v>82</v>
      </c>
      <c r="C39" s="340">
        <f t="shared" ref="C39:D39" si="22">SUM(C40:C43)</f>
        <v>357398.27</v>
      </c>
      <c r="D39" s="340">
        <f t="shared" si="22"/>
        <v>39326.800000000003</v>
      </c>
      <c r="E39" s="195">
        <f t="shared" ref="E39:M39" si="23">SUM(E40:E43)</f>
        <v>5606.24</v>
      </c>
      <c r="F39" s="195">
        <f t="shared" si="23"/>
        <v>14664.48</v>
      </c>
      <c r="G39" s="195">
        <f t="shared" si="23"/>
        <v>59278.400000000001</v>
      </c>
      <c r="H39" s="195">
        <f t="shared" si="23"/>
        <v>79549.119999999995</v>
      </c>
      <c r="I39" s="195">
        <f t="shared" si="23"/>
        <v>202333.89</v>
      </c>
      <c r="J39" s="195">
        <f t="shared" si="23"/>
        <v>326576.95999999996</v>
      </c>
      <c r="K39" s="195">
        <f t="shared" si="23"/>
        <v>80512.639999999999</v>
      </c>
      <c r="L39" s="195">
        <f t="shared" ref="L39" si="24">SUM(L40:L43)</f>
        <v>0</v>
      </c>
      <c r="M39" s="216">
        <f t="shared" si="23"/>
        <v>1085697.6800000002</v>
      </c>
      <c r="N39" s="197">
        <f>'QFR - B'!I24</f>
        <v>1431000</v>
      </c>
      <c r="O39" s="277">
        <f>N39-M39</f>
        <v>345302.31999999983</v>
      </c>
      <c r="P39" s="35">
        <f>+O39-'DFP-Com'!O37</f>
        <v>0</v>
      </c>
    </row>
    <row r="40" spans="1:18" s="209" customFormat="1" outlineLevel="1" x14ac:dyDescent="0.2">
      <c r="A40" s="207"/>
      <c r="B40" s="208" t="s">
        <v>98</v>
      </c>
      <c r="C40" s="363">
        <v>330349.01</v>
      </c>
      <c r="D40" s="363">
        <f>20934.04+56.05</f>
        <v>20990.09</v>
      </c>
      <c r="E40" s="291">
        <v>3606.2400000000002</v>
      </c>
      <c r="F40" s="292">
        <v>7664.48</v>
      </c>
      <c r="G40" s="292">
        <v>27778.400000000001</v>
      </c>
      <c r="H40" s="292">
        <f>SUMIF('Contract level'!$A:$A,"="&amp;'DFP-Com'!$A38,'Contract level'!AR:AR)</f>
        <v>39049.120000000003</v>
      </c>
      <c r="I40" s="292">
        <f>SUMIF('Contract level'!$A:$A,"="&amp;'DFP-Com'!$A38,'Contract level'!AS:AS)</f>
        <v>43474.8</v>
      </c>
      <c r="J40" s="292">
        <f>SUMIF('Contract level'!$A:$A,"="&amp;'DFP-Com'!$A38,'Contract level'!AT:AT)</f>
        <v>246576.96</v>
      </c>
      <c r="K40" s="292">
        <f>SUMIF('Contract level'!$A:$A,"="&amp;'DFP-Com'!$A38,'Contract level'!AU:AU)</f>
        <v>512.64000000000306</v>
      </c>
      <c r="L40" s="292">
        <f>SUMIF('Contract level'!$A:$A,"="&amp;'DFP-Com'!$A38,'Contract level'!AV:AV)</f>
        <v>0</v>
      </c>
      <c r="M40" s="292">
        <f>SUM(H40:L40)+D40+C40</f>
        <v>680952.62000000011</v>
      </c>
      <c r="N40" s="264"/>
      <c r="O40" s="282"/>
      <c r="P40" s="35">
        <f>+O40-'DFP-Com'!O38</f>
        <v>0</v>
      </c>
    </row>
    <row r="41" spans="1:18" s="209" customFormat="1" outlineLevel="1" x14ac:dyDescent="0.2">
      <c r="A41" s="207"/>
      <c r="B41" s="208" t="s">
        <v>99</v>
      </c>
      <c r="C41" s="363">
        <v>0</v>
      </c>
      <c r="D41" s="363">
        <v>0</v>
      </c>
      <c r="E41" s="291"/>
      <c r="F41" s="291"/>
      <c r="G41" s="291"/>
      <c r="H41" s="292">
        <f>SUMIF('Contract level'!$A:$A,"="&amp;'DFP-Com'!$A39,'Contract level'!AR:AR)</f>
        <v>0</v>
      </c>
      <c r="I41" s="292">
        <f>SUMIF('Contract level'!$A:$A,"="&amp;'DFP-Com'!$A39,'Contract level'!AS:AS)</f>
        <v>0</v>
      </c>
      <c r="J41" s="292">
        <f>SUMIF('Contract level'!$A:$A,"="&amp;'DFP-Com'!$A39,'Contract level'!AT:AT)</f>
        <v>0</v>
      </c>
      <c r="K41" s="292">
        <f>SUMIF('Contract level'!$A:$A,"="&amp;'DFP-Com'!$A39,'Contract level'!AU:AU)</f>
        <v>0</v>
      </c>
      <c r="L41" s="292">
        <f>SUMIF('Contract level'!$A:$A,"="&amp;'DFP-Com'!$A39,'Contract level'!AV:AV)</f>
        <v>0</v>
      </c>
      <c r="M41" s="292">
        <f>SUM(H41:L41)+D41+C41</f>
        <v>0</v>
      </c>
      <c r="N41" s="264"/>
      <c r="O41" s="282"/>
      <c r="P41" s="35">
        <f>+O41-'DFP-Com'!O39</f>
        <v>0</v>
      </c>
    </row>
    <row r="42" spans="1:18" s="209" customFormat="1" outlineLevel="1" x14ac:dyDescent="0.2">
      <c r="A42" s="207"/>
      <c r="B42" s="208" t="s">
        <v>100</v>
      </c>
      <c r="C42" s="363">
        <v>0</v>
      </c>
      <c r="D42" s="363">
        <v>0</v>
      </c>
      <c r="E42" s="291"/>
      <c r="F42" s="291"/>
      <c r="G42" s="291"/>
      <c r="H42" s="292">
        <f>SUMIF('Contract level'!$A:$A,"="&amp;'DFP-Com'!$A40,'Contract level'!AR:AR)</f>
        <v>0</v>
      </c>
      <c r="I42" s="292">
        <f>SUMIF('Contract level'!$A:$A,"="&amp;'DFP-Com'!$A40,'Contract level'!AS:AS)</f>
        <v>0</v>
      </c>
      <c r="J42" s="292">
        <f>SUMIF('Contract level'!$A:$A,"="&amp;'DFP-Com'!$A40,'Contract level'!AT:AT)</f>
        <v>0</v>
      </c>
      <c r="K42" s="292">
        <f>SUMIF('Contract level'!$A:$A,"="&amp;'DFP-Com'!$A40,'Contract level'!AU:AU)</f>
        <v>0</v>
      </c>
      <c r="L42" s="292">
        <f>SUMIF('Contract level'!$A:$A,"="&amp;'DFP-Com'!$A40,'Contract level'!AV:AV)</f>
        <v>0</v>
      </c>
      <c r="M42" s="292">
        <f>SUM(H42:L42)+D42+C42</f>
        <v>0</v>
      </c>
      <c r="N42" s="264"/>
      <c r="O42" s="282"/>
      <c r="P42" s="35">
        <f>+O42-'DFP-Com'!O40</f>
        <v>0</v>
      </c>
    </row>
    <row r="43" spans="1:18" s="209" customFormat="1" outlineLevel="1" x14ac:dyDescent="0.2">
      <c r="A43" s="207"/>
      <c r="B43" s="208" t="s">
        <v>110</v>
      </c>
      <c r="C43" s="363">
        <v>27049.26</v>
      </c>
      <c r="D43" s="363">
        <v>18336.71</v>
      </c>
      <c r="E43" s="291">
        <v>2000</v>
      </c>
      <c r="F43" s="291">
        <v>7000</v>
      </c>
      <c r="G43" s="291">
        <v>31500</v>
      </c>
      <c r="H43" s="292">
        <f>SUMIF('Contract level'!$A:$A,"="&amp;'DFP-Com'!$A41,'Contract level'!AR:AR)</f>
        <v>40500</v>
      </c>
      <c r="I43" s="292">
        <f>SUMIF('Contract level'!$A:$A,"="&amp;'DFP-Com'!$A41,'Contract level'!AS:AS)</f>
        <v>158859.09</v>
      </c>
      <c r="J43" s="292">
        <f>SUMIF('Contract level'!$A:$A,"="&amp;'DFP-Com'!$A41,'Contract level'!AT:AT)</f>
        <v>80000</v>
      </c>
      <c r="K43" s="292">
        <f>SUMIF('Contract level'!$A:$A,"="&amp;'DFP-Com'!$A41,'Contract level'!AU:AU)</f>
        <v>80000</v>
      </c>
      <c r="L43" s="292">
        <f>SUMIF('Contract level'!$A:$A,"="&amp;'DFP-Com'!$A41,'Contract level'!AV:AV)</f>
        <v>0</v>
      </c>
      <c r="M43" s="292">
        <f>SUM(H43:L43)+D43+C43</f>
        <v>404745.06</v>
      </c>
      <c r="N43" s="264"/>
      <c r="O43" s="282"/>
      <c r="P43" s="35">
        <f>+O43-'DFP-Com'!O41</f>
        <v>0</v>
      </c>
    </row>
    <row r="44" spans="1:18" x14ac:dyDescent="0.2">
      <c r="A44" s="48"/>
      <c r="B44" s="57" t="s">
        <v>17</v>
      </c>
      <c r="C44" s="394">
        <f>C39</f>
        <v>357398.27</v>
      </c>
      <c r="D44" s="394">
        <f>D39</f>
        <v>39326.800000000003</v>
      </c>
      <c r="E44" s="196">
        <f t="shared" ref="E44:O44" si="25">E39</f>
        <v>5606.24</v>
      </c>
      <c r="F44" s="196">
        <f t="shared" si="25"/>
        <v>14664.48</v>
      </c>
      <c r="G44" s="196">
        <f t="shared" si="25"/>
        <v>59278.400000000001</v>
      </c>
      <c r="H44" s="196">
        <f t="shared" ref="H44" si="26">H39</f>
        <v>79549.119999999995</v>
      </c>
      <c r="I44" s="196">
        <f t="shared" ref="I44:K44" si="27">I39</f>
        <v>202333.89</v>
      </c>
      <c r="J44" s="196">
        <f t="shared" si="27"/>
        <v>326576.95999999996</v>
      </c>
      <c r="K44" s="196">
        <f t="shared" si="27"/>
        <v>80512.639999999999</v>
      </c>
      <c r="L44" s="196">
        <f t="shared" ref="L44" si="28">L39</f>
        <v>0</v>
      </c>
      <c r="M44" s="196">
        <f t="shared" si="25"/>
        <v>1085697.6800000002</v>
      </c>
      <c r="N44" s="265">
        <f t="shared" si="25"/>
        <v>1431000</v>
      </c>
      <c r="O44" s="283">
        <f t="shared" si="25"/>
        <v>345302.31999999983</v>
      </c>
      <c r="P44" s="35">
        <f>+O44-'DFP-Com'!O42</f>
        <v>0</v>
      </c>
      <c r="Q44" s="5"/>
      <c r="R44" s="5"/>
    </row>
    <row r="45" spans="1:18" x14ac:dyDescent="0.2">
      <c r="A45" s="48"/>
      <c r="B45" s="52"/>
      <c r="C45" s="53"/>
      <c r="D45" s="54"/>
      <c r="E45" s="213"/>
      <c r="F45" s="213"/>
      <c r="G45" s="213"/>
      <c r="H45" s="213"/>
      <c r="I45" s="213"/>
      <c r="J45" s="213"/>
      <c r="K45" s="213"/>
      <c r="L45" s="213"/>
      <c r="M45" s="213"/>
      <c r="N45" s="262"/>
      <c r="O45" s="280"/>
      <c r="P45" s="35">
        <f>+O45-'DFP-Com'!O43</f>
        <v>0</v>
      </c>
      <c r="Q45" s="5"/>
      <c r="R45" s="5"/>
    </row>
    <row r="46" spans="1:18" s="10" customFormat="1" x14ac:dyDescent="0.2">
      <c r="A46" s="58"/>
      <c r="B46" s="44" t="s">
        <v>75</v>
      </c>
      <c r="C46" s="59"/>
      <c r="D46" s="60"/>
      <c r="E46" s="259"/>
      <c r="F46" s="259"/>
      <c r="G46" s="259"/>
      <c r="H46" s="259"/>
      <c r="I46" s="259"/>
      <c r="J46" s="259"/>
      <c r="K46" s="259"/>
      <c r="L46" s="259"/>
      <c r="M46" s="214"/>
      <c r="N46" s="263"/>
      <c r="O46" s="281"/>
      <c r="P46" s="35">
        <f>+O46-'DFP-Com'!O44</f>
        <v>0</v>
      </c>
    </row>
    <row r="47" spans="1:18" outlineLevel="1" x14ac:dyDescent="0.2">
      <c r="A47" s="48"/>
      <c r="B47" s="64" t="s">
        <v>84</v>
      </c>
      <c r="C47" s="340">
        <f t="shared" ref="C47:G47" si="29">SUM(C48:C51)</f>
        <v>703837.27999999991</v>
      </c>
      <c r="D47" s="340">
        <f t="shared" si="29"/>
        <v>87227.85</v>
      </c>
      <c r="E47" s="195">
        <f t="shared" si="29"/>
        <v>44529.136666666665</v>
      </c>
      <c r="F47" s="195">
        <f t="shared" si="29"/>
        <v>37257.116666666669</v>
      </c>
      <c r="G47" s="195">
        <f t="shared" si="29"/>
        <v>40113.206666666665</v>
      </c>
      <c r="H47" s="195">
        <f t="shared" ref="H47" si="30">SUM(H48:H51)</f>
        <v>121899.45999999999</v>
      </c>
      <c r="I47" s="195">
        <f t="shared" ref="I47:K47" si="31">SUM(I48:I51)</f>
        <v>111525.01999999999</v>
      </c>
      <c r="J47" s="195">
        <f t="shared" si="31"/>
        <v>125926.52499999999</v>
      </c>
      <c r="K47" s="195">
        <f t="shared" si="31"/>
        <v>360483.57500000001</v>
      </c>
      <c r="L47" s="195">
        <f t="shared" ref="L47" si="32">SUM(L48:L51)</f>
        <v>0</v>
      </c>
      <c r="M47" s="216">
        <f>SUM(M48:M51)</f>
        <v>1510899.71</v>
      </c>
      <c r="N47" s="197">
        <f>'QFR - B'!I27</f>
        <v>1261000</v>
      </c>
      <c r="O47" s="277">
        <f>N47-M47</f>
        <v>-249899.70999999996</v>
      </c>
      <c r="P47" s="415">
        <f>+O47-'DFP-Com'!O45</f>
        <v>0</v>
      </c>
      <c r="Q47" s="5"/>
      <c r="R47" s="5"/>
    </row>
    <row r="48" spans="1:18" s="203" customFormat="1" ht="12.75" customHeight="1" outlineLevel="1" x14ac:dyDescent="0.2">
      <c r="A48" s="202"/>
      <c r="B48" s="212" t="s">
        <v>120</v>
      </c>
      <c r="C48" s="363">
        <v>543489.3899999999</v>
      </c>
      <c r="D48" s="363">
        <v>60458.5</v>
      </c>
      <c r="E48" s="291">
        <v>27102.026666666665</v>
      </c>
      <c r="F48" s="291">
        <v>24173.786666666667</v>
      </c>
      <c r="G48" s="291">
        <v>25029.866666666669</v>
      </c>
      <c r="H48" s="292">
        <f>SUMIF('Contract level'!$A:$A,"="&amp;'DFP-Com'!$A46,'Contract level'!AR:AR)</f>
        <v>76305.679999999993</v>
      </c>
      <c r="I48" s="292">
        <f>SUMIF('Contract level'!$A:$A,"="&amp;'DFP-Com'!$A46,'Contract level'!AS:AS)</f>
        <v>75120.66</v>
      </c>
      <c r="J48" s="292">
        <f>SUMIF('Contract level'!$A:$A,"="&amp;'DFP-Com'!$A46,'Contract level'!AT:AT)</f>
        <v>92676.524999999994</v>
      </c>
      <c r="K48" s="292">
        <f>SUMIF('Contract level'!$A:$A,"="&amp;'DFP-Com'!$A46,'Contract level'!AU:AU)</f>
        <v>208829.17500000002</v>
      </c>
      <c r="L48" s="292">
        <f>SUMIF('Contract level'!$A:$A,"="&amp;'DFP-Com'!$A46,'Contract level'!AV:AV)</f>
        <v>0</v>
      </c>
      <c r="M48" s="200">
        <f>SUM(H48:L48)+D48+C48</f>
        <v>1056879.93</v>
      </c>
      <c r="N48" s="264"/>
      <c r="O48" s="278"/>
      <c r="P48" s="415">
        <f>+O48-'DFP-Com'!O46</f>
        <v>0</v>
      </c>
    </row>
    <row r="49" spans="1:18" s="203" customFormat="1" outlineLevel="1" x14ac:dyDescent="0.2">
      <c r="A49" s="202"/>
      <c r="B49" s="212" t="s">
        <v>121</v>
      </c>
      <c r="C49" s="363">
        <v>44396.22</v>
      </c>
      <c r="D49" s="363">
        <v>4303.54</v>
      </c>
      <c r="E49" s="291">
        <v>4000</v>
      </c>
      <c r="F49" s="291">
        <v>4000</v>
      </c>
      <c r="G49" s="291">
        <v>4000</v>
      </c>
      <c r="H49" s="292">
        <f>SUMIF('Contract level'!$A:$A,"="&amp;'DFP-Com'!$A47,'Contract level'!AR:AR)</f>
        <v>12000</v>
      </c>
      <c r="I49" s="292">
        <f>SUMIF('Contract level'!$A:$A,"="&amp;'DFP-Com'!$A47,'Contract level'!AS:AS)</f>
        <v>12696.46</v>
      </c>
      <c r="J49" s="292">
        <f>SUMIF('Contract level'!$A:$A,"="&amp;'DFP-Com'!$A47,'Contract level'!AT:AT)</f>
        <v>2000</v>
      </c>
      <c r="K49" s="292">
        <f>SUMIF('Contract level'!$A:$A,"="&amp;'DFP-Com'!$A47,'Contract level'!AU:AU)</f>
        <v>2673.78</v>
      </c>
      <c r="L49" s="292">
        <f>SUMIF('Contract level'!$A:$A,"="&amp;'DFP-Com'!$A47,'Contract level'!AV:AV)</f>
        <v>0</v>
      </c>
      <c r="M49" s="292">
        <f>SUM(H49:L49)+D49+C49</f>
        <v>78070</v>
      </c>
      <c r="N49" s="264"/>
      <c r="O49" s="282"/>
      <c r="P49" s="415">
        <f>+O49-'DFP-Com'!O47</f>
        <v>0</v>
      </c>
    </row>
    <row r="50" spans="1:18" s="203" customFormat="1" outlineLevel="1" x14ac:dyDescent="0.2">
      <c r="A50" s="202"/>
      <c r="B50" s="212" t="s">
        <v>122</v>
      </c>
      <c r="C50" s="363">
        <v>55000</v>
      </c>
      <c r="D50" s="363">
        <v>18000</v>
      </c>
      <c r="E50" s="291">
        <v>6000</v>
      </c>
      <c r="F50" s="291">
        <v>0</v>
      </c>
      <c r="G50" s="291">
        <v>6000</v>
      </c>
      <c r="H50" s="292">
        <f>SUMIF('Contract level'!$A:$A,"="&amp;'DFP-Com'!$A48,'Contract level'!AR:AR)</f>
        <v>12000</v>
      </c>
      <c r="I50" s="292">
        <f>SUMIF('Contract level'!$A:$A,"="&amp;'DFP-Com'!$A48,'Contract level'!AS:AS)</f>
        <v>0</v>
      </c>
      <c r="J50" s="292">
        <f>SUMIF('Contract level'!$A:$A,"="&amp;'DFP-Com'!$A48,'Contract level'!AT:AT)</f>
        <v>25000</v>
      </c>
      <c r="K50" s="292">
        <f>SUMIF('Contract level'!$A:$A,"="&amp;'DFP-Com'!$A48,'Contract level'!AU:AU)</f>
        <v>10000</v>
      </c>
      <c r="L50" s="292">
        <f>SUMIF('Contract level'!$A:$A,"="&amp;'DFP-Com'!$A48,'Contract level'!AV:AV)</f>
        <v>0</v>
      </c>
      <c r="M50" s="292">
        <f>SUM(H50:L50)+D50+C50</f>
        <v>120000</v>
      </c>
      <c r="N50" s="264"/>
      <c r="O50" s="282"/>
      <c r="P50" s="415">
        <f>+O50-'DFP-Com'!O48</f>
        <v>0</v>
      </c>
    </row>
    <row r="51" spans="1:18" s="203" customFormat="1" outlineLevel="1" x14ac:dyDescent="0.2">
      <c r="A51" s="202"/>
      <c r="B51" s="212" t="s">
        <v>123</v>
      </c>
      <c r="C51" s="363">
        <v>60951.670000000006</v>
      </c>
      <c r="D51" s="363">
        <v>4465.8100000000004</v>
      </c>
      <c r="E51" s="291">
        <v>7427.1100000000006</v>
      </c>
      <c r="F51" s="291">
        <v>9083.33</v>
      </c>
      <c r="G51" s="291">
        <v>5083.34</v>
      </c>
      <c r="H51" s="292">
        <f>SUMIF('Contract level'!$A:$A,"="&amp;'DFP-Com'!$A49,'Contract level'!AR:AR)</f>
        <v>21593.78</v>
      </c>
      <c r="I51" s="292">
        <f>SUMIF('Contract level'!$A:$A,"="&amp;'DFP-Com'!$A49,'Contract level'!AS:AS)</f>
        <v>23707.9</v>
      </c>
      <c r="J51" s="292">
        <f>SUMIF('Contract level'!$A:$A,"="&amp;'DFP-Com'!$A49,'Contract level'!AT:AT)</f>
        <v>6250</v>
      </c>
      <c r="K51" s="292">
        <f>SUMIF('Contract level'!$A:$A,"="&amp;'DFP-Com'!$A49,'Contract level'!AU:AU)</f>
        <v>138980.62</v>
      </c>
      <c r="L51" s="292">
        <f>SUMIF('Contract level'!$A:$A,"="&amp;'DFP-Com'!$A49,'Contract level'!AV:AV)</f>
        <v>0</v>
      </c>
      <c r="M51" s="292">
        <f>SUM(H51:L51)+D51+C51</f>
        <v>255949.78</v>
      </c>
      <c r="N51" s="264"/>
      <c r="O51" s="282"/>
      <c r="P51" s="415">
        <f>+O51-'DFP-Com'!O49</f>
        <v>0</v>
      </c>
    </row>
    <row r="52" spans="1:18" s="10" customFormat="1" x14ac:dyDescent="0.2">
      <c r="B52" s="65" t="s">
        <v>83</v>
      </c>
      <c r="C52" s="394">
        <f t="shared" ref="C52:O52" si="33">C47</f>
        <v>703837.27999999991</v>
      </c>
      <c r="D52" s="394">
        <f t="shared" si="33"/>
        <v>87227.85</v>
      </c>
      <c r="E52" s="196">
        <f t="shared" si="33"/>
        <v>44529.136666666665</v>
      </c>
      <c r="F52" s="196">
        <f t="shared" si="33"/>
        <v>37257.116666666669</v>
      </c>
      <c r="G52" s="196">
        <f t="shared" si="33"/>
        <v>40113.206666666665</v>
      </c>
      <c r="H52" s="196">
        <f t="shared" ref="H52" si="34">H47</f>
        <v>121899.45999999999</v>
      </c>
      <c r="I52" s="196">
        <f t="shared" ref="I52:K52" si="35">I47</f>
        <v>111525.01999999999</v>
      </c>
      <c r="J52" s="196">
        <f t="shared" si="35"/>
        <v>125926.52499999999</v>
      </c>
      <c r="K52" s="196">
        <f t="shared" si="35"/>
        <v>360483.57500000001</v>
      </c>
      <c r="L52" s="196">
        <f t="shared" ref="L52" si="36">L47</f>
        <v>0</v>
      </c>
      <c r="M52" s="196">
        <f t="shared" si="33"/>
        <v>1510899.71</v>
      </c>
      <c r="N52" s="265">
        <f t="shared" si="33"/>
        <v>1261000</v>
      </c>
      <c r="O52" s="283">
        <f t="shared" si="33"/>
        <v>-249899.70999999996</v>
      </c>
      <c r="P52" s="415">
        <f>+O52-'DFP-Com'!O50</f>
        <v>0</v>
      </c>
    </row>
    <row r="53" spans="1:18" x14ac:dyDescent="0.2">
      <c r="A53" s="5"/>
      <c r="B53" s="52"/>
      <c r="C53" s="53"/>
      <c r="D53" s="54"/>
      <c r="E53" s="213"/>
      <c r="F53" s="213"/>
      <c r="G53" s="213"/>
      <c r="H53" s="213"/>
      <c r="I53" s="213"/>
      <c r="J53" s="213"/>
      <c r="K53" s="213"/>
      <c r="L53" s="213"/>
      <c r="M53" s="215"/>
      <c r="N53" s="262"/>
      <c r="O53" s="284"/>
      <c r="P53" s="415">
        <f>+O53-'DFP-Com'!O51</f>
        <v>0</v>
      </c>
      <c r="Q53" s="5"/>
      <c r="R53" s="5"/>
    </row>
    <row r="54" spans="1:18" s="220" customFormat="1" ht="17.25" thickBot="1" x14ac:dyDescent="0.3">
      <c r="B54" s="224" t="s">
        <v>116</v>
      </c>
      <c r="C54" s="323">
        <f t="shared" ref="C54:O54" si="37">C52+C44+C36+C27</f>
        <v>16411510.190000001</v>
      </c>
      <c r="D54" s="323">
        <f t="shared" si="37"/>
        <v>2279121.4703088738</v>
      </c>
      <c r="E54" s="221">
        <f t="shared" si="37"/>
        <v>738328.34666666656</v>
      </c>
      <c r="F54" s="221">
        <f t="shared" si="37"/>
        <v>388201.93666666665</v>
      </c>
      <c r="G54" s="221">
        <f>G52+G44+G36+G27</f>
        <v>1105204.1815209948</v>
      </c>
      <c r="H54" s="221">
        <f t="shared" ref="H54:K54" si="38">H52+H44+H36+H27</f>
        <v>2231734.4587793285</v>
      </c>
      <c r="I54" s="221">
        <f t="shared" si="38"/>
        <v>1482609.6984181819</v>
      </c>
      <c r="J54" s="221">
        <f t="shared" si="38"/>
        <v>2395325.3584181014</v>
      </c>
      <c r="K54" s="221">
        <f t="shared" si="38"/>
        <v>643453.36501135712</v>
      </c>
      <c r="L54" s="221">
        <f t="shared" ref="L54" si="39">L52+L44+L36+L27</f>
        <v>0</v>
      </c>
      <c r="M54" s="221">
        <f t="shared" si="37"/>
        <v>25443754.540935844</v>
      </c>
      <c r="N54" s="221">
        <f t="shared" si="37"/>
        <v>26197500</v>
      </c>
      <c r="O54" s="285">
        <f t="shared" si="37"/>
        <v>753745.45906415535</v>
      </c>
      <c r="P54" s="35">
        <f>+O54-'DFP-Com'!O52</f>
        <v>1.5641544014215469E-3</v>
      </c>
    </row>
    <row r="55" spans="1:18" ht="13.5" thickTop="1" x14ac:dyDescent="0.2">
      <c r="B55" s="7" t="s">
        <v>118</v>
      </c>
      <c r="P55" s="373"/>
      <c r="Q55" s="209"/>
    </row>
    <row r="56" spans="1:18" x14ac:dyDescent="0.2">
      <c r="B56" s="67" t="s">
        <v>119</v>
      </c>
      <c r="O56" s="393"/>
      <c r="P56" s="373"/>
    </row>
    <row r="57" spans="1:18" x14ac:dyDescent="0.2">
      <c r="B57" s="7"/>
      <c r="O57" s="393"/>
      <c r="P57" s="373"/>
      <c r="Q57" s="209"/>
    </row>
    <row r="58" spans="1:18" x14ac:dyDescent="0.2">
      <c r="B58" s="7"/>
      <c r="C58" s="269"/>
      <c r="P58" s="189"/>
    </row>
    <row r="59" spans="1:18" x14ac:dyDescent="0.2">
      <c r="B59" s="7"/>
      <c r="C59" s="269"/>
      <c r="P59" s="189"/>
    </row>
    <row r="60" spans="1:18" x14ac:dyDescent="0.2">
      <c r="B60" s="7"/>
      <c r="P60" s="189"/>
    </row>
    <row r="61" spans="1:18" x14ac:dyDescent="0.2">
      <c r="B61" s="7"/>
      <c r="P61" s="189"/>
    </row>
    <row r="62" spans="1:18" x14ac:dyDescent="0.2">
      <c r="B62" s="7"/>
      <c r="P62" s="189"/>
    </row>
    <row r="63" spans="1:18" x14ac:dyDescent="0.2">
      <c r="B63" s="7"/>
      <c r="P63" s="189"/>
    </row>
    <row r="64" spans="1:18" x14ac:dyDescent="0.2">
      <c r="B64" s="7"/>
      <c r="P64" s="189"/>
    </row>
    <row r="65" spans="2:16" x14ac:dyDescent="0.2">
      <c r="B65" s="7"/>
      <c r="P65" s="189"/>
    </row>
    <row r="66" spans="2:16" x14ac:dyDescent="0.2">
      <c r="B66" s="7"/>
      <c r="P66" s="189"/>
    </row>
    <row r="67" spans="2:16" x14ac:dyDescent="0.2">
      <c r="B67" s="7"/>
      <c r="P67" s="189"/>
    </row>
    <row r="68" spans="2:16" x14ac:dyDescent="0.2">
      <c r="B68" s="7"/>
      <c r="P68" s="189"/>
    </row>
    <row r="69" spans="2:16" x14ac:dyDescent="0.2">
      <c r="B69" s="7"/>
      <c r="P69" s="189"/>
    </row>
    <row r="70" spans="2:16" x14ac:dyDescent="0.2">
      <c r="D70" s="393"/>
      <c r="P70" s="189"/>
    </row>
    <row r="71" spans="2:16" x14ac:dyDescent="0.2">
      <c r="P71" s="189"/>
    </row>
    <row r="72" spans="2:16" x14ac:dyDescent="0.2">
      <c r="P72" s="189"/>
    </row>
    <row r="73" spans="2:16" x14ac:dyDescent="0.2">
      <c r="P73" s="189"/>
    </row>
    <row r="74" spans="2:16" x14ac:dyDescent="0.2">
      <c r="P74" s="189"/>
    </row>
    <row r="75" spans="2:16" x14ac:dyDescent="0.2">
      <c r="P75" s="189"/>
    </row>
    <row r="76" spans="2:16" x14ac:dyDescent="0.2">
      <c r="P76" s="189"/>
    </row>
    <row r="77" spans="2:16" x14ac:dyDescent="0.2">
      <c r="P77" s="189"/>
    </row>
    <row r="78" spans="2:16" x14ac:dyDescent="0.2">
      <c r="P78" s="189"/>
    </row>
    <row r="79" spans="2:16" x14ac:dyDescent="0.2">
      <c r="P79" s="189"/>
    </row>
    <row r="80" spans="2:16" x14ac:dyDescent="0.2">
      <c r="P80" s="189"/>
    </row>
    <row r="81" spans="16:16" x14ac:dyDescent="0.2">
      <c r="P81" s="189"/>
    </row>
    <row r="82" spans="16:16" x14ac:dyDescent="0.2">
      <c r="P82" s="189"/>
    </row>
    <row r="83" spans="16:16" x14ac:dyDescent="0.2">
      <c r="P83" s="189"/>
    </row>
    <row r="84" spans="16:16" x14ac:dyDescent="0.2">
      <c r="P84" s="189"/>
    </row>
    <row r="85" spans="16:16" x14ac:dyDescent="0.2">
      <c r="P85" s="189"/>
    </row>
  </sheetData>
  <mergeCells count="6">
    <mergeCell ref="O12:O13"/>
    <mergeCell ref="B11:B12"/>
    <mergeCell ref="M12:M13"/>
    <mergeCell ref="N12:N13"/>
    <mergeCell ref="E12:G12"/>
    <mergeCell ref="E11:G11"/>
  </mergeCells>
  <phoneticPr fontId="28" type="noConversion"/>
  <pageMargins left="0.70866141732283472" right="0.70866141732283472" top="0.74803149606299213" bottom="0.74803149606299213" header="0.31496062992125984" footer="0.31496062992125984"/>
  <pageSetup scale="43" orientation="landscape" r:id="rId1"/>
  <ignoredErrors>
    <ignoredError sqref="M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I38"/>
  <sheetViews>
    <sheetView showGridLines="0" zoomScale="74" zoomScaleNormal="74" zoomScalePageLayoutView="85" workbookViewId="0">
      <pane ySplit="13" topLeftCell="A14" activePane="bottomLeft" state="frozen"/>
      <selection pane="bottomLeft" activeCell="E20" sqref="E20"/>
    </sheetView>
  </sheetViews>
  <sheetFormatPr baseColWidth="10" defaultColWidth="9.140625" defaultRowHeight="15" x14ac:dyDescent="0.25"/>
  <cols>
    <col min="1" max="1" width="2.42578125" customWidth="1"/>
    <col min="2" max="2" width="29.42578125" customWidth="1"/>
    <col min="3" max="3" width="18.42578125" customWidth="1"/>
    <col min="4" max="4" width="22.42578125" customWidth="1"/>
    <col min="5" max="5" width="19" customWidth="1"/>
    <col min="6" max="6" width="18.140625" customWidth="1"/>
    <col min="7" max="7" width="18.85546875" customWidth="1"/>
    <col min="8" max="8" width="11.7109375" customWidth="1"/>
    <col min="9" max="9" width="13" bestFit="1" customWidth="1"/>
  </cols>
  <sheetData>
    <row r="1" spans="2:9" x14ac:dyDescent="0.25">
      <c r="B1" s="71" t="s">
        <v>21</v>
      </c>
      <c r="C1" s="72"/>
      <c r="D1" s="72"/>
      <c r="E1" s="72"/>
      <c r="F1" s="72"/>
      <c r="G1" s="73"/>
    </row>
    <row r="2" spans="2:9" x14ac:dyDescent="0.25">
      <c r="B2" s="74"/>
      <c r="C2" s="75" t="s">
        <v>1</v>
      </c>
      <c r="D2" s="148" t="s">
        <v>63</v>
      </c>
      <c r="E2" s="77"/>
      <c r="F2" s="78"/>
      <c r="G2" s="79"/>
    </row>
    <row r="3" spans="2:9" x14ac:dyDescent="0.25">
      <c r="B3" s="74"/>
      <c r="C3" s="75" t="s">
        <v>2</v>
      </c>
      <c r="D3" s="175" t="s">
        <v>64</v>
      </c>
      <c r="E3" s="77"/>
      <c r="F3" s="78"/>
      <c r="G3" s="79"/>
    </row>
    <row r="4" spans="2:9" x14ac:dyDescent="0.25">
      <c r="B4" s="74"/>
      <c r="C4" s="75" t="s">
        <v>3</v>
      </c>
      <c r="D4" s="175" t="str">
        <f>'THP DR'!B7</f>
        <v>TR14GTM15001</v>
      </c>
      <c r="E4" s="77"/>
      <c r="F4" s="78"/>
      <c r="G4" s="79"/>
    </row>
    <row r="5" spans="2:9" x14ac:dyDescent="0.25">
      <c r="B5" s="74"/>
      <c r="C5" s="75" t="s">
        <v>4</v>
      </c>
      <c r="D5" s="176">
        <v>43920</v>
      </c>
      <c r="E5" s="77"/>
      <c r="F5" s="78"/>
      <c r="G5" s="79"/>
    </row>
    <row r="6" spans="2:9" ht="15.75" thickBot="1" x14ac:dyDescent="0.3">
      <c r="B6" s="81"/>
      <c r="C6" s="82"/>
      <c r="D6" s="83"/>
      <c r="E6" s="82"/>
      <c r="F6" s="83"/>
      <c r="G6" s="84"/>
    </row>
    <row r="7" spans="2:9" x14ac:dyDescent="0.25">
      <c r="B7" s="85" t="s">
        <v>22</v>
      </c>
      <c r="C7" s="86"/>
      <c r="D7" s="86"/>
      <c r="E7" s="86"/>
      <c r="F7" s="86"/>
      <c r="G7" s="87"/>
      <c r="H7" s="88"/>
    </row>
    <row r="8" spans="2:9" x14ac:dyDescent="0.25">
      <c r="B8" s="89" t="str">
        <f>"Disbursement Period:"&amp; TEXT('THP DR'!B11,"dd-mmm-yy")&amp;" to "&amp;TEXT('THP DR'!B12,"dd-mmm-yy")</f>
        <v>Disbursement Period:01-abr-20 to 30-jun-20</v>
      </c>
      <c r="C8" s="90"/>
      <c r="D8" s="90"/>
      <c r="E8" s="90"/>
      <c r="F8" s="90"/>
      <c r="G8" s="91"/>
      <c r="H8" s="88"/>
    </row>
    <row r="9" spans="2:9" s="97" customFormat="1" ht="12.75" x14ac:dyDescent="0.2">
      <c r="B9" s="92" t="s">
        <v>23</v>
      </c>
      <c r="C9" s="93"/>
      <c r="D9" s="93"/>
      <c r="E9" s="94"/>
      <c r="F9" s="94"/>
      <c r="G9" s="95"/>
      <c r="H9" s="96"/>
    </row>
    <row r="10" spans="2:9" ht="15.75" thickBot="1" x14ac:dyDescent="0.3">
      <c r="B10" s="98" t="s">
        <v>203</v>
      </c>
      <c r="C10" s="99"/>
      <c r="D10" s="99"/>
      <c r="E10" s="99"/>
      <c r="F10" s="99"/>
      <c r="G10" s="100"/>
      <c r="H10" s="88"/>
    </row>
    <row r="11" spans="2:9" ht="52.5" customHeight="1" thickBot="1" x14ac:dyDescent="0.3">
      <c r="B11" s="101"/>
      <c r="C11" s="102" t="s">
        <v>24</v>
      </c>
      <c r="D11" s="103" t="s">
        <v>25</v>
      </c>
      <c r="E11" s="491" t="s">
        <v>26</v>
      </c>
      <c r="F11" s="492"/>
      <c r="G11" s="104" t="s">
        <v>27</v>
      </c>
      <c r="H11" s="88"/>
    </row>
    <row r="12" spans="2:9" ht="23.25" x14ac:dyDescent="0.25">
      <c r="B12" s="105" t="s">
        <v>72</v>
      </c>
      <c r="C12" s="106"/>
      <c r="D12" s="107" t="s">
        <v>28</v>
      </c>
      <c r="E12" s="108" t="s">
        <v>29</v>
      </c>
      <c r="F12" s="109" t="s">
        <v>30</v>
      </c>
      <c r="G12" s="110" t="s">
        <v>31</v>
      </c>
      <c r="H12" s="88"/>
    </row>
    <row r="13" spans="2:9" s="97" customFormat="1" ht="13.5" thickBot="1" x14ac:dyDescent="0.25">
      <c r="B13" s="111" t="s">
        <v>80</v>
      </c>
      <c r="C13" s="112">
        <v>1</v>
      </c>
      <c r="D13" s="112">
        <v>2</v>
      </c>
      <c r="E13" s="112">
        <v>3</v>
      </c>
      <c r="F13" s="112">
        <v>4</v>
      </c>
      <c r="G13" s="113">
        <v>5</v>
      </c>
      <c r="H13" s="96"/>
    </row>
    <row r="14" spans="2:9" s="97" customFormat="1" x14ac:dyDescent="0.25">
      <c r="B14" s="493"/>
      <c r="C14" s="494"/>
      <c r="D14" s="494"/>
      <c r="E14" s="494"/>
      <c r="F14" s="494"/>
      <c r="G14" s="495"/>
      <c r="H14" s="96"/>
    </row>
    <row r="15" spans="2:9" s="97" customFormat="1" ht="26.45" customHeight="1" x14ac:dyDescent="0.2">
      <c r="B15" s="154" t="s">
        <v>67</v>
      </c>
      <c r="C15" s="177">
        <f>SUM(C16:C18)</f>
        <v>19700000</v>
      </c>
      <c r="D15" s="181">
        <f>SUM(D16:D18)</f>
        <v>19398100</v>
      </c>
      <c r="E15" s="177">
        <f>SUM(E16:E18)</f>
        <v>490000</v>
      </c>
      <c r="F15" s="177">
        <f>SUM(F16:F18)</f>
        <v>0</v>
      </c>
      <c r="G15" s="181">
        <f t="shared" ref="G15:G18" si="0">+D15+E15-F15</f>
        <v>19888100</v>
      </c>
      <c r="H15" s="96"/>
      <c r="I15" s="239"/>
    </row>
    <row r="16" spans="2:9" s="97" customFormat="1" ht="25.5" x14ac:dyDescent="0.2">
      <c r="B16" s="168" t="s">
        <v>68</v>
      </c>
      <c r="C16" s="167">
        <v>12000000</v>
      </c>
      <c r="D16" s="182">
        <f>'QFR - B'!I15</f>
        <v>12000000</v>
      </c>
      <c r="E16" s="178"/>
      <c r="F16" s="178">
        <v>0</v>
      </c>
      <c r="G16" s="182">
        <f t="shared" si="0"/>
        <v>12000000</v>
      </c>
      <c r="H16" s="96"/>
      <c r="I16" s="239" t="s">
        <v>101</v>
      </c>
    </row>
    <row r="17" spans="2:9" ht="45" customHeight="1" x14ac:dyDescent="0.25">
      <c r="B17" s="168" t="s">
        <v>69</v>
      </c>
      <c r="C17" s="167">
        <v>4700000</v>
      </c>
      <c r="D17" s="182">
        <f>'QFR - B'!I16</f>
        <v>4300000</v>
      </c>
      <c r="E17" s="178">
        <v>490000</v>
      </c>
      <c r="F17" s="178"/>
      <c r="G17" s="182">
        <f t="shared" si="0"/>
        <v>4790000</v>
      </c>
    </row>
    <row r="18" spans="2:9" ht="25.5" x14ac:dyDescent="0.25">
      <c r="B18" s="168" t="s">
        <v>70</v>
      </c>
      <c r="C18" s="167">
        <v>3000000</v>
      </c>
      <c r="D18" s="182">
        <f>'QFR - B'!I17</f>
        <v>3098100</v>
      </c>
      <c r="E18" s="178">
        <v>0</v>
      </c>
      <c r="F18" s="178"/>
      <c r="G18" s="182">
        <f t="shared" si="0"/>
        <v>3098100</v>
      </c>
    </row>
    <row r="19" spans="2:9" x14ac:dyDescent="0.25">
      <c r="B19" s="169"/>
      <c r="C19" s="167"/>
      <c r="D19" s="182"/>
      <c r="E19" s="178"/>
      <c r="F19" s="178"/>
      <c r="G19" s="182"/>
    </row>
    <row r="20" spans="2:9" ht="25.5" x14ac:dyDescent="0.25">
      <c r="B20" s="170" t="s">
        <v>73</v>
      </c>
      <c r="C20" s="158">
        <f>SUM(C21:C22)</f>
        <v>4000000</v>
      </c>
      <c r="D20" s="183">
        <f>SUM(D21:D22)</f>
        <v>4107400</v>
      </c>
      <c r="E20" s="158">
        <f>SUM(E21:E22)</f>
        <v>415000</v>
      </c>
      <c r="F20" s="158">
        <f>SUM(F21:F22)</f>
        <v>1155000</v>
      </c>
      <c r="G20" s="183">
        <f>+D20+E20-F20</f>
        <v>3367400</v>
      </c>
      <c r="I20" s="245"/>
    </row>
    <row r="21" spans="2:9" ht="25.5" x14ac:dyDescent="0.25">
      <c r="B21" s="168" t="s">
        <v>76</v>
      </c>
      <c r="C21" s="167">
        <v>0</v>
      </c>
      <c r="D21" s="182">
        <f>'QFR - B'!I20</f>
        <v>800000</v>
      </c>
      <c r="E21" s="178">
        <v>415000</v>
      </c>
      <c r="F21" s="178"/>
      <c r="G21" s="182">
        <f>+D21+E21-F21</f>
        <v>1215000</v>
      </c>
    </row>
    <row r="22" spans="2:9" ht="25.5" x14ac:dyDescent="0.25">
      <c r="B22" s="168" t="s">
        <v>77</v>
      </c>
      <c r="C22" s="167">
        <v>4000000</v>
      </c>
      <c r="D22" s="182">
        <f>'QFR - B'!I21</f>
        <v>3307400</v>
      </c>
      <c r="E22" s="178"/>
      <c r="F22" s="178">
        <v>1155000</v>
      </c>
      <c r="G22" s="182">
        <f>+D22+E22-F22</f>
        <v>2152400</v>
      </c>
    </row>
    <row r="23" spans="2:9" x14ac:dyDescent="0.25">
      <c r="B23" s="169"/>
      <c r="C23" s="167"/>
      <c r="D23" s="184"/>
      <c r="E23" s="178"/>
      <c r="F23" s="178"/>
      <c r="G23" s="184"/>
      <c r="H23" s="245"/>
    </row>
    <row r="24" spans="2:9" ht="26.45" customHeight="1" x14ac:dyDescent="0.25">
      <c r="B24" s="155" t="s">
        <v>74</v>
      </c>
      <c r="C24" s="158">
        <f>SUM(C25)</f>
        <v>1700000</v>
      </c>
      <c r="D24" s="183">
        <f t="shared" ref="D24:G24" si="1">SUM(D25)</f>
        <v>1431000</v>
      </c>
      <c r="E24" s="158">
        <f t="shared" si="1"/>
        <v>0</v>
      </c>
      <c r="F24" s="158">
        <f t="shared" si="1"/>
        <v>0</v>
      </c>
      <c r="G24" s="183">
        <f t="shared" si="1"/>
        <v>1431000</v>
      </c>
      <c r="I24" s="245"/>
    </row>
    <row r="25" spans="2:9" ht="26.45" customHeight="1" x14ac:dyDescent="0.25">
      <c r="B25" s="174" t="s">
        <v>78</v>
      </c>
      <c r="C25" s="167">
        <v>1700000</v>
      </c>
      <c r="D25" s="182">
        <f>'QFR - B'!I24</f>
        <v>1431000</v>
      </c>
      <c r="E25" s="178"/>
      <c r="F25" s="178">
        <v>0</v>
      </c>
      <c r="G25" s="182">
        <f>+D25+E25-F25</f>
        <v>1431000</v>
      </c>
    </row>
    <row r="26" spans="2:9" x14ac:dyDescent="0.25">
      <c r="B26" s="169"/>
      <c r="C26" s="167"/>
      <c r="D26" s="184"/>
      <c r="E26" s="178"/>
      <c r="F26" s="178"/>
      <c r="G26" s="184"/>
    </row>
    <row r="27" spans="2:9" ht="26.45" customHeight="1" x14ac:dyDescent="0.25">
      <c r="B27" s="155" t="s">
        <v>75</v>
      </c>
      <c r="C27" s="158">
        <f>SUM(C28)</f>
        <v>800000</v>
      </c>
      <c r="D27" s="183">
        <f t="shared" ref="D27:G27" si="2">SUM(D28)</f>
        <v>1261000</v>
      </c>
      <c r="E27" s="158">
        <f t="shared" si="2"/>
        <v>250000</v>
      </c>
      <c r="F27" s="158">
        <f t="shared" si="2"/>
        <v>0</v>
      </c>
      <c r="G27" s="183">
        <f t="shared" si="2"/>
        <v>1511000</v>
      </c>
      <c r="I27" s="245"/>
    </row>
    <row r="28" spans="2:9" ht="26.45" customHeight="1" x14ac:dyDescent="0.25">
      <c r="B28" s="174" t="s">
        <v>79</v>
      </c>
      <c r="C28" s="167">
        <v>800000</v>
      </c>
      <c r="D28" s="182">
        <f>'QFR - B'!I27</f>
        <v>1261000</v>
      </c>
      <c r="E28" s="178">
        <v>250000</v>
      </c>
      <c r="F28" s="178">
        <v>0</v>
      </c>
      <c r="G28" s="182">
        <f>+D28+E28-F28</f>
        <v>1511000</v>
      </c>
    </row>
    <row r="29" spans="2:9" ht="15.75" thickBot="1" x14ac:dyDescent="0.3">
      <c r="B29" s="172"/>
      <c r="C29" s="179"/>
      <c r="D29" s="185"/>
      <c r="E29" s="179"/>
      <c r="F29" s="179"/>
      <c r="G29" s="185"/>
    </row>
    <row r="30" spans="2:9" ht="26.45" customHeight="1" thickBot="1" x14ac:dyDescent="0.3">
      <c r="B30" s="173" t="s">
        <v>32</v>
      </c>
      <c r="C30" s="180">
        <f>+C15+C20+C24+C27</f>
        <v>26200000</v>
      </c>
      <c r="D30" s="180">
        <f>+D15+D20+D24+D27</f>
        <v>26197500</v>
      </c>
      <c r="E30" s="180">
        <f>+E15+E20+E24+E27</f>
        <v>1155000</v>
      </c>
      <c r="F30" s="180">
        <f>+F15+F20+F24+F27</f>
        <v>1155000</v>
      </c>
      <c r="G30" s="186">
        <f>+G15+G20+G24+G27</f>
        <v>26197500</v>
      </c>
      <c r="I30" s="246"/>
    </row>
    <row r="31" spans="2:9" x14ac:dyDescent="0.25">
      <c r="B31" t="s">
        <v>235</v>
      </c>
    </row>
    <row r="33" spans="2:7" x14ac:dyDescent="0.25">
      <c r="B33" s="217" t="s">
        <v>106</v>
      </c>
      <c r="C33" s="218"/>
      <c r="D33" s="218"/>
      <c r="E33" s="218"/>
      <c r="F33" s="218"/>
      <c r="G33" s="219"/>
    </row>
    <row r="34" spans="2:7" ht="25.5" x14ac:dyDescent="0.25">
      <c r="B34" s="170" t="s">
        <v>73</v>
      </c>
      <c r="C34" s="158">
        <f>SUM(C35)</f>
        <v>1800000</v>
      </c>
      <c r="D34" s="158">
        <f>SUM(D35)</f>
        <v>1800000</v>
      </c>
      <c r="E34" s="158">
        <f>E35</f>
        <v>0</v>
      </c>
      <c r="F34" s="158">
        <f>F35</f>
        <v>0</v>
      </c>
      <c r="G34" s="183">
        <f>+D34+E34-F34</f>
        <v>1800000</v>
      </c>
    </row>
    <row r="35" spans="2:7" ht="25.5" x14ac:dyDescent="0.25">
      <c r="B35" s="168" t="s">
        <v>105</v>
      </c>
      <c r="C35" s="167">
        <v>1800000</v>
      </c>
      <c r="D35" s="182">
        <f>'[1]QFR - B'!G34</f>
        <v>1800000</v>
      </c>
      <c r="E35" s="328"/>
      <c r="F35" s="328"/>
      <c r="G35" s="182">
        <f>D35+E35-F35</f>
        <v>1800000</v>
      </c>
    </row>
    <row r="36" spans="2:7" ht="26.25" x14ac:dyDescent="0.25">
      <c r="B36" s="155" t="s">
        <v>75</v>
      </c>
      <c r="C36" s="158">
        <f>SUM(C37)</f>
        <v>0</v>
      </c>
      <c r="D36" s="183">
        <f t="shared" ref="D36:G36" si="3">SUM(D37)</f>
        <v>2500</v>
      </c>
      <c r="E36" s="158">
        <f t="shared" si="3"/>
        <v>0</v>
      </c>
      <c r="F36" s="158">
        <f t="shared" si="3"/>
        <v>0</v>
      </c>
      <c r="G36" s="183">
        <f t="shared" si="3"/>
        <v>2500</v>
      </c>
    </row>
    <row r="37" spans="2:7" x14ac:dyDescent="0.25">
      <c r="B37" s="174" t="s">
        <v>79</v>
      </c>
      <c r="C37" s="167">
        <v>0</v>
      </c>
      <c r="D37" s="182">
        <v>2500</v>
      </c>
      <c r="E37" s="178">
        <v>0</v>
      </c>
      <c r="F37" s="328"/>
      <c r="G37" s="182">
        <f>+D37+E37-F37</f>
        <v>2500</v>
      </c>
    </row>
    <row r="38" spans="2:7" ht="15.75" thickBot="1" x14ac:dyDescent="0.3">
      <c r="B38" s="173" t="s">
        <v>32</v>
      </c>
      <c r="C38" s="180">
        <f>C34+C36</f>
        <v>1800000</v>
      </c>
      <c r="D38" s="180">
        <f>D34+D36</f>
        <v>1802500</v>
      </c>
      <c r="E38" s="180">
        <f>E34+E36</f>
        <v>0</v>
      </c>
      <c r="F38" s="180">
        <f>F34+F36</f>
        <v>0</v>
      </c>
      <c r="G38" s="180">
        <f>G34+G36</f>
        <v>1802500</v>
      </c>
    </row>
  </sheetData>
  <mergeCells count="2">
    <mergeCell ref="E11:F11"/>
    <mergeCell ref="B14:G14"/>
  </mergeCells>
  <phoneticPr fontId="28" type="noConversion"/>
  <conditionalFormatting sqref="D30:G30">
    <cfRule type="cellIs" dxfId="4" priority="5" stopIfTrue="1" operator="equal">
      <formula>0</formula>
    </cfRule>
  </conditionalFormatting>
  <conditionalFormatting sqref="C30">
    <cfRule type="cellIs" dxfId="3" priority="4" stopIfTrue="1" operator="equal">
      <formula>0</formula>
    </cfRule>
  </conditionalFormatting>
  <conditionalFormatting sqref="C38:G38">
    <cfRule type="cellIs" dxfId="2" priority="1" stopIfTrue="1" operator="equal">
      <formula>0</formula>
    </cfRule>
  </conditionalFormatting>
  <pageMargins left="0.70866141732283472" right="0.70866141732283472" top="0.74803149606299213" bottom="0.74803149606299213" header="0.31496062992125984" footer="0.31496062992125984"/>
  <pageSetup scale="58"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K39"/>
  <sheetViews>
    <sheetView showGridLines="0" topLeftCell="B16" zoomScaleNormal="100" zoomScalePageLayoutView="90" workbookViewId="0">
      <selection activeCell="D6" sqref="D6"/>
    </sheetView>
  </sheetViews>
  <sheetFormatPr baseColWidth="10" defaultColWidth="9.140625" defaultRowHeight="15" x14ac:dyDescent="0.25"/>
  <cols>
    <col min="1" max="1" width="3.42578125" customWidth="1"/>
    <col min="2" max="2" width="33.85546875" customWidth="1"/>
    <col min="3" max="3" width="16.42578125" customWidth="1"/>
    <col min="4" max="4" width="21" bestFit="1" customWidth="1"/>
    <col min="5" max="6" width="16.42578125" customWidth="1"/>
    <col min="7" max="8" width="16.42578125" style="290" customWidth="1"/>
    <col min="9" max="9" width="16.42578125" customWidth="1"/>
    <col min="10" max="10" width="14.140625" bestFit="1" customWidth="1"/>
  </cols>
  <sheetData>
    <row r="1" spans="1:37" x14ac:dyDescent="0.25">
      <c r="B1" s="71" t="s">
        <v>21</v>
      </c>
      <c r="C1" s="72"/>
      <c r="D1" s="72"/>
      <c r="E1" s="72"/>
      <c r="F1" s="72"/>
      <c r="G1" s="72"/>
      <c r="H1" s="72"/>
      <c r="I1" s="73"/>
    </row>
    <row r="2" spans="1:37" x14ac:dyDescent="0.25">
      <c r="B2" s="74"/>
      <c r="C2" s="75" t="s">
        <v>1</v>
      </c>
      <c r="D2" s="148" t="s">
        <v>63</v>
      </c>
      <c r="E2" s="76"/>
      <c r="F2" s="76"/>
      <c r="G2" s="76"/>
      <c r="H2" s="76"/>
      <c r="I2" s="79"/>
    </row>
    <row r="3" spans="1:37" x14ac:dyDescent="0.25">
      <c r="B3" s="74"/>
      <c r="C3" s="75" t="s">
        <v>2</v>
      </c>
      <c r="D3" s="148" t="s">
        <v>64</v>
      </c>
      <c r="E3" s="76"/>
      <c r="F3" s="76"/>
      <c r="G3" s="76"/>
      <c r="H3" s="76"/>
      <c r="I3" s="79"/>
    </row>
    <row r="4" spans="1:37" x14ac:dyDescent="0.25">
      <c r="B4" s="74"/>
      <c r="C4" s="75" t="s">
        <v>3</v>
      </c>
      <c r="D4" s="148" t="str">
        <f>'THP DR'!B7</f>
        <v>TR14GTM15001</v>
      </c>
      <c r="E4" s="76"/>
      <c r="F4" s="76"/>
      <c r="G4" s="76"/>
      <c r="H4" s="76"/>
      <c r="I4" s="79"/>
    </row>
    <row r="5" spans="1:37" x14ac:dyDescent="0.25">
      <c r="B5" s="74"/>
      <c r="C5" s="75" t="s">
        <v>4</v>
      </c>
      <c r="D5" s="149">
        <v>43920</v>
      </c>
      <c r="E5" s="80"/>
      <c r="F5" s="80"/>
      <c r="G5" s="80"/>
      <c r="H5" s="80"/>
      <c r="I5" s="79"/>
    </row>
    <row r="6" spans="1:37" ht="5.0999999999999996" customHeight="1" thickBot="1" x14ac:dyDescent="0.3">
      <c r="B6" s="81"/>
      <c r="C6" s="82"/>
      <c r="D6" s="82"/>
      <c r="E6" s="82"/>
      <c r="F6" s="82"/>
      <c r="G6" s="82"/>
      <c r="H6" s="82"/>
      <c r="I6" s="84"/>
    </row>
    <row r="7" spans="1:37" x14ac:dyDescent="0.25">
      <c r="B7" s="85" t="s">
        <v>33</v>
      </c>
      <c r="C7" s="114"/>
      <c r="D7" s="114"/>
      <c r="E7" s="114"/>
      <c r="F7" s="114"/>
      <c r="G7" s="114"/>
      <c r="H7" s="114"/>
      <c r="I7" s="115"/>
    </row>
    <row r="8" spans="1:37" x14ac:dyDescent="0.25">
      <c r="A8" s="97"/>
      <c r="B8" s="89" t="str">
        <f>'QFR - A'!B8</f>
        <v>Disbursement Period:01-abr-20 to 30-jun-20</v>
      </c>
      <c r="C8" s="90"/>
      <c r="D8" s="90"/>
      <c r="E8" s="90"/>
      <c r="F8" s="90"/>
      <c r="G8" s="90"/>
      <c r="H8" s="90"/>
      <c r="I8" s="91"/>
    </row>
    <row r="9" spans="1:37" x14ac:dyDescent="0.25">
      <c r="B9" s="150" t="s">
        <v>34</v>
      </c>
      <c r="C9" s="93"/>
      <c r="D9" s="93"/>
      <c r="E9" s="93"/>
      <c r="F9" s="93"/>
      <c r="G9" s="93"/>
      <c r="H9" s="93"/>
      <c r="I9" s="95"/>
      <c r="AK9">
        <v>18.62</v>
      </c>
    </row>
    <row r="10" spans="1:37" ht="15.75" thickBot="1" x14ac:dyDescent="0.3">
      <c r="B10" s="150" t="str">
        <f>'QFR - A'!B10</f>
        <v>Out of Cycle Report:  Yes [ ] | No [ x ]</v>
      </c>
      <c r="C10" s="93"/>
      <c r="D10" s="93"/>
      <c r="E10" s="93"/>
      <c r="F10" s="93"/>
      <c r="G10" s="93"/>
      <c r="H10" s="93"/>
      <c r="I10" s="95"/>
    </row>
    <row r="11" spans="1:37" ht="15" customHeight="1" x14ac:dyDescent="0.25">
      <c r="B11" s="152"/>
      <c r="C11" s="496" t="s">
        <v>24</v>
      </c>
      <c r="D11" s="496" t="s">
        <v>210</v>
      </c>
      <c r="E11" s="496" t="s">
        <v>239</v>
      </c>
      <c r="F11" s="496" t="s">
        <v>258</v>
      </c>
      <c r="G11" s="496" t="s">
        <v>259</v>
      </c>
      <c r="H11" s="496" t="s">
        <v>276</v>
      </c>
      <c r="I11" s="496" t="s">
        <v>66</v>
      </c>
    </row>
    <row r="12" spans="1:37" ht="42" customHeight="1" thickBot="1" x14ac:dyDescent="0.3">
      <c r="B12" s="151" t="s">
        <v>72</v>
      </c>
      <c r="C12" s="497"/>
      <c r="D12" s="497"/>
      <c r="E12" s="497"/>
      <c r="F12" s="497"/>
      <c r="G12" s="497"/>
      <c r="H12" s="497"/>
      <c r="I12" s="497"/>
    </row>
    <row r="13" spans="1:37" ht="15" customHeight="1" x14ac:dyDescent="0.25">
      <c r="A13" s="97"/>
      <c r="B13" s="153" t="s">
        <v>71</v>
      </c>
      <c r="C13" s="156">
        <v>1</v>
      </c>
      <c r="D13" s="156">
        <f>C13+1</f>
        <v>2</v>
      </c>
      <c r="E13" s="156">
        <v>3</v>
      </c>
      <c r="F13" s="156">
        <v>4</v>
      </c>
      <c r="G13" s="367"/>
      <c r="H13" s="367"/>
      <c r="I13" s="163">
        <v>5</v>
      </c>
    </row>
    <row r="14" spans="1:37" ht="26.1" customHeight="1" x14ac:dyDescent="0.25">
      <c r="B14" s="154" t="s">
        <v>67</v>
      </c>
      <c r="C14" s="157">
        <f>SUM(C15:C17)</f>
        <v>19700000</v>
      </c>
      <c r="D14" s="271">
        <f>SUM(D15:D17)</f>
        <v>-400000</v>
      </c>
      <c r="E14" s="271">
        <f>SUM(E15:E17)</f>
        <v>0</v>
      </c>
      <c r="F14" s="271">
        <f>SUM(F15:F17)</f>
        <v>46000</v>
      </c>
      <c r="G14" s="271">
        <f t="shared" ref="G14:H14" si="0">SUM(G15:G17)</f>
        <v>0</v>
      </c>
      <c r="H14" s="271">
        <f t="shared" si="0"/>
        <v>52100</v>
      </c>
      <c r="I14" s="159">
        <f>C14+D14+E14+F14+G14+H14</f>
        <v>19398100</v>
      </c>
    </row>
    <row r="15" spans="1:37" ht="26.45" customHeight="1" x14ac:dyDescent="0.25">
      <c r="B15" s="168" t="s">
        <v>68</v>
      </c>
      <c r="C15" s="160">
        <v>12000000</v>
      </c>
      <c r="D15" s="272">
        <v>0</v>
      </c>
      <c r="E15" s="273">
        <v>0</v>
      </c>
      <c r="F15" s="273">
        <v>0</v>
      </c>
      <c r="G15" s="368"/>
      <c r="H15" s="368"/>
      <c r="I15" s="161">
        <f>C15+D15+E15+F15</f>
        <v>12000000</v>
      </c>
    </row>
    <row r="16" spans="1:37" ht="26.45" customHeight="1" x14ac:dyDescent="0.25">
      <c r="B16" s="168" t="s">
        <v>69</v>
      </c>
      <c r="C16" s="160">
        <v>4700000</v>
      </c>
      <c r="D16" s="272">
        <v>-400000</v>
      </c>
      <c r="E16" s="273">
        <v>0</v>
      </c>
      <c r="F16" s="273">
        <v>0</v>
      </c>
      <c r="G16" s="368"/>
      <c r="H16" s="368"/>
      <c r="I16" s="161">
        <f>C16+D16+E16+F16</f>
        <v>4300000</v>
      </c>
    </row>
    <row r="17" spans="2:10" ht="25.5" x14ac:dyDescent="0.25">
      <c r="B17" s="168" t="s">
        <v>70</v>
      </c>
      <c r="C17" s="160">
        <v>3000000</v>
      </c>
      <c r="D17" s="272">
        <v>0</v>
      </c>
      <c r="E17" s="273">
        <v>0</v>
      </c>
      <c r="F17" s="273">
        <v>46000</v>
      </c>
      <c r="G17" s="368"/>
      <c r="H17" s="368">
        <v>52100</v>
      </c>
      <c r="I17" s="161">
        <f>C17+D17+E17+F17+G17+H17</f>
        <v>3098100</v>
      </c>
    </row>
    <row r="18" spans="2:10" x14ac:dyDescent="0.25">
      <c r="B18" s="169"/>
      <c r="C18" s="160"/>
      <c r="D18" s="272"/>
      <c r="E18" s="273"/>
      <c r="F18" s="273"/>
      <c r="G18" s="368"/>
      <c r="H18" s="368"/>
      <c r="I18" s="161"/>
    </row>
    <row r="19" spans="2:10" ht="25.5" x14ac:dyDescent="0.25">
      <c r="B19" s="170" t="s">
        <v>73</v>
      </c>
      <c r="C19" s="157">
        <f t="shared" ref="C19:I19" si="1">SUM(C20:C21)</f>
        <v>4000000</v>
      </c>
      <c r="D19" s="271">
        <f t="shared" si="1"/>
        <v>400000</v>
      </c>
      <c r="E19" s="271">
        <f t="shared" si="1"/>
        <v>0</v>
      </c>
      <c r="F19" s="271">
        <f t="shared" si="1"/>
        <v>0</v>
      </c>
      <c r="G19" s="271">
        <f t="shared" si="1"/>
        <v>-40000</v>
      </c>
      <c r="H19" s="271">
        <f t="shared" si="1"/>
        <v>-252600</v>
      </c>
      <c r="I19" s="159">
        <f t="shared" si="1"/>
        <v>4107400</v>
      </c>
    </row>
    <row r="20" spans="2:10" ht="25.5" x14ac:dyDescent="0.25">
      <c r="B20" s="168" t="s">
        <v>76</v>
      </c>
      <c r="C20" s="160">
        <v>0</v>
      </c>
      <c r="D20" s="272">
        <v>800000</v>
      </c>
      <c r="E20" s="273">
        <v>0</v>
      </c>
      <c r="F20" s="273">
        <v>0</v>
      </c>
      <c r="G20" s="368"/>
      <c r="H20" s="368"/>
      <c r="I20" s="161">
        <f>C20+D20+E20+F20</f>
        <v>800000</v>
      </c>
    </row>
    <row r="21" spans="2:10" ht="25.5" x14ac:dyDescent="0.25">
      <c r="B21" s="168" t="s">
        <v>77</v>
      </c>
      <c r="C21" s="160">
        <v>4000000</v>
      </c>
      <c r="D21" s="272">
        <v>-400000</v>
      </c>
      <c r="E21" s="273">
        <v>0</v>
      </c>
      <c r="F21" s="273">
        <v>0</v>
      </c>
      <c r="G21" s="368">
        <v>-40000</v>
      </c>
      <c r="H21" s="368">
        <v>-252600</v>
      </c>
      <c r="I21" s="161">
        <f>C21+D21+E21+F21+G21+H21</f>
        <v>3307400</v>
      </c>
    </row>
    <row r="22" spans="2:10" x14ac:dyDescent="0.25">
      <c r="B22" s="169"/>
      <c r="C22" s="160"/>
      <c r="D22" s="272"/>
      <c r="E22" s="273"/>
      <c r="F22" s="273"/>
      <c r="G22" s="368"/>
      <c r="H22" s="368"/>
      <c r="I22" s="162"/>
    </row>
    <row r="23" spans="2:10" ht="26.45" customHeight="1" x14ac:dyDescent="0.25">
      <c r="B23" s="155" t="s">
        <v>74</v>
      </c>
      <c r="C23" s="157">
        <f>SUM(C24)</f>
        <v>1700000</v>
      </c>
      <c r="D23" s="271">
        <f>SUM(D24)</f>
        <v>0</v>
      </c>
      <c r="E23" s="271">
        <f>E24</f>
        <v>0</v>
      </c>
      <c r="F23" s="271">
        <f>F24</f>
        <v>-269000</v>
      </c>
      <c r="G23" s="271">
        <f t="shared" ref="G23:H23" si="2">G24</f>
        <v>0</v>
      </c>
      <c r="H23" s="271">
        <f t="shared" si="2"/>
        <v>0</v>
      </c>
      <c r="I23" s="159">
        <f t="shared" ref="I23" si="3">SUM(I24)</f>
        <v>1431000</v>
      </c>
    </row>
    <row r="24" spans="2:10" ht="24" customHeight="1" x14ac:dyDescent="0.25">
      <c r="B24" s="174" t="s">
        <v>78</v>
      </c>
      <c r="C24" s="160">
        <v>1700000</v>
      </c>
      <c r="D24" s="272">
        <v>0</v>
      </c>
      <c r="E24" s="273">
        <v>0</v>
      </c>
      <c r="F24" s="273">
        <v>-269000</v>
      </c>
      <c r="G24" s="368"/>
      <c r="H24" s="368"/>
      <c r="I24" s="161">
        <f>C24+D24+E24+F24</f>
        <v>1431000</v>
      </c>
    </row>
    <row r="25" spans="2:10" x14ac:dyDescent="0.25">
      <c r="B25" s="169"/>
      <c r="C25" s="160"/>
      <c r="D25" s="272"/>
      <c r="E25" s="273"/>
      <c r="F25" s="273"/>
      <c r="G25" s="368"/>
      <c r="H25" s="368"/>
      <c r="I25" s="162"/>
    </row>
    <row r="26" spans="2:10" ht="26.45" customHeight="1" x14ac:dyDescent="0.25">
      <c r="B26" s="171" t="s">
        <v>75</v>
      </c>
      <c r="C26" s="157">
        <f>SUM(C27)</f>
        <v>800000</v>
      </c>
      <c r="D26" s="271">
        <f>SUM(D27)</f>
        <v>0</v>
      </c>
      <c r="E26" s="271">
        <f>E27</f>
        <v>-2500</v>
      </c>
      <c r="F26" s="271">
        <f>F27</f>
        <v>223000</v>
      </c>
      <c r="G26" s="271">
        <f>G27</f>
        <v>40000</v>
      </c>
      <c r="H26" s="271">
        <f>H27</f>
        <v>200500</v>
      </c>
      <c r="I26" s="159">
        <f t="shared" ref="I26" si="4">SUM(I27)</f>
        <v>1261000</v>
      </c>
    </row>
    <row r="27" spans="2:10" ht="24" customHeight="1" x14ac:dyDescent="0.25">
      <c r="B27" s="174" t="s">
        <v>79</v>
      </c>
      <c r="C27" s="160">
        <v>800000</v>
      </c>
      <c r="D27" s="272">
        <v>0</v>
      </c>
      <c r="E27" s="273">
        <v>-2500</v>
      </c>
      <c r="F27" s="273">
        <v>223000</v>
      </c>
      <c r="G27" s="368">
        <v>40000</v>
      </c>
      <c r="H27" s="368">
        <v>200500</v>
      </c>
      <c r="I27" s="161">
        <f>C27+D27+E27+F27+G27+H27</f>
        <v>1261000</v>
      </c>
      <c r="J27" s="236"/>
    </row>
    <row r="28" spans="2:10" ht="15.75" thickBot="1" x14ac:dyDescent="0.3">
      <c r="B28" s="172"/>
      <c r="C28" s="164"/>
      <c r="D28" s="274"/>
      <c r="E28" s="275"/>
      <c r="F28" s="275"/>
      <c r="G28" s="369"/>
      <c r="H28" s="369"/>
      <c r="I28" s="165"/>
    </row>
    <row r="29" spans="2:10" ht="26.1" customHeight="1" thickBot="1" x14ac:dyDescent="0.3">
      <c r="B29" s="173" t="s">
        <v>32</v>
      </c>
      <c r="C29" s="166">
        <f>C14+C19+C23+C26</f>
        <v>26200000</v>
      </c>
      <c r="D29" s="276">
        <f t="shared" ref="D29:G29" si="5">D14+D19+D23+D26</f>
        <v>0</v>
      </c>
      <c r="E29" s="276">
        <f t="shared" si="5"/>
        <v>-2500</v>
      </c>
      <c r="F29" s="276">
        <f t="shared" si="5"/>
        <v>0</v>
      </c>
      <c r="G29" s="276">
        <f t="shared" si="5"/>
        <v>0</v>
      </c>
      <c r="H29" s="276"/>
      <c r="I29" s="166">
        <f>I26+I23+I19+I14</f>
        <v>26197500</v>
      </c>
    </row>
    <row r="30" spans="2:10" x14ac:dyDescent="0.25">
      <c r="B30" t="s">
        <v>235</v>
      </c>
    </row>
    <row r="32" spans="2:10" x14ac:dyDescent="0.25">
      <c r="B32" s="217" t="s">
        <v>106</v>
      </c>
      <c r="C32" s="218"/>
      <c r="D32" s="218"/>
      <c r="E32" s="218"/>
      <c r="F32" s="218"/>
      <c r="G32" s="218"/>
      <c r="H32" s="218"/>
      <c r="I32" s="219"/>
    </row>
    <row r="33" spans="2:10" ht="25.5" x14ac:dyDescent="0.25">
      <c r="B33" s="170" t="s">
        <v>73</v>
      </c>
      <c r="C33" s="158">
        <f>SUM(C34)</f>
        <v>1800000</v>
      </c>
      <c r="D33" s="158">
        <f t="shared" ref="D33:I35" si="6">SUM(D34)</f>
        <v>0</v>
      </c>
      <c r="E33" s="158">
        <f t="shared" si="6"/>
        <v>0</v>
      </c>
      <c r="F33" s="158">
        <f t="shared" si="6"/>
        <v>0</v>
      </c>
      <c r="G33" s="158"/>
      <c r="H33" s="158"/>
      <c r="I33" s="158">
        <f t="shared" si="6"/>
        <v>1800000</v>
      </c>
    </row>
    <row r="34" spans="2:10" ht="25.5" x14ac:dyDescent="0.25">
      <c r="B34" s="168" t="s">
        <v>105</v>
      </c>
      <c r="C34" s="167">
        <v>1800000</v>
      </c>
      <c r="D34" s="182"/>
      <c r="E34" s="182">
        <v>0</v>
      </c>
      <c r="F34" s="182"/>
      <c r="G34" s="182"/>
      <c r="H34" s="182"/>
      <c r="I34" s="161">
        <f>C34+D34+E34+F34</f>
        <v>1800000</v>
      </c>
      <c r="J34" s="236"/>
    </row>
    <row r="35" spans="2:10" s="290" customFormat="1" x14ac:dyDescent="0.25">
      <c r="B35" s="171" t="s">
        <v>75</v>
      </c>
      <c r="C35" s="158">
        <f>SUM(C36)</f>
        <v>0</v>
      </c>
      <c r="D35" s="158">
        <f t="shared" si="6"/>
        <v>0</v>
      </c>
      <c r="E35" s="158">
        <f t="shared" si="6"/>
        <v>2500</v>
      </c>
      <c r="F35" s="158">
        <f t="shared" si="6"/>
        <v>0</v>
      </c>
      <c r="G35" s="158"/>
      <c r="H35" s="158"/>
      <c r="I35" s="158">
        <f t="shared" si="6"/>
        <v>2500</v>
      </c>
    </row>
    <row r="36" spans="2:10" s="290" customFormat="1" x14ac:dyDescent="0.25">
      <c r="B36" s="174" t="s">
        <v>79</v>
      </c>
      <c r="C36" s="330"/>
      <c r="D36" s="331"/>
      <c r="E36" s="182">
        <v>2500</v>
      </c>
      <c r="F36" s="182"/>
      <c r="G36" s="182"/>
      <c r="H36" s="182"/>
      <c r="I36" s="161">
        <f>C36+D36+E36+F36</f>
        <v>2500</v>
      </c>
    </row>
    <row r="37" spans="2:10" ht="26.45" customHeight="1" thickBot="1" x14ac:dyDescent="0.3">
      <c r="B37" s="173" t="s">
        <v>32</v>
      </c>
      <c r="C37" s="180">
        <f>C34</f>
        <v>1800000</v>
      </c>
      <c r="D37" s="180">
        <f>D34</f>
        <v>0</v>
      </c>
      <c r="E37" s="180">
        <f>E34+E36</f>
        <v>2500</v>
      </c>
      <c r="F37" s="180">
        <f t="shared" ref="F37" si="7">F34</f>
        <v>0</v>
      </c>
      <c r="G37" s="180"/>
      <c r="H37" s="180"/>
      <c r="I37" s="180">
        <f>+I35+I33</f>
        <v>1802500</v>
      </c>
    </row>
    <row r="38" spans="2:10" x14ac:dyDescent="0.25">
      <c r="I38" s="236"/>
      <c r="J38" s="246"/>
    </row>
    <row r="39" spans="2:10" x14ac:dyDescent="0.25">
      <c r="I39" s="236"/>
      <c r="J39" s="246"/>
    </row>
  </sheetData>
  <mergeCells count="7">
    <mergeCell ref="E11:E12"/>
    <mergeCell ref="C11:C12"/>
    <mergeCell ref="I11:I12"/>
    <mergeCell ref="D11:D12"/>
    <mergeCell ref="F11:F12"/>
    <mergeCell ref="G11:G12"/>
    <mergeCell ref="H11:H12"/>
  </mergeCells>
  <phoneticPr fontId="28" type="noConversion"/>
  <conditionalFormatting sqref="D37:I37">
    <cfRule type="cellIs" dxfId="1" priority="2" stopIfTrue="1" operator="equal">
      <formula>0</formula>
    </cfRule>
  </conditionalFormatting>
  <conditionalFormatting sqref="C37">
    <cfRule type="cellIs" dxfId="0" priority="1" stopIfTrue="1" operator="equal">
      <formula>0</formula>
    </cfRule>
  </conditionalFormatting>
  <pageMargins left="0.70866141732283472" right="0.70866141732283472" top="0.74803149606299213" bottom="0.74803149606299213" header="0.31496062992125984" footer="0.31496062992125984"/>
  <pageSetup scale="72"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F45"/>
  <sheetViews>
    <sheetView showGridLines="0" zoomScale="115" zoomScaleNormal="115" workbookViewId="0">
      <selection activeCell="A33" sqref="A33:B33"/>
    </sheetView>
  </sheetViews>
  <sheetFormatPr baseColWidth="10" defaultColWidth="11.42578125" defaultRowHeight="12.75" x14ac:dyDescent="0.2"/>
  <cols>
    <col min="1" max="1" width="73.42578125" style="118" customWidth="1"/>
    <col min="2" max="2" width="38.42578125" style="147" customWidth="1"/>
    <col min="3" max="256" width="9.140625" style="118" customWidth="1"/>
    <col min="257" max="257" width="73.42578125" style="118" customWidth="1"/>
    <col min="258" max="258" width="24.42578125" style="118" customWidth="1"/>
    <col min="259" max="512" width="9.140625" style="118" customWidth="1"/>
    <col min="513" max="513" width="73.42578125" style="118" customWidth="1"/>
    <col min="514" max="514" width="24.42578125" style="118" customWidth="1"/>
    <col min="515" max="768" width="9.140625" style="118" customWidth="1"/>
    <col min="769" max="769" width="73.42578125" style="118" customWidth="1"/>
    <col min="770" max="770" width="24.42578125" style="118" customWidth="1"/>
    <col min="771" max="1024" width="9.140625" style="118" customWidth="1"/>
    <col min="1025" max="1025" width="73.42578125" style="118" customWidth="1"/>
    <col min="1026" max="1026" width="24.42578125" style="118" customWidth="1"/>
    <col min="1027" max="1280" width="9.140625" style="118" customWidth="1"/>
    <col min="1281" max="1281" width="73.42578125" style="118" customWidth="1"/>
    <col min="1282" max="1282" width="24.42578125" style="118" customWidth="1"/>
    <col min="1283" max="1536" width="9.140625" style="118" customWidth="1"/>
    <col min="1537" max="1537" width="73.42578125" style="118" customWidth="1"/>
    <col min="1538" max="1538" width="24.42578125" style="118" customWidth="1"/>
    <col min="1539" max="1792" width="9.140625" style="118" customWidth="1"/>
    <col min="1793" max="1793" width="73.42578125" style="118" customWidth="1"/>
    <col min="1794" max="1794" width="24.42578125" style="118" customWidth="1"/>
    <col min="1795" max="2048" width="9.140625" style="118" customWidth="1"/>
    <col min="2049" max="2049" width="73.42578125" style="118" customWidth="1"/>
    <col min="2050" max="2050" width="24.42578125" style="118" customWidth="1"/>
    <col min="2051" max="2304" width="9.140625" style="118" customWidth="1"/>
    <col min="2305" max="2305" width="73.42578125" style="118" customWidth="1"/>
    <col min="2306" max="2306" width="24.42578125" style="118" customWidth="1"/>
    <col min="2307" max="2560" width="9.140625" style="118" customWidth="1"/>
    <col min="2561" max="2561" width="73.42578125" style="118" customWidth="1"/>
    <col min="2562" max="2562" width="24.42578125" style="118" customWidth="1"/>
    <col min="2563" max="2816" width="9.140625" style="118" customWidth="1"/>
    <col min="2817" max="2817" width="73.42578125" style="118" customWidth="1"/>
    <col min="2818" max="2818" width="24.42578125" style="118" customWidth="1"/>
    <col min="2819" max="3072" width="9.140625" style="118" customWidth="1"/>
    <col min="3073" max="3073" width="73.42578125" style="118" customWidth="1"/>
    <col min="3074" max="3074" width="24.42578125" style="118" customWidth="1"/>
    <col min="3075" max="3328" width="9.140625" style="118" customWidth="1"/>
    <col min="3329" max="3329" width="73.42578125" style="118" customWidth="1"/>
    <col min="3330" max="3330" width="24.42578125" style="118" customWidth="1"/>
    <col min="3331" max="3584" width="9.140625" style="118" customWidth="1"/>
    <col min="3585" max="3585" width="73.42578125" style="118" customWidth="1"/>
    <col min="3586" max="3586" width="24.42578125" style="118" customWidth="1"/>
    <col min="3587" max="3840" width="9.140625" style="118" customWidth="1"/>
    <col min="3841" max="3841" width="73.42578125" style="118" customWidth="1"/>
    <col min="3842" max="3842" width="24.42578125" style="118" customWidth="1"/>
    <col min="3843" max="4096" width="9.140625" style="118" customWidth="1"/>
    <col min="4097" max="4097" width="73.42578125" style="118" customWidth="1"/>
    <col min="4098" max="4098" width="24.42578125" style="118" customWidth="1"/>
    <col min="4099" max="4352" width="9.140625" style="118" customWidth="1"/>
    <col min="4353" max="4353" width="73.42578125" style="118" customWidth="1"/>
    <col min="4354" max="4354" width="24.42578125" style="118" customWidth="1"/>
    <col min="4355" max="4608" width="9.140625" style="118" customWidth="1"/>
    <col min="4609" max="4609" width="73.42578125" style="118" customWidth="1"/>
    <col min="4610" max="4610" width="24.42578125" style="118" customWidth="1"/>
    <col min="4611" max="4864" width="9.140625" style="118" customWidth="1"/>
    <col min="4865" max="4865" width="73.42578125" style="118" customWidth="1"/>
    <col min="4866" max="4866" width="24.42578125" style="118" customWidth="1"/>
    <col min="4867" max="5120" width="9.140625" style="118" customWidth="1"/>
    <col min="5121" max="5121" width="73.42578125" style="118" customWidth="1"/>
    <col min="5122" max="5122" width="24.42578125" style="118" customWidth="1"/>
    <col min="5123" max="5376" width="9.140625" style="118" customWidth="1"/>
    <col min="5377" max="5377" width="73.42578125" style="118" customWidth="1"/>
    <col min="5378" max="5378" width="24.42578125" style="118" customWidth="1"/>
    <col min="5379" max="5632" width="9.140625" style="118" customWidth="1"/>
    <col min="5633" max="5633" width="73.42578125" style="118" customWidth="1"/>
    <col min="5634" max="5634" width="24.42578125" style="118" customWidth="1"/>
    <col min="5635" max="5888" width="9.140625" style="118" customWidth="1"/>
    <col min="5889" max="5889" width="73.42578125" style="118" customWidth="1"/>
    <col min="5890" max="5890" width="24.42578125" style="118" customWidth="1"/>
    <col min="5891" max="6144" width="9.140625" style="118" customWidth="1"/>
    <col min="6145" max="6145" width="73.42578125" style="118" customWidth="1"/>
    <col min="6146" max="6146" width="24.42578125" style="118" customWidth="1"/>
    <col min="6147" max="6400" width="9.140625" style="118" customWidth="1"/>
    <col min="6401" max="6401" width="73.42578125" style="118" customWidth="1"/>
    <col min="6402" max="6402" width="24.42578125" style="118" customWidth="1"/>
    <col min="6403" max="6656" width="9.140625" style="118" customWidth="1"/>
    <col min="6657" max="6657" width="73.42578125" style="118" customWidth="1"/>
    <col min="6658" max="6658" width="24.42578125" style="118" customWidth="1"/>
    <col min="6659" max="6912" width="9.140625" style="118" customWidth="1"/>
    <col min="6913" max="6913" width="73.42578125" style="118" customWidth="1"/>
    <col min="6914" max="6914" width="24.42578125" style="118" customWidth="1"/>
    <col min="6915" max="7168" width="9.140625" style="118" customWidth="1"/>
    <col min="7169" max="7169" width="73.42578125" style="118" customWidth="1"/>
    <col min="7170" max="7170" width="24.42578125" style="118" customWidth="1"/>
    <col min="7171" max="7424" width="9.140625" style="118" customWidth="1"/>
    <col min="7425" max="7425" width="73.42578125" style="118" customWidth="1"/>
    <col min="7426" max="7426" width="24.42578125" style="118" customWidth="1"/>
    <col min="7427" max="7680" width="9.140625" style="118" customWidth="1"/>
    <col min="7681" max="7681" width="73.42578125" style="118" customWidth="1"/>
    <col min="7682" max="7682" width="24.42578125" style="118" customWidth="1"/>
    <col min="7683" max="7936" width="9.140625" style="118" customWidth="1"/>
    <col min="7937" max="7937" width="73.42578125" style="118" customWidth="1"/>
    <col min="7938" max="7938" width="24.42578125" style="118" customWidth="1"/>
    <col min="7939" max="8192" width="9.140625" style="118" customWidth="1"/>
    <col min="8193" max="8193" width="73.42578125" style="118" customWidth="1"/>
    <col min="8194" max="8194" width="24.42578125" style="118" customWidth="1"/>
    <col min="8195" max="8448" width="9.140625" style="118" customWidth="1"/>
    <col min="8449" max="8449" width="73.42578125" style="118" customWidth="1"/>
    <col min="8450" max="8450" width="24.42578125" style="118" customWidth="1"/>
    <col min="8451" max="8704" width="9.140625" style="118" customWidth="1"/>
    <col min="8705" max="8705" width="73.42578125" style="118" customWidth="1"/>
    <col min="8706" max="8706" width="24.42578125" style="118" customWidth="1"/>
    <col min="8707" max="8960" width="9.140625" style="118" customWidth="1"/>
    <col min="8961" max="8961" width="73.42578125" style="118" customWidth="1"/>
    <col min="8962" max="8962" width="24.42578125" style="118" customWidth="1"/>
    <col min="8963" max="9216" width="9.140625" style="118" customWidth="1"/>
    <col min="9217" max="9217" width="73.42578125" style="118" customWidth="1"/>
    <col min="9218" max="9218" width="24.42578125" style="118" customWidth="1"/>
    <col min="9219" max="9472" width="9.140625" style="118" customWidth="1"/>
    <col min="9473" max="9473" width="73.42578125" style="118" customWidth="1"/>
    <col min="9474" max="9474" width="24.42578125" style="118" customWidth="1"/>
    <col min="9475" max="9728" width="9.140625" style="118" customWidth="1"/>
    <col min="9729" max="9729" width="73.42578125" style="118" customWidth="1"/>
    <col min="9730" max="9730" width="24.42578125" style="118" customWidth="1"/>
    <col min="9731" max="9984" width="9.140625" style="118" customWidth="1"/>
    <col min="9985" max="9985" width="73.42578125" style="118" customWidth="1"/>
    <col min="9986" max="9986" width="24.42578125" style="118" customWidth="1"/>
    <col min="9987" max="10240" width="9.140625" style="118" customWidth="1"/>
    <col min="10241" max="10241" width="73.42578125" style="118" customWidth="1"/>
    <col min="10242" max="10242" width="24.42578125" style="118" customWidth="1"/>
    <col min="10243" max="10496" width="9.140625" style="118" customWidth="1"/>
    <col min="10497" max="10497" width="73.42578125" style="118" customWidth="1"/>
    <col min="10498" max="10498" width="24.42578125" style="118" customWidth="1"/>
    <col min="10499" max="10752" width="9.140625" style="118" customWidth="1"/>
    <col min="10753" max="10753" width="73.42578125" style="118" customWidth="1"/>
    <col min="10754" max="10754" width="24.42578125" style="118" customWidth="1"/>
    <col min="10755" max="11008" width="9.140625" style="118" customWidth="1"/>
    <col min="11009" max="11009" width="73.42578125" style="118" customWidth="1"/>
    <col min="11010" max="11010" width="24.42578125" style="118" customWidth="1"/>
    <col min="11011" max="11264" width="9.140625" style="118" customWidth="1"/>
    <col min="11265" max="11265" width="73.42578125" style="118" customWidth="1"/>
    <col min="11266" max="11266" width="24.42578125" style="118" customWidth="1"/>
    <col min="11267" max="11520" width="9.140625" style="118" customWidth="1"/>
    <col min="11521" max="11521" width="73.42578125" style="118" customWidth="1"/>
    <col min="11522" max="11522" width="24.42578125" style="118" customWidth="1"/>
    <col min="11523" max="11776" width="9.140625" style="118" customWidth="1"/>
    <col min="11777" max="11777" width="73.42578125" style="118" customWidth="1"/>
    <col min="11778" max="11778" width="24.42578125" style="118" customWidth="1"/>
    <col min="11779" max="12032" width="9.140625" style="118" customWidth="1"/>
    <col min="12033" max="12033" width="73.42578125" style="118" customWidth="1"/>
    <col min="12034" max="12034" width="24.42578125" style="118" customWidth="1"/>
    <col min="12035" max="12288" width="9.140625" style="118" customWidth="1"/>
    <col min="12289" max="12289" width="73.42578125" style="118" customWidth="1"/>
    <col min="12290" max="12290" width="24.42578125" style="118" customWidth="1"/>
    <col min="12291" max="12544" width="9.140625" style="118" customWidth="1"/>
    <col min="12545" max="12545" width="73.42578125" style="118" customWidth="1"/>
    <col min="12546" max="12546" width="24.42578125" style="118" customWidth="1"/>
    <col min="12547" max="12800" width="9.140625" style="118" customWidth="1"/>
    <col min="12801" max="12801" width="73.42578125" style="118" customWidth="1"/>
    <col min="12802" max="12802" width="24.42578125" style="118" customWidth="1"/>
    <col min="12803" max="13056" width="9.140625" style="118" customWidth="1"/>
    <col min="13057" max="13057" width="73.42578125" style="118" customWidth="1"/>
    <col min="13058" max="13058" width="24.42578125" style="118" customWidth="1"/>
    <col min="13059" max="13312" width="9.140625" style="118" customWidth="1"/>
    <col min="13313" max="13313" width="73.42578125" style="118" customWidth="1"/>
    <col min="13314" max="13314" width="24.42578125" style="118" customWidth="1"/>
    <col min="13315" max="13568" width="9.140625" style="118" customWidth="1"/>
    <col min="13569" max="13569" width="73.42578125" style="118" customWidth="1"/>
    <col min="13570" max="13570" width="24.42578125" style="118" customWidth="1"/>
    <col min="13571" max="13824" width="9.140625" style="118" customWidth="1"/>
    <col min="13825" max="13825" width="73.42578125" style="118" customWidth="1"/>
    <col min="13826" max="13826" width="24.42578125" style="118" customWidth="1"/>
    <col min="13827" max="14080" width="9.140625" style="118" customWidth="1"/>
    <col min="14081" max="14081" width="73.42578125" style="118" customWidth="1"/>
    <col min="14082" max="14082" width="24.42578125" style="118" customWidth="1"/>
    <col min="14083" max="14336" width="9.140625" style="118" customWidth="1"/>
    <col min="14337" max="14337" width="73.42578125" style="118" customWidth="1"/>
    <col min="14338" max="14338" width="24.42578125" style="118" customWidth="1"/>
    <col min="14339" max="14592" width="9.140625" style="118" customWidth="1"/>
    <col min="14593" max="14593" width="73.42578125" style="118" customWidth="1"/>
    <col min="14594" max="14594" width="24.42578125" style="118" customWidth="1"/>
    <col min="14595" max="14848" width="9.140625" style="118" customWidth="1"/>
    <col min="14849" max="14849" width="73.42578125" style="118" customWidth="1"/>
    <col min="14850" max="14850" width="24.42578125" style="118" customWidth="1"/>
    <col min="14851" max="15104" width="9.140625" style="118" customWidth="1"/>
    <col min="15105" max="15105" width="73.42578125" style="118" customWidth="1"/>
    <col min="15106" max="15106" width="24.42578125" style="118" customWidth="1"/>
    <col min="15107" max="15360" width="9.140625" style="118" customWidth="1"/>
    <col min="15361" max="15361" width="73.42578125" style="118" customWidth="1"/>
    <col min="15362" max="15362" width="24.42578125" style="118" customWidth="1"/>
    <col min="15363" max="15616" width="9.140625" style="118" customWidth="1"/>
    <col min="15617" max="15617" width="73.42578125" style="118" customWidth="1"/>
    <col min="15618" max="15618" width="24.42578125" style="118" customWidth="1"/>
    <col min="15619" max="15872" width="9.140625" style="118" customWidth="1"/>
    <col min="15873" max="15873" width="73.42578125" style="118" customWidth="1"/>
    <col min="15874" max="15874" width="24.42578125" style="118" customWidth="1"/>
    <col min="15875" max="16128" width="9.140625" style="118" customWidth="1"/>
    <col min="16129" max="16129" width="73.42578125" style="118" customWidth="1"/>
    <col min="16130" max="16130" width="24.42578125" style="118" customWidth="1"/>
    <col min="16131" max="16384" width="9.140625" style="118" customWidth="1"/>
  </cols>
  <sheetData>
    <row r="1" spans="1:6" ht="15.75" x14ac:dyDescent="0.25">
      <c r="A1" s="116" t="s">
        <v>35</v>
      </c>
      <c r="B1" s="117"/>
    </row>
    <row r="2" spans="1:6" ht="15.75" x14ac:dyDescent="0.25">
      <c r="A2" s="119"/>
      <c r="B2" s="120"/>
    </row>
    <row r="3" spans="1:6" ht="16.5" thickBot="1" x14ac:dyDescent="0.3">
      <c r="A3" s="502" t="s">
        <v>36</v>
      </c>
      <c r="B3" s="503"/>
    </row>
    <row r="4" spans="1:6" x14ac:dyDescent="0.2">
      <c r="A4" s="121" t="s">
        <v>37</v>
      </c>
      <c r="B4" s="122" t="s">
        <v>63</v>
      </c>
    </row>
    <row r="5" spans="1:6" ht="30" customHeight="1" x14ac:dyDescent="0.2">
      <c r="A5" s="123" t="s">
        <v>38</v>
      </c>
      <c r="B5" s="124" t="s">
        <v>241</v>
      </c>
      <c r="C5" s="125"/>
    </row>
    <row r="6" spans="1:6" x14ac:dyDescent="0.2">
      <c r="A6" s="126" t="s">
        <v>39</v>
      </c>
      <c r="B6" s="127" t="s">
        <v>242</v>
      </c>
    </row>
    <row r="7" spans="1:6" x14ac:dyDescent="0.2">
      <c r="A7" s="128" t="s">
        <v>40</v>
      </c>
      <c r="B7" s="127" t="s">
        <v>65</v>
      </c>
    </row>
    <row r="8" spans="1:6" x14ac:dyDescent="0.2">
      <c r="A8" s="123" t="s">
        <v>41</v>
      </c>
      <c r="B8" s="129" t="s">
        <v>64</v>
      </c>
    </row>
    <row r="9" spans="1:6" x14ac:dyDescent="0.2">
      <c r="A9" s="123" t="s">
        <v>42</v>
      </c>
      <c r="B9" s="127" t="s">
        <v>209</v>
      </c>
    </row>
    <row r="10" spans="1:6" x14ac:dyDescent="0.2">
      <c r="A10" s="123" t="s">
        <v>43</v>
      </c>
      <c r="B10" s="130">
        <v>43920</v>
      </c>
    </row>
    <row r="11" spans="1:6" x14ac:dyDescent="0.2">
      <c r="A11" s="123" t="s">
        <v>44</v>
      </c>
      <c r="B11" s="130">
        <v>43922</v>
      </c>
    </row>
    <row r="12" spans="1:6" x14ac:dyDescent="0.2">
      <c r="A12" s="123" t="s">
        <v>45</v>
      </c>
      <c r="B12" s="130">
        <v>44012</v>
      </c>
    </row>
    <row r="13" spans="1:6" x14ac:dyDescent="0.2">
      <c r="A13" s="123" t="s">
        <v>46</v>
      </c>
      <c r="B13" s="127">
        <v>16</v>
      </c>
    </row>
    <row r="14" spans="1:6" x14ac:dyDescent="0.2">
      <c r="A14" s="131" t="s">
        <v>47</v>
      </c>
      <c r="B14" s="127" t="s">
        <v>48</v>
      </c>
    </row>
    <row r="15" spans="1:6" ht="25.5" x14ac:dyDescent="0.2">
      <c r="A15" s="132" t="s">
        <v>49</v>
      </c>
      <c r="B15" s="127"/>
    </row>
    <row r="16" spans="1:6" ht="32.25" customHeight="1" x14ac:dyDescent="0.2">
      <c r="A16" s="504" t="s">
        <v>117</v>
      </c>
      <c r="B16" s="505"/>
      <c r="C16" s="225"/>
      <c r="D16" s="225"/>
      <c r="E16" s="225"/>
      <c r="F16" s="225"/>
    </row>
    <row r="17" spans="1:2" ht="18.75" customHeight="1" x14ac:dyDescent="0.2">
      <c r="A17" s="123" t="s">
        <v>50</v>
      </c>
      <c r="B17" s="320">
        <v>2231734.4587793285</v>
      </c>
    </row>
    <row r="18" spans="1:2" ht="20.25" customHeight="1" x14ac:dyDescent="0.2">
      <c r="A18" s="123" t="s">
        <v>51</v>
      </c>
      <c r="B18" s="133"/>
    </row>
    <row r="19" spans="1:2" ht="18.75" customHeight="1" x14ac:dyDescent="0.2">
      <c r="A19" s="123" t="s">
        <v>52</v>
      </c>
      <c r="B19" s="134"/>
    </row>
    <row r="20" spans="1:2" ht="18.75" customHeight="1" x14ac:dyDescent="0.2">
      <c r="A20" s="123" t="s">
        <v>53</v>
      </c>
      <c r="B20" s="133">
        <v>0</v>
      </c>
    </row>
    <row r="21" spans="1:2" ht="18.75" customHeight="1" x14ac:dyDescent="0.2">
      <c r="A21" s="123" t="s">
        <v>54</v>
      </c>
      <c r="B21" s="320">
        <f>B17+B18+B19-B20</f>
        <v>2231734.4587793285</v>
      </c>
    </row>
    <row r="22" spans="1:2" ht="37.5" customHeight="1" x14ac:dyDescent="0.2">
      <c r="A22" s="123" t="s">
        <v>55</v>
      </c>
      <c r="B22" s="325" t="s">
        <v>280</v>
      </c>
    </row>
    <row r="23" spans="1:2" ht="39.950000000000003" customHeight="1" x14ac:dyDescent="0.2">
      <c r="A23" s="506" t="s">
        <v>56</v>
      </c>
      <c r="B23" s="506"/>
    </row>
    <row r="24" spans="1:2" ht="58.5" customHeight="1" x14ac:dyDescent="0.2">
      <c r="A24" s="506" t="s">
        <v>57</v>
      </c>
      <c r="B24" s="506"/>
    </row>
    <row r="25" spans="1:2" ht="33" customHeight="1" x14ac:dyDescent="0.2">
      <c r="A25" s="506" t="s">
        <v>58</v>
      </c>
      <c r="B25" s="507"/>
    </row>
    <row r="26" spans="1:2" ht="50.1" customHeight="1" x14ac:dyDescent="0.2">
      <c r="A26" s="506" t="s">
        <v>230</v>
      </c>
      <c r="B26" s="506"/>
    </row>
    <row r="27" spans="1:2" ht="20.100000000000001" customHeight="1" x14ac:dyDescent="0.2">
      <c r="A27" s="135"/>
      <c r="B27" s="136"/>
    </row>
    <row r="28" spans="1:2" ht="20.100000000000001" customHeight="1" x14ac:dyDescent="0.2">
      <c r="A28" s="498" t="s">
        <v>278</v>
      </c>
      <c r="B28" s="499"/>
    </row>
    <row r="29" spans="1:2" ht="42.6" customHeight="1" x14ac:dyDescent="0.2">
      <c r="A29" s="137" t="s">
        <v>59</v>
      </c>
      <c r="B29" s="138"/>
    </row>
    <row r="30" spans="1:2" ht="20.100000000000001" customHeight="1" x14ac:dyDescent="0.2">
      <c r="A30" s="137" t="s">
        <v>277</v>
      </c>
      <c r="B30" s="138"/>
    </row>
    <row r="31" spans="1:2" ht="20.100000000000001" customHeight="1" x14ac:dyDescent="0.2">
      <c r="A31" s="315" t="s">
        <v>281</v>
      </c>
      <c r="B31" s="138"/>
    </row>
    <row r="32" spans="1:2" ht="20.100000000000001" customHeight="1" x14ac:dyDescent="0.2">
      <c r="A32" s="139"/>
      <c r="B32" s="140"/>
    </row>
    <row r="33" spans="1:2" ht="20.100000000000001" customHeight="1" x14ac:dyDescent="0.2">
      <c r="A33" s="500"/>
      <c r="B33" s="501"/>
    </row>
    <row r="34" spans="1:2" ht="20.100000000000001" customHeight="1" x14ac:dyDescent="0.2">
      <c r="A34" s="137" t="s">
        <v>59</v>
      </c>
      <c r="B34" s="138"/>
    </row>
    <row r="35" spans="1:2" ht="20.100000000000001" customHeight="1" x14ac:dyDescent="0.2">
      <c r="A35" s="324" t="s">
        <v>60</v>
      </c>
      <c r="B35" s="138"/>
    </row>
    <row r="36" spans="1:2" ht="20.100000000000001" customHeight="1" x14ac:dyDescent="0.2">
      <c r="A36" s="137" t="s">
        <v>279</v>
      </c>
      <c r="B36" s="138"/>
    </row>
    <row r="37" spans="1:2" ht="20.100000000000001" customHeight="1" x14ac:dyDescent="0.2">
      <c r="A37" s="139"/>
      <c r="B37" s="140"/>
    </row>
    <row r="38" spans="1:2" ht="3.6" customHeight="1" x14ac:dyDescent="0.2">
      <c r="A38" s="135"/>
      <c r="B38" s="136"/>
    </row>
    <row r="39" spans="1:2" ht="14.45" customHeight="1" x14ac:dyDescent="0.2">
      <c r="A39" s="498"/>
      <c r="B39" s="499"/>
    </row>
    <row r="40" spans="1:2" ht="20.100000000000001" customHeight="1" x14ac:dyDescent="0.2">
      <c r="A40" s="139" t="s">
        <v>59</v>
      </c>
      <c r="B40" s="138"/>
    </row>
    <row r="41" spans="1:2" ht="20.100000000000001" customHeight="1" thickBot="1" x14ac:dyDescent="0.25">
      <c r="A41" s="141" t="s">
        <v>60</v>
      </c>
      <c r="B41" s="138"/>
    </row>
    <row r="42" spans="1:2" ht="20.100000000000001" customHeight="1" x14ac:dyDescent="0.2">
      <c r="A42" s="137" t="s">
        <v>217</v>
      </c>
      <c r="B42" s="138"/>
    </row>
    <row r="43" spans="1:2" ht="14.45" customHeight="1" x14ac:dyDescent="0.2">
      <c r="A43" s="142"/>
      <c r="B43" s="140"/>
    </row>
    <row r="44" spans="1:2" x14ac:dyDescent="0.2">
      <c r="A44" s="143"/>
      <c r="B44" s="144"/>
    </row>
    <row r="45" spans="1:2" x14ac:dyDescent="0.2">
      <c r="A45" s="145"/>
      <c r="B45" s="146"/>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A1:BV210"/>
  <sheetViews>
    <sheetView showGridLines="0" zoomScaleNormal="100" workbookViewId="0">
      <pane xSplit="4" ySplit="3" topLeftCell="AR102" activePane="bottomRight" state="frozen"/>
      <selection pane="topRight" activeCell="E1" sqref="E1"/>
      <selection pane="bottomLeft" activeCell="A4" sqref="A4"/>
      <selection pane="bottomRight" activeCell="C1" sqref="B1:C1048576"/>
    </sheetView>
  </sheetViews>
  <sheetFormatPr baseColWidth="10" defaultColWidth="8.85546875" defaultRowHeight="15" outlineLevelRow="1" x14ac:dyDescent="0.25"/>
  <cols>
    <col min="1" max="1" width="6.7109375" customWidth="1"/>
    <col min="2" max="2" width="7" hidden="1" customWidth="1"/>
    <col min="3" max="3" width="26.7109375" hidden="1" customWidth="1"/>
    <col min="4" max="4" width="18.42578125" customWidth="1"/>
    <col min="5" max="5" width="5.5703125" customWidth="1"/>
    <col min="6" max="6" width="11.42578125" customWidth="1"/>
    <col min="7" max="7" width="10.85546875" customWidth="1"/>
    <col min="8" max="8" width="11.28515625" style="307" customWidth="1"/>
    <col min="9" max="9" width="12.7109375" customWidth="1"/>
    <col min="10" max="11" width="13.140625" customWidth="1"/>
    <col min="12" max="12" width="10.42578125" customWidth="1"/>
    <col min="13" max="13" width="10.5703125" customWidth="1"/>
    <col min="14" max="14" width="13.7109375" customWidth="1"/>
    <col min="15" max="15" width="12.7109375" customWidth="1"/>
    <col min="16" max="16" width="11.42578125" customWidth="1"/>
    <col min="17" max="17" width="11.7109375" customWidth="1"/>
    <col min="18" max="18" width="11.5703125" customWidth="1"/>
    <col min="19" max="19" width="11.42578125" customWidth="1"/>
    <col min="20" max="20" width="13" customWidth="1"/>
    <col min="21" max="21" width="11.85546875" style="290" customWidth="1"/>
    <col min="22" max="22" width="12.7109375" style="290" customWidth="1"/>
    <col min="23" max="23" width="13.28515625" style="290" customWidth="1"/>
    <col min="24" max="24" width="12.5703125" style="290" customWidth="1"/>
    <col min="25" max="25" width="10.85546875" style="290" customWidth="1"/>
    <col min="26" max="26" width="15.42578125" customWidth="1"/>
    <col min="27" max="28" width="14" customWidth="1"/>
    <col min="29" max="29" width="11" customWidth="1"/>
    <col min="30" max="31" width="10.85546875" customWidth="1"/>
    <col min="32" max="32" width="11.5703125" customWidth="1"/>
    <col min="33" max="33" width="11.85546875" customWidth="1"/>
    <col min="34" max="34" width="13.85546875" customWidth="1"/>
    <col min="35" max="35" width="13.7109375" customWidth="1"/>
    <col min="36" max="36" width="13" customWidth="1"/>
    <col min="37" max="37" width="16.5703125" customWidth="1"/>
    <col min="38" max="38" width="16.7109375" customWidth="1"/>
    <col min="39" max="39" width="13.7109375" customWidth="1"/>
    <col min="40" max="40" width="16.7109375" customWidth="1"/>
    <col min="41" max="41" width="17.42578125" customWidth="1"/>
    <col min="42" max="42" width="18.85546875" customWidth="1"/>
    <col min="43" max="43" width="13.85546875" customWidth="1"/>
    <col min="44" max="44" width="15.85546875" customWidth="1"/>
    <col min="45" max="45" width="17.28515625" style="290" customWidth="1"/>
    <col min="46" max="46" width="16" style="290" customWidth="1"/>
    <col min="47" max="47" width="15.28515625" style="290" customWidth="1"/>
    <col min="48" max="48" width="16.42578125" style="290" customWidth="1"/>
    <col min="49" max="49" width="12.140625" style="290" customWidth="1"/>
    <col min="50" max="51" width="11.42578125" customWidth="1"/>
    <col min="52" max="52" width="11.85546875" customWidth="1"/>
    <col min="53" max="53" width="14.5703125" customWidth="1"/>
    <col min="54" max="54" width="15" customWidth="1"/>
    <col min="55" max="55" width="13.42578125" customWidth="1"/>
    <col min="56" max="56" width="15.42578125" customWidth="1"/>
    <col min="57" max="57" width="13.42578125" customWidth="1"/>
    <col min="58" max="58" width="14.140625" customWidth="1"/>
    <col min="59" max="59" width="14" customWidth="1"/>
    <col min="60" max="60" width="14.140625" bestFit="1" customWidth="1"/>
    <col min="61" max="61" width="16.7109375" customWidth="1"/>
    <col min="62" max="62" width="15.42578125" customWidth="1"/>
    <col min="63" max="63" width="17" customWidth="1"/>
    <col min="64" max="64" width="14.7109375" customWidth="1"/>
    <col min="65" max="65" width="13.140625" bestFit="1" customWidth="1"/>
    <col min="66" max="69" width="14.42578125" style="290" customWidth="1"/>
    <col min="70" max="70" width="14.140625" customWidth="1"/>
    <col min="71" max="71" width="10.5703125" bestFit="1" customWidth="1"/>
    <col min="72" max="72" width="14.140625" bestFit="1" customWidth="1"/>
  </cols>
  <sheetData>
    <row r="1" spans="1:72" x14ac:dyDescent="0.25">
      <c r="C1" s="365"/>
      <c r="D1" s="229">
        <f>SUM(D2:D168)</f>
        <v>25435628.487500001</v>
      </c>
      <c r="F1" t="s">
        <v>148</v>
      </c>
      <c r="X1" s="290" t="s">
        <v>245</v>
      </c>
      <c r="Z1" t="s">
        <v>162</v>
      </c>
      <c r="AC1" s="233" t="s">
        <v>190</v>
      </c>
      <c r="AD1" s="233"/>
      <c r="AE1" s="233"/>
      <c r="AF1" s="233"/>
      <c r="AG1" s="233"/>
      <c r="AH1" s="233"/>
      <c r="AI1" s="233"/>
      <c r="AJ1" s="233"/>
      <c r="AK1" s="233"/>
      <c r="AL1" s="233"/>
      <c r="AM1" s="233"/>
      <c r="AN1" s="233"/>
      <c r="AO1" s="233"/>
      <c r="AP1" s="233"/>
      <c r="AQ1" s="233"/>
      <c r="AR1" s="234"/>
      <c r="AS1" s="233"/>
      <c r="AT1" s="234"/>
      <c r="AU1" s="233" t="s">
        <v>245</v>
      </c>
      <c r="AV1" s="233"/>
      <c r="AW1" s="234"/>
      <c r="AX1" s="233" t="s">
        <v>191</v>
      </c>
      <c r="AY1" s="233"/>
      <c r="AZ1" s="233"/>
      <c r="BA1" s="233"/>
      <c r="BB1" s="233"/>
      <c r="BC1" s="233"/>
      <c r="BD1" s="233"/>
      <c r="BE1" s="233"/>
      <c r="BF1" s="233"/>
      <c r="BG1" s="233"/>
      <c r="BH1" s="233"/>
      <c r="BI1" s="233"/>
      <c r="BJ1" s="233"/>
      <c r="BK1" s="233"/>
      <c r="BL1" s="233"/>
    </row>
    <row r="2" spans="1:72" x14ac:dyDescent="0.25">
      <c r="A2" t="s">
        <v>124</v>
      </c>
      <c r="D2" t="s">
        <v>146</v>
      </c>
      <c r="F2" s="334">
        <v>42552</v>
      </c>
      <c r="G2" s="334">
        <v>42644</v>
      </c>
      <c r="H2" s="335">
        <v>42736</v>
      </c>
      <c r="I2" s="334">
        <v>42826</v>
      </c>
      <c r="J2" s="334">
        <v>42917</v>
      </c>
      <c r="K2" s="334">
        <v>43009</v>
      </c>
      <c r="L2" s="334">
        <v>43101</v>
      </c>
      <c r="M2" s="334">
        <v>43191</v>
      </c>
      <c r="N2" s="334">
        <v>43282</v>
      </c>
      <c r="O2" s="334">
        <v>43374</v>
      </c>
      <c r="P2" s="334">
        <v>43466</v>
      </c>
      <c r="Q2" s="334">
        <v>43556</v>
      </c>
      <c r="R2" s="334">
        <v>43647</v>
      </c>
      <c r="S2" s="334">
        <v>43739</v>
      </c>
      <c r="T2" s="334">
        <v>43831</v>
      </c>
      <c r="U2" s="334">
        <v>43922</v>
      </c>
      <c r="V2" s="334">
        <v>44013</v>
      </c>
      <c r="W2" s="334">
        <v>44105</v>
      </c>
      <c r="X2" s="334">
        <v>44197</v>
      </c>
      <c r="Y2" s="334" t="s">
        <v>262</v>
      </c>
      <c r="Z2" s="343"/>
      <c r="AA2" s="343"/>
      <c r="AB2" s="343"/>
      <c r="AC2" s="344">
        <v>42552</v>
      </c>
      <c r="AD2" s="344">
        <v>42644</v>
      </c>
      <c r="AE2" s="344">
        <v>42736</v>
      </c>
      <c r="AF2" s="344">
        <v>42826</v>
      </c>
      <c r="AG2" s="344">
        <v>42917</v>
      </c>
      <c r="AH2" s="344">
        <v>43009</v>
      </c>
      <c r="AI2" s="344">
        <v>43101</v>
      </c>
      <c r="AJ2" s="344">
        <v>43191</v>
      </c>
      <c r="AK2" s="344">
        <v>43282</v>
      </c>
      <c r="AL2" s="344">
        <v>43374</v>
      </c>
      <c r="AM2" s="344">
        <v>43466</v>
      </c>
      <c r="AN2" s="344">
        <v>43556</v>
      </c>
      <c r="AO2" s="344">
        <v>43647</v>
      </c>
      <c r="AP2" s="344">
        <v>43739</v>
      </c>
      <c r="AQ2" s="344">
        <v>43831</v>
      </c>
      <c r="AR2" s="344">
        <v>43922</v>
      </c>
      <c r="AS2" s="344">
        <v>44013</v>
      </c>
      <c r="AT2" s="344">
        <v>44105</v>
      </c>
      <c r="AU2" s="344">
        <v>44197</v>
      </c>
      <c r="AV2" s="344" t="s">
        <v>262</v>
      </c>
      <c r="AW2" s="344"/>
      <c r="AX2" s="344">
        <v>42552</v>
      </c>
      <c r="AY2" s="344">
        <v>42644</v>
      </c>
      <c r="AZ2" s="344">
        <v>42736</v>
      </c>
      <c r="BA2" s="344">
        <v>42826</v>
      </c>
      <c r="BB2" s="344">
        <v>42917</v>
      </c>
      <c r="BC2" s="344">
        <v>43009</v>
      </c>
      <c r="BD2" s="344">
        <v>43101</v>
      </c>
      <c r="BE2" s="344">
        <v>43191</v>
      </c>
      <c r="BF2" s="344">
        <v>43282</v>
      </c>
      <c r="BG2" s="344">
        <v>43374</v>
      </c>
      <c r="BH2" s="344">
        <v>43466</v>
      </c>
      <c r="BI2" s="344">
        <v>43556</v>
      </c>
      <c r="BJ2" s="344">
        <v>43647</v>
      </c>
      <c r="BK2" s="344">
        <v>43739</v>
      </c>
      <c r="BL2" s="344">
        <v>43831</v>
      </c>
      <c r="BM2" s="344">
        <v>43922</v>
      </c>
      <c r="BN2" s="344">
        <v>44013</v>
      </c>
      <c r="BO2" s="344">
        <v>44105</v>
      </c>
      <c r="BP2" s="344">
        <v>44197</v>
      </c>
      <c r="BQ2" s="344">
        <v>44198</v>
      </c>
      <c r="BR2" t="s">
        <v>198</v>
      </c>
    </row>
    <row r="3" spans="1:72" x14ac:dyDescent="0.25">
      <c r="A3" s="290" t="s">
        <v>124</v>
      </c>
      <c r="C3" s="290"/>
      <c r="E3" t="s">
        <v>147</v>
      </c>
      <c r="F3" s="343" t="s">
        <v>145</v>
      </c>
      <c r="G3" s="343" t="s">
        <v>149</v>
      </c>
      <c r="H3" s="345" t="s">
        <v>150</v>
      </c>
      <c r="I3" s="343" t="s">
        <v>151</v>
      </c>
      <c r="J3" s="343" t="s">
        <v>152</v>
      </c>
      <c r="K3" s="346" t="s">
        <v>153</v>
      </c>
      <c r="L3" s="343" t="s">
        <v>154</v>
      </c>
      <c r="M3" s="343" t="s">
        <v>155</v>
      </c>
      <c r="N3" s="343" t="s">
        <v>156</v>
      </c>
      <c r="O3" s="343" t="s">
        <v>157</v>
      </c>
      <c r="P3" s="343" t="s">
        <v>158</v>
      </c>
      <c r="Q3" s="343" t="s">
        <v>159</v>
      </c>
      <c r="R3" s="343" t="s">
        <v>160</v>
      </c>
      <c r="S3" s="343" t="s">
        <v>161</v>
      </c>
      <c r="T3" s="343" t="s">
        <v>163</v>
      </c>
      <c r="U3" s="347" t="s">
        <v>240</v>
      </c>
      <c r="V3" s="343" t="s">
        <v>243</v>
      </c>
      <c r="W3" s="343" t="s">
        <v>244</v>
      </c>
      <c r="X3" s="354">
        <v>19</v>
      </c>
      <c r="Y3" s="354">
        <v>20</v>
      </c>
      <c r="Z3" s="343"/>
      <c r="AA3" s="343"/>
      <c r="AB3" s="343"/>
      <c r="AC3" s="348" t="s">
        <v>145</v>
      </c>
      <c r="AD3" s="348" t="s">
        <v>149</v>
      </c>
      <c r="AE3" s="348" t="s">
        <v>150</v>
      </c>
      <c r="AF3" s="348" t="s">
        <v>151</v>
      </c>
      <c r="AG3" s="348" t="s">
        <v>152</v>
      </c>
      <c r="AH3" s="348" t="s">
        <v>153</v>
      </c>
      <c r="AI3" s="348" t="s">
        <v>154</v>
      </c>
      <c r="AJ3" s="348" t="s">
        <v>155</v>
      </c>
      <c r="AK3" s="348" t="s">
        <v>156</v>
      </c>
      <c r="AL3" s="348" t="s">
        <v>157</v>
      </c>
      <c r="AM3" s="348" t="s">
        <v>158</v>
      </c>
      <c r="AN3" s="348" t="s">
        <v>159</v>
      </c>
      <c r="AO3" s="348" t="s">
        <v>160</v>
      </c>
      <c r="AP3" s="348" t="s">
        <v>161</v>
      </c>
      <c r="AQ3" s="348" t="s">
        <v>163</v>
      </c>
      <c r="AR3" s="348" t="s">
        <v>240</v>
      </c>
      <c r="AS3" s="348" t="s">
        <v>243</v>
      </c>
      <c r="AT3" s="348" t="s">
        <v>244</v>
      </c>
      <c r="AU3" s="348" t="s">
        <v>246</v>
      </c>
      <c r="AV3" s="371">
        <v>20</v>
      </c>
      <c r="AW3" s="349"/>
      <c r="AX3" s="336" t="s">
        <v>145</v>
      </c>
      <c r="AY3" s="336" t="s">
        <v>149</v>
      </c>
      <c r="AZ3" s="336" t="s">
        <v>150</v>
      </c>
      <c r="BA3" s="336" t="s">
        <v>151</v>
      </c>
      <c r="BB3" s="336" t="s">
        <v>152</v>
      </c>
      <c r="BC3" s="336" t="s">
        <v>153</v>
      </c>
      <c r="BD3" s="336" t="s">
        <v>154</v>
      </c>
      <c r="BE3" s="336" t="s">
        <v>155</v>
      </c>
      <c r="BF3" s="336" t="s">
        <v>156</v>
      </c>
      <c r="BG3" s="336" t="s">
        <v>157</v>
      </c>
      <c r="BH3" s="336" t="s">
        <v>158</v>
      </c>
      <c r="BI3" s="336" t="s">
        <v>159</v>
      </c>
      <c r="BJ3" s="336" t="s">
        <v>160</v>
      </c>
      <c r="BK3" s="336" t="s">
        <v>161</v>
      </c>
      <c r="BL3" s="336" t="s">
        <v>163</v>
      </c>
      <c r="BM3" s="337" t="s">
        <v>240</v>
      </c>
      <c r="BN3" s="337" t="s">
        <v>243</v>
      </c>
      <c r="BO3" s="337" t="s">
        <v>244</v>
      </c>
      <c r="BP3" s="337" t="s">
        <v>246</v>
      </c>
      <c r="BQ3" s="337" t="s">
        <v>263</v>
      </c>
    </row>
    <row r="4" spans="1:72" s="240" customFormat="1" ht="15" customHeight="1" x14ac:dyDescent="0.25">
      <c r="A4" s="416" t="s">
        <v>125</v>
      </c>
      <c r="B4" s="417"/>
      <c r="C4" s="418"/>
      <c r="D4" s="419">
        <v>7593016.0899999999</v>
      </c>
      <c r="E4" s="420" t="s">
        <v>196</v>
      </c>
      <c r="F4" s="421"/>
      <c r="G4" s="421"/>
      <c r="H4" s="421"/>
      <c r="I4" s="421">
        <v>0</v>
      </c>
      <c r="J4" s="421">
        <v>9.5563140048607498E-2</v>
      </c>
      <c r="K4" s="421">
        <v>8.1911261958092341E-2</v>
      </c>
      <c r="L4" s="422">
        <v>7.5085323571334614E-2</v>
      </c>
      <c r="M4" s="421"/>
      <c r="N4" s="421">
        <v>6.8259385184576901E-2</v>
      </c>
      <c r="O4" s="421">
        <v>0</v>
      </c>
      <c r="P4" s="421">
        <v>9.5563139903737535E-2</v>
      </c>
      <c r="Q4" s="421">
        <v>0.16382252508831444</v>
      </c>
      <c r="R4" s="421">
        <v>7.16723545095658E-2</v>
      </c>
      <c r="S4" s="421">
        <v>7.5085323793876071E-2</v>
      </c>
      <c r="T4" s="421">
        <v>6.8259385225255528E-2</v>
      </c>
      <c r="U4" s="421">
        <v>6.8259385225255528E-2</v>
      </c>
      <c r="V4" s="421">
        <v>0</v>
      </c>
      <c r="W4" s="421">
        <v>0.13651877168615351</v>
      </c>
      <c r="X4" s="423">
        <f>1-(W4+V4+U4+T4+S4+R4+Q4+P4+O4+N4+M4+L4+K4+J4+I4)</f>
        <v>3.805230353037814E-9</v>
      </c>
      <c r="Y4" s="423"/>
      <c r="Z4" s="422">
        <f>SUM(F4:X4)</f>
        <v>1.0000000000000002</v>
      </c>
      <c r="AA4" s="418"/>
      <c r="AB4" s="418"/>
      <c r="AC4" s="424">
        <f t="shared" ref="AC4:AC123" si="0">F4*$D4</f>
        <v>0</v>
      </c>
      <c r="AD4" s="424">
        <f t="shared" ref="AD4:AD123" si="1">G4*$D4</f>
        <v>0</v>
      </c>
      <c r="AE4" s="424">
        <f t="shared" ref="AE4:AE123" si="2">H4*$D4</f>
        <v>0</v>
      </c>
      <c r="AF4" s="424">
        <f t="shared" ref="AF4:AF123" si="3">I4*$D4</f>
        <v>0</v>
      </c>
      <c r="AG4" s="425">
        <f>J4*$D4</f>
        <v>725612.46000000008</v>
      </c>
      <c r="AH4" s="425">
        <f>K4*$D4</f>
        <v>621953.53</v>
      </c>
      <c r="AI4" s="425">
        <f t="shared" ref="AI4:AI5" si="4">L4*$D4</f>
        <v>570124.06999999995</v>
      </c>
      <c r="AJ4" s="425">
        <f t="shared" ref="AJ4:AJ5" si="5">M4*$D4</f>
        <v>0</v>
      </c>
      <c r="AK4" s="425">
        <f t="shared" ref="AK4" si="6">N4*$D4</f>
        <v>518294.61000000004</v>
      </c>
      <c r="AL4" s="425">
        <f t="shared" ref="AL4" si="7">O4*$D4</f>
        <v>0</v>
      </c>
      <c r="AM4" s="425">
        <f t="shared" ref="AM4:AM123" si="8">P4*$D4</f>
        <v>725612.45890000009</v>
      </c>
      <c r="AN4" s="425">
        <f t="shared" ref="AN4:AN123" si="9">Q4*$D4</f>
        <v>1243907.0689000001</v>
      </c>
      <c r="AO4" s="425">
        <f t="shared" ref="AO4:AO123" si="10">R4*$D4</f>
        <v>544209.34099931712</v>
      </c>
      <c r="AP4" s="425">
        <f t="shared" ref="AP4:AP123" si="11">S4*$D4</f>
        <v>570124.07168976089</v>
      </c>
      <c r="AQ4" s="425">
        <f t="shared" ref="AQ4:AQ123" si="12">T4*$D4</f>
        <v>518294.61030887347</v>
      </c>
      <c r="AR4" s="426">
        <f t="shared" ref="AR4:AR67" si="13">U4*$D4</f>
        <v>518294.61030887347</v>
      </c>
      <c r="AS4" s="426">
        <f t="shared" ref="AS4:AS132" si="14">V4*$D4</f>
        <v>0</v>
      </c>
      <c r="AT4" s="426">
        <f t="shared" ref="AT4:AT132" si="15">W4*$D4</f>
        <v>1036589.23</v>
      </c>
      <c r="AU4" s="426">
        <f t="shared" ref="AU4:AV132" si="16">X4*$D4</f>
        <v>2.8893175296772503E-2</v>
      </c>
      <c r="AV4" s="425"/>
      <c r="AW4" s="424">
        <f>+AT4+AU4</f>
        <v>1036589.2588931753</v>
      </c>
      <c r="AX4" s="424">
        <f t="shared" ref="AX4:BN62" si="17">IF(AX$3=$E4,$D4,0)</f>
        <v>0</v>
      </c>
      <c r="AY4" s="424">
        <f t="shared" si="17"/>
        <v>0</v>
      </c>
      <c r="AZ4" s="424">
        <f t="shared" si="17"/>
        <v>0</v>
      </c>
      <c r="BA4" s="424">
        <f t="shared" si="17"/>
        <v>7593016.0899999999</v>
      </c>
      <c r="BB4" s="424">
        <f t="shared" si="17"/>
        <v>0</v>
      </c>
      <c r="BC4" s="424">
        <f t="shared" si="17"/>
        <v>0</v>
      </c>
      <c r="BD4" s="424">
        <f t="shared" si="17"/>
        <v>0</v>
      </c>
      <c r="BE4" s="424">
        <f t="shared" si="17"/>
        <v>0</v>
      </c>
      <c r="BF4" s="424">
        <f t="shared" si="17"/>
        <v>0</v>
      </c>
      <c r="BG4" s="424">
        <f t="shared" si="17"/>
        <v>0</v>
      </c>
      <c r="BH4" s="424">
        <f t="shared" si="17"/>
        <v>0</v>
      </c>
      <c r="BI4" s="424">
        <f t="shared" si="17"/>
        <v>0</v>
      </c>
      <c r="BJ4" s="424">
        <f t="shared" si="17"/>
        <v>0</v>
      </c>
      <c r="BK4" s="424">
        <f t="shared" si="17"/>
        <v>0</v>
      </c>
      <c r="BL4" s="424">
        <f t="shared" si="17"/>
        <v>0</v>
      </c>
      <c r="BM4" s="424">
        <f t="shared" si="17"/>
        <v>0</v>
      </c>
      <c r="BN4" s="424">
        <f t="shared" si="17"/>
        <v>0</v>
      </c>
      <c r="BO4" s="424">
        <f t="shared" ref="BN4:BQ16" si="18">IF(BO$3=$E4,$D4,0)</f>
        <v>0</v>
      </c>
      <c r="BP4" s="424">
        <f t="shared" si="18"/>
        <v>0</v>
      </c>
      <c r="BQ4" s="424">
        <f t="shared" si="18"/>
        <v>0</v>
      </c>
      <c r="BR4" s="376">
        <f>SUM(AC4:AV4)-SUM(AX4:BQ4)</f>
        <v>0</v>
      </c>
      <c r="BS4" s="427"/>
      <c r="BT4" s="428"/>
    </row>
    <row r="5" spans="1:72" s="240" customFormat="1" ht="15" customHeight="1" x14ac:dyDescent="0.25">
      <c r="A5" s="429" t="s">
        <v>126</v>
      </c>
      <c r="B5" s="430"/>
      <c r="C5" s="431"/>
      <c r="D5" s="432">
        <v>229065.33000000002</v>
      </c>
      <c r="E5" s="433" t="s">
        <v>257</v>
      </c>
      <c r="F5" s="434"/>
      <c r="G5" s="434"/>
      <c r="H5" s="434"/>
      <c r="I5" s="434"/>
      <c r="J5" s="434"/>
      <c r="K5" s="434">
        <v>0</v>
      </c>
      <c r="L5" s="434">
        <v>0</v>
      </c>
      <c r="M5" s="434">
        <v>0</v>
      </c>
      <c r="N5" s="434">
        <v>0</v>
      </c>
      <c r="O5" s="434">
        <v>0</v>
      </c>
      <c r="P5" s="434">
        <v>0</v>
      </c>
      <c r="Q5" s="434">
        <v>0</v>
      </c>
      <c r="R5" s="434">
        <v>0.75855241821187003</v>
      </c>
      <c r="S5" s="427">
        <v>8.6311010051150036E-2</v>
      </c>
      <c r="T5" s="427">
        <v>9.9705442111209047E-2</v>
      </c>
      <c r="U5" s="434">
        <v>0</v>
      </c>
      <c r="V5" s="434">
        <v>5.5431129625770965E-2</v>
      </c>
      <c r="W5" s="434"/>
      <c r="X5" s="434"/>
      <c r="Y5" s="434"/>
      <c r="Z5" s="435">
        <f>SUM(F5:X5)</f>
        <v>1</v>
      </c>
      <c r="AA5" s="431"/>
      <c r="AB5" s="431"/>
      <c r="AC5" s="376">
        <f t="shared" si="0"/>
        <v>0</v>
      </c>
      <c r="AD5" s="376">
        <f t="shared" si="1"/>
        <v>0</v>
      </c>
      <c r="AE5" s="376">
        <f t="shared" si="2"/>
        <v>0</v>
      </c>
      <c r="AF5" s="376">
        <f t="shared" si="3"/>
        <v>0</v>
      </c>
      <c r="AG5" s="436">
        <f>J5*$D5</f>
        <v>0</v>
      </c>
      <c r="AH5" s="436">
        <v>0</v>
      </c>
      <c r="AI5" s="436">
        <f t="shared" si="4"/>
        <v>0</v>
      </c>
      <c r="AJ5" s="436">
        <f t="shared" si="5"/>
        <v>0</v>
      </c>
      <c r="AK5" s="436">
        <f>N5*$D5</f>
        <v>0</v>
      </c>
      <c r="AL5" s="436">
        <f t="shared" ref="AL5:AL123" si="19">O5*$D5</f>
        <v>0</v>
      </c>
      <c r="AM5" s="436">
        <f t="shared" si="8"/>
        <v>0</v>
      </c>
      <c r="AN5" s="436">
        <f t="shared" si="9"/>
        <v>0</v>
      </c>
      <c r="AO5" s="436">
        <f t="shared" si="10"/>
        <v>173758.06000000003</v>
      </c>
      <c r="AP5" s="436">
        <f t="shared" si="11"/>
        <v>19770.86</v>
      </c>
      <c r="AQ5" s="436">
        <f t="shared" si="12"/>
        <v>22839.059999999998</v>
      </c>
      <c r="AR5" s="376">
        <f t="shared" si="13"/>
        <v>0</v>
      </c>
      <c r="AS5" s="436">
        <f t="shared" si="14"/>
        <v>12697.350000000004</v>
      </c>
      <c r="AT5" s="376">
        <f t="shared" si="15"/>
        <v>0</v>
      </c>
      <c r="AU5" s="436">
        <f t="shared" si="16"/>
        <v>0</v>
      </c>
      <c r="AV5" s="436"/>
      <c r="AW5" s="376"/>
      <c r="AX5" s="376">
        <f t="shared" si="17"/>
        <v>0</v>
      </c>
      <c r="AY5" s="376">
        <f t="shared" si="17"/>
        <v>0</v>
      </c>
      <c r="AZ5" s="376">
        <f t="shared" si="17"/>
        <v>0</v>
      </c>
      <c r="BA5" s="376">
        <f t="shared" si="17"/>
        <v>0</v>
      </c>
      <c r="BB5" s="376">
        <f t="shared" si="17"/>
        <v>0</v>
      </c>
      <c r="BC5" s="376">
        <f t="shared" si="17"/>
        <v>0</v>
      </c>
      <c r="BD5" s="376">
        <f t="shared" si="17"/>
        <v>0</v>
      </c>
      <c r="BE5" s="376">
        <f t="shared" si="17"/>
        <v>0</v>
      </c>
      <c r="BF5" s="376">
        <f t="shared" si="17"/>
        <v>0</v>
      </c>
      <c r="BG5" s="376">
        <f t="shared" si="17"/>
        <v>0</v>
      </c>
      <c r="BH5" s="376">
        <f t="shared" si="17"/>
        <v>0</v>
      </c>
      <c r="BI5" s="376">
        <f t="shared" si="17"/>
        <v>0</v>
      </c>
      <c r="BJ5" s="376">
        <f t="shared" si="17"/>
        <v>229065.33000000002</v>
      </c>
      <c r="BK5" s="376">
        <f t="shared" si="17"/>
        <v>0</v>
      </c>
      <c r="BL5" s="376">
        <f t="shared" si="17"/>
        <v>0</v>
      </c>
      <c r="BM5" s="376">
        <f t="shared" si="17"/>
        <v>0</v>
      </c>
      <c r="BN5" s="376">
        <f t="shared" si="18"/>
        <v>0</v>
      </c>
      <c r="BO5" s="376">
        <f t="shared" si="18"/>
        <v>0</v>
      </c>
      <c r="BP5" s="376">
        <f t="shared" si="18"/>
        <v>0</v>
      </c>
      <c r="BQ5" s="376">
        <f t="shared" si="18"/>
        <v>0</v>
      </c>
      <c r="BR5" s="376">
        <f t="shared" ref="BR5:BR89" si="20">SUM(AC5:AV5)-SUM(AX5:BQ5)</f>
        <v>0</v>
      </c>
    </row>
    <row r="6" spans="1:72" s="240" customFormat="1" ht="15" customHeight="1" x14ac:dyDescent="0.25">
      <c r="A6" s="429" t="s">
        <v>126</v>
      </c>
      <c r="B6" s="430"/>
      <c r="C6" s="431"/>
      <c r="D6" s="432">
        <v>1866155</v>
      </c>
      <c r="E6" s="433" t="s">
        <v>238</v>
      </c>
      <c r="F6" s="434"/>
      <c r="G6" s="434"/>
      <c r="H6" s="434"/>
      <c r="I6" s="434"/>
      <c r="J6" s="434"/>
      <c r="K6" s="434"/>
      <c r="L6" s="434"/>
      <c r="M6" s="434"/>
      <c r="N6" s="434">
        <v>0.15</v>
      </c>
      <c r="O6" s="434">
        <v>0.15</v>
      </c>
      <c r="P6" s="434">
        <v>0.05</v>
      </c>
      <c r="Q6" s="434">
        <v>0.15</v>
      </c>
      <c r="R6" s="434">
        <v>0.05</v>
      </c>
      <c r="S6" s="434">
        <v>0.15</v>
      </c>
      <c r="T6" s="434">
        <f>1-(S6+R6+Q6+P6+O6+N6+M6+L6+K6+J6+I6)-V6-W6</f>
        <v>0.20000000000000007</v>
      </c>
      <c r="U6" s="434"/>
      <c r="V6" s="434">
        <v>0.05</v>
      </c>
      <c r="W6" s="434">
        <v>0.05</v>
      </c>
      <c r="X6" s="434"/>
      <c r="Y6" s="434"/>
      <c r="Z6" s="435">
        <f t="shared" ref="Z6:Z104" si="21">SUM(F6:X6)</f>
        <v>1.0000000000000002</v>
      </c>
      <c r="AA6" s="431"/>
      <c r="AB6" s="431"/>
      <c r="AC6" s="376">
        <f t="shared" si="0"/>
        <v>0</v>
      </c>
      <c r="AD6" s="376">
        <f t="shared" si="1"/>
        <v>0</v>
      </c>
      <c r="AE6" s="376">
        <f t="shared" si="2"/>
        <v>0</v>
      </c>
      <c r="AF6" s="376">
        <f t="shared" si="3"/>
        <v>0</v>
      </c>
      <c r="AG6" s="376">
        <f>J6*$D6</f>
        <v>0</v>
      </c>
      <c r="AH6" s="376">
        <f t="shared" ref="AH6:AH123" si="22">K6*$D6</f>
        <v>0</v>
      </c>
      <c r="AI6" s="376">
        <f t="shared" ref="AI6:AI123" si="23">L6*$D6</f>
        <v>0</v>
      </c>
      <c r="AJ6" s="376">
        <f t="shared" ref="AJ6:AJ123" si="24">M6*$D6</f>
        <v>0</v>
      </c>
      <c r="AK6" s="436">
        <f>N6*$D6</f>
        <v>279923.25</v>
      </c>
      <c r="AL6" s="436">
        <f t="shared" si="19"/>
        <v>279923.25</v>
      </c>
      <c r="AM6" s="436">
        <f t="shared" si="8"/>
        <v>93307.75</v>
      </c>
      <c r="AN6" s="436">
        <f t="shared" si="9"/>
        <v>279923.25</v>
      </c>
      <c r="AO6" s="437">
        <f t="shared" si="10"/>
        <v>93307.75</v>
      </c>
      <c r="AP6" s="437">
        <f t="shared" si="11"/>
        <v>279923.25</v>
      </c>
      <c r="AQ6" s="437">
        <f t="shared" si="12"/>
        <v>373231.00000000012</v>
      </c>
      <c r="AR6" s="437">
        <f t="shared" si="13"/>
        <v>0</v>
      </c>
      <c r="AS6" s="437">
        <f t="shared" si="14"/>
        <v>93307.75</v>
      </c>
      <c r="AT6" s="437">
        <f t="shared" si="15"/>
        <v>93307.75</v>
      </c>
      <c r="AU6" s="437">
        <f t="shared" si="16"/>
        <v>0</v>
      </c>
      <c r="AV6" s="376"/>
      <c r="AW6" s="376"/>
      <c r="AX6" s="376">
        <f t="shared" si="17"/>
        <v>0</v>
      </c>
      <c r="AY6" s="376">
        <f t="shared" si="17"/>
        <v>0</v>
      </c>
      <c r="AZ6" s="376">
        <f t="shared" si="17"/>
        <v>0</v>
      </c>
      <c r="BA6" s="376">
        <f t="shared" si="17"/>
        <v>0</v>
      </c>
      <c r="BB6" s="376">
        <f t="shared" si="17"/>
        <v>0</v>
      </c>
      <c r="BC6" s="376">
        <f t="shared" si="17"/>
        <v>0</v>
      </c>
      <c r="BD6" s="376">
        <f t="shared" si="17"/>
        <v>0</v>
      </c>
      <c r="BE6" s="376">
        <f t="shared" si="17"/>
        <v>0</v>
      </c>
      <c r="BF6" s="376">
        <f t="shared" si="17"/>
        <v>1866155</v>
      </c>
      <c r="BG6" s="376">
        <f t="shared" si="17"/>
        <v>0</v>
      </c>
      <c r="BH6" s="376">
        <f t="shared" si="17"/>
        <v>0</v>
      </c>
      <c r="BI6" s="376">
        <f t="shared" si="17"/>
        <v>0</v>
      </c>
      <c r="BJ6" s="376">
        <f t="shared" si="17"/>
        <v>0</v>
      </c>
      <c r="BK6" s="376">
        <f t="shared" si="17"/>
        <v>0</v>
      </c>
      <c r="BL6" s="376">
        <f t="shared" si="17"/>
        <v>0</v>
      </c>
      <c r="BM6" s="376">
        <f t="shared" si="17"/>
        <v>0</v>
      </c>
      <c r="BN6" s="376">
        <f t="shared" si="18"/>
        <v>0</v>
      </c>
      <c r="BO6" s="376">
        <f t="shared" si="18"/>
        <v>0</v>
      </c>
      <c r="BP6" s="376">
        <f t="shared" si="18"/>
        <v>0</v>
      </c>
      <c r="BQ6" s="376">
        <f t="shared" si="18"/>
        <v>0</v>
      </c>
      <c r="BR6" s="376">
        <f t="shared" si="20"/>
        <v>0</v>
      </c>
    </row>
    <row r="7" spans="1:72" s="240" customFormat="1" ht="15" customHeight="1" x14ac:dyDescent="0.25">
      <c r="A7" s="429" t="s">
        <v>126</v>
      </c>
      <c r="B7" s="430"/>
      <c r="C7" s="431"/>
      <c r="D7" s="432">
        <v>1109637.32</v>
      </c>
      <c r="E7" s="433" t="s">
        <v>238</v>
      </c>
      <c r="F7" s="434"/>
      <c r="G7" s="434"/>
      <c r="H7" s="434"/>
      <c r="I7" s="434"/>
      <c r="J7" s="434"/>
      <c r="K7" s="434"/>
      <c r="L7" s="434"/>
      <c r="M7" s="434"/>
      <c r="N7" s="434">
        <v>0.13140547579996678</v>
      </c>
      <c r="O7" s="434">
        <v>0.17720751317196146</v>
      </c>
      <c r="P7" s="434">
        <v>5.1435544723748117E-2</v>
      </c>
      <c r="Q7" s="434">
        <v>0.14768109097123736</v>
      </c>
      <c r="R7" s="434">
        <v>4.9227030323745778E-2</v>
      </c>
      <c r="S7" s="434">
        <v>0.1476810999831909</v>
      </c>
      <c r="T7" s="434">
        <v>4.9227030323745778E-2</v>
      </c>
      <c r="U7" s="434">
        <v>0.14768109097123736</v>
      </c>
      <c r="V7" s="434">
        <v>4.9227066371560033E-2</v>
      </c>
      <c r="W7" s="434">
        <v>4.9227066371560033E-2</v>
      </c>
      <c r="X7" s="434"/>
      <c r="Y7" s="434"/>
      <c r="Z7" s="435">
        <f t="shared" si="21"/>
        <v>1.0000000090119536</v>
      </c>
      <c r="AA7" s="431"/>
      <c r="AB7" s="431"/>
      <c r="AC7" s="376">
        <f t="shared" ref="AC7:AC8" si="25">F7*$D7</f>
        <v>0</v>
      </c>
      <c r="AD7" s="376">
        <f t="shared" ref="AD7:AD8" si="26">G7*$D7</f>
        <v>0</v>
      </c>
      <c r="AE7" s="376">
        <f t="shared" ref="AE7:AE8" si="27">H7*$D7</f>
        <v>0</v>
      </c>
      <c r="AF7" s="376">
        <f t="shared" ref="AF7:AF8" si="28">I7*$D7</f>
        <v>0</v>
      </c>
      <c r="AG7" s="376">
        <f t="shared" ref="AG7:AG8" si="29">J7*$D7</f>
        <v>0</v>
      </c>
      <c r="AH7" s="376">
        <f t="shared" ref="AH7:AH8" si="30">K7*$D7</f>
        <v>0</v>
      </c>
      <c r="AI7" s="376">
        <f t="shared" ref="AI7:AI8" si="31">L7*$D7</f>
        <v>0</v>
      </c>
      <c r="AJ7" s="376">
        <f t="shared" ref="AJ7:AJ8" si="32">M7*$D7</f>
        <v>0</v>
      </c>
      <c r="AK7" s="436">
        <f t="shared" ref="AK7:AK8" si="33">N7*$D7</f>
        <v>145812.42000000001</v>
      </c>
      <c r="AL7" s="436">
        <f t="shared" ref="AL7:AL8" si="34">O7*$D7</f>
        <v>196636.07</v>
      </c>
      <c r="AM7" s="436">
        <f t="shared" ref="AM7:AM8" si="35">P7*$D7</f>
        <v>57074.8</v>
      </c>
      <c r="AN7" s="436">
        <f t="shared" ref="AN7:AN8" si="36">Q7*$D7</f>
        <v>163872.45000000001</v>
      </c>
      <c r="AO7" s="437">
        <f t="shared" ref="AO7:AO8" si="37">R7*$D7</f>
        <v>54624.15</v>
      </c>
      <c r="AP7" s="437">
        <f t="shared" ref="AP7:AP8" si="38">S7*$D7</f>
        <v>163872.46</v>
      </c>
      <c r="AQ7" s="437">
        <f t="shared" ref="AQ7:AQ8" si="39">T7*$D7</f>
        <v>54624.15</v>
      </c>
      <c r="AR7" s="437">
        <f t="shared" ref="AR7:AR8" si="40">U7*$D7</f>
        <v>163872.45000000001</v>
      </c>
      <c r="AS7" s="437">
        <f t="shared" ref="AS7:AS8" si="41">V7*$D7</f>
        <v>54624.19</v>
      </c>
      <c r="AT7" s="437">
        <f t="shared" ref="AT7:AT8" si="42">W7*$D7</f>
        <v>54624.19</v>
      </c>
      <c r="AU7" s="437">
        <f t="shared" ref="AU7:AU8" si="43">X7*$D7</f>
        <v>0</v>
      </c>
      <c r="AV7" s="376"/>
      <c r="AW7" s="376"/>
      <c r="AX7" s="376">
        <f t="shared" ref="AX7:BM8" si="44">IF(AX$3=$E7,$D7,0)</f>
        <v>0</v>
      </c>
      <c r="AY7" s="376">
        <f t="shared" si="44"/>
        <v>0</v>
      </c>
      <c r="AZ7" s="376">
        <f t="shared" si="44"/>
        <v>0</v>
      </c>
      <c r="BA7" s="376">
        <f t="shared" si="44"/>
        <v>0</v>
      </c>
      <c r="BB7" s="376">
        <f t="shared" si="44"/>
        <v>0</v>
      </c>
      <c r="BC7" s="376">
        <f t="shared" si="44"/>
        <v>0</v>
      </c>
      <c r="BD7" s="376">
        <f t="shared" si="44"/>
        <v>0</v>
      </c>
      <c r="BE7" s="376">
        <f t="shared" si="44"/>
        <v>0</v>
      </c>
      <c r="BF7" s="376">
        <f t="shared" si="44"/>
        <v>1109637.32</v>
      </c>
      <c r="BG7" s="376">
        <f>IF(BG$3=$E7,$D7,0)</f>
        <v>0</v>
      </c>
      <c r="BH7" s="376">
        <f t="shared" si="44"/>
        <v>0</v>
      </c>
      <c r="BI7" s="376">
        <f t="shared" si="44"/>
        <v>0</v>
      </c>
      <c r="BJ7" s="376">
        <f t="shared" si="44"/>
        <v>0</v>
      </c>
      <c r="BK7" s="376">
        <f t="shared" si="44"/>
        <v>0</v>
      </c>
      <c r="BL7" s="376">
        <f t="shared" si="44"/>
        <v>0</v>
      </c>
      <c r="BM7" s="376">
        <f t="shared" si="44"/>
        <v>0</v>
      </c>
      <c r="BN7" s="376">
        <f t="shared" si="18"/>
        <v>0</v>
      </c>
      <c r="BO7" s="376">
        <f t="shared" si="18"/>
        <v>0</v>
      </c>
      <c r="BP7" s="376">
        <f t="shared" si="18"/>
        <v>0</v>
      </c>
      <c r="BQ7" s="376">
        <f t="shared" si="18"/>
        <v>0</v>
      </c>
      <c r="BR7" s="376">
        <f t="shared" si="20"/>
        <v>9.9999997764825821E-3</v>
      </c>
    </row>
    <row r="8" spans="1:72" s="240" customFormat="1" ht="15" customHeight="1" x14ac:dyDescent="0.25">
      <c r="A8" s="429" t="s">
        <v>126</v>
      </c>
      <c r="B8" s="430"/>
      <c r="C8" s="431"/>
      <c r="D8" s="432">
        <v>1185760</v>
      </c>
      <c r="E8" s="433" t="s">
        <v>238</v>
      </c>
      <c r="F8" s="434"/>
      <c r="G8" s="434"/>
      <c r="H8" s="434"/>
      <c r="I8" s="434"/>
      <c r="J8" s="434"/>
      <c r="K8" s="434"/>
      <c r="L8" s="434"/>
      <c r="M8" s="434"/>
      <c r="N8" s="434">
        <v>0</v>
      </c>
      <c r="O8" s="434">
        <v>0.35</v>
      </c>
      <c r="P8" s="434">
        <v>0.05</v>
      </c>
      <c r="Q8" s="434">
        <v>0.12000000000000001</v>
      </c>
      <c r="R8" s="434">
        <v>0.05</v>
      </c>
      <c r="S8" s="434">
        <v>0.12999999999999998</v>
      </c>
      <c r="T8" s="434">
        <v>0.2</v>
      </c>
      <c r="U8" s="434">
        <v>0</v>
      </c>
      <c r="V8" s="434">
        <v>0.05</v>
      </c>
      <c r="W8" s="434">
        <v>0.05</v>
      </c>
      <c r="X8" s="434"/>
      <c r="Y8" s="434"/>
      <c r="Z8" s="435">
        <f t="shared" si="21"/>
        <v>1.0000000000000002</v>
      </c>
      <c r="AA8" s="431"/>
      <c r="AB8" s="431"/>
      <c r="AC8" s="376">
        <f t="shared" si="25"/>
        <v>0</v>
      </c>
      <c r="AD8" s="376">
        <f t="shared" si="26"/>
        <v>0</v>
      </c>
      <c r="AE8" s="376">
        <f t="shared" si="27"/>
        <v>0</v>
      </c>
      <c r="AF8" s="376">
        <f t="shared" si="28"/>
        <v>0</v>
      </c>
      <c r="AG8" s="376">
        <f t="shared" si="29"/>
        <v>0</v>
      </c>
      <c r="AH8" s="376">
        <f t="shared" si="30"/>
        <v>0</v>
      </c>
      <c r="AI8" s="376">
        <f t="shared" si="31"/>
        <v>0</v>
      </c>
      <c r="AJ8" s="376">
        <f t="shared" si="32"/>
        <v>0</v>
      </c>
      <c r="AK8" s="437">
        <f t="shared" si="33"/>
        <v>0</v>
      </c>
      <c r="AL8" s="437">
        <f t="shared" si="34"/>
        <v>415016</v>
      </c>
      <c r="AM8" s="437">
        <f t="shared" si="35"/>
        <v>59288</v>
      </c>
      <c r="AN8" s="437">
        <f t="shared" si="36"/>
        <v>142291.20000000001</v>
      </c>
      <c r="AO8" s="437">
        <f t="shared" si="37"/>
        <v>59288</v>
      </c>
      <c r="AP8" s="437">
        <f t="shared" si="38"/>
        <v>154148.79999999996</v>
      </c>
      <c r="AQ8" s="437">
        <f t="shared" si="39"/>
        <v>237152</v>
      </c>
      <c r="AR8" s="437">
        <f t="shared" si="40"/>
        <v>0</v>
      </c>
      <c r="AS8" s="437">
        <f t="shared" si="41"/>
        <v>59288</v>
      </c>
      <c r="AT8" s="437">
        <f t="shared" si="42"/>
        <v>59288</v>
      </c>
      <c r="AU8" s="376">
        <f t="shared" si="43"/>
        <v>0</v>
      </c>
      <c r="AV8" s="376"/>
      <c r="AW8" s="376"/>
      <c r="AX8" s="376">
        <f t="shared" si="44"/>
        <v>0</v>
      </c>
      <c r="AY8" s="376">
        <f t="shared" si="44"/>
        <v>0</v>
      </c>
      <c r="AZ8" s="376">
        <f t="shared" si="44"/>
        <v>0</v>
      </c>
      <c r="BA8" s="376">
        <f t="shared" si="44"/>
        <v>0</v>
      </c>
      <c r="BB8" s="376">
        <f t="shared" si="44"/>
        <v>0</v>
      </c>
      <c r="BC8" s="376">
        <f t="shared" si="44"/>
        <v>0</v>
      </c>
      <c r="BD8" s="376">
        <f t="shared" si="44"/>
        <v>0</v>
      </c>
      <c r="BE8" s="376">
        <f t="shared" si="44"/>
        <v>0</v>
      </c>
      <c r="BF8" s="376">
        <f t="shared" si="44"/>
        <v>1185760</v>
      </c>
      <c r="BG8" s="376">
        <f t="shared" si="44"/>
        <v>0</v>
      </c>
      <c r="BH8" s="376">
        <f t="shared" si="44"/>
        <v>0</v>
      </c>
      <c r="BI8" s="376">
        <f t="shared" si="44"/>
        <v>0</v>
      </c>
      <c r="BJ8" s="376">
        <f t="shared" si="44"/>
        <v>0</v>
      </c>
      <c r="BK8" s="376">
        <f t="shared" si="44"/>
        <v>0</v>
      </c>
      <c r="BL8" s="376">
        <f t="shared" si="44"/>
        <v>0</v>
      </c>
      <c r="BM8" s="376">
        <f t="shared" si="44"/>
        <v>0</v>
      </c>
      <c r="BN8" s="376">
        <f t="shared" si="18"/>
        <v>0</v>
      </c>
      <c r="BO8" s="376">
        <f t="shared" si="18"/>
        <v>0</v>
      </c>
      <c r="BP8" s="376">
        <f t="shared" si="18"/>
        <v>0</v>
      </c>
      <c r="BQ8" s="376">
        <f t="shared" si="18"/>
        <v>0</v>
      </c>
      <c r="BR8" s="376">
        <f t="shared" si="20"/>
        <v>0</v>
      </c>
    </row>
    <row r="9" spans="1:72" s="240" customFormat="1" ht="15" customHeight="1" x14ac:dyDescent="0.25">
      <c r="A9" s="438" t="s">
        <v>127</v>
      </c>
      <c r="B9" s="439"/>
      <c r="C9" s="440"/>
      <c r="D9" s="441">
        <v>529.46</v>
      </c>
      <c r="E9" s="442" t="s">
        <v>216</v>
      </c>
      <c r="F9" s="443"/>
      <c r="G9" s="443"/>
      <c r="H9" s="443"/>
      <c r="I9" s="443"/>
      <c r="J9" s="443">
        <v>0</v>
      </c>
      <c r="K9" s="443">
        <v>0</v>
      </c>
      <c r="L9" s="443">
        <v>0</v>
      </c>
      <c r="M9" s="443">
        <v>1</v>
      </c>
      <c r="N9" s="443">
        <v>0</v>
      </c>
      <c r="O9" s="443"/>
      <c r="P9" s="443"/>
      <c r="Q9" s="443"/>
      <c r="R9" s="443"/>
      <c r="S9" s="443"/>
      <c r="T9" s="443"/>
      <c r="U9" s="443"/>
      <c r="V9" s="443"/>
      <c r="W9" s="443"/>
      <c r="X9" s="443"/>
      <c r="Y9" s="443"/>
      <c r="Z9" s="444">
        <f t="shared" si="21"/>
        <v>1</v>
      </c>
      <c r="AA9" s="440"/>
      <c r="AB9" s="440"/>
      <c r="AC9" s="445">
        <f t="shared" ref="AC9" si="45">F9*$D9</f>
        <v>0</v>
      </c>
      <c r="AD9" s="445">
        <f t="shared" ref="AD9" si="46">G9*$D9</f>
        <v>0</v>
      </c>
      <c r="AE9" s="445">
        <f t="shared" ref="AE9" si="47">H9*$D9</f>
        <v>0</v>
      </c>
      <c r="AF9" s="445">
        <f t="shared" ref="AF9" si="48">I9*$D9</f>
        <v>0</v>
      </c>
      <c r="AG9" s="445">
        <f t="shared" ref="AG9" si="49">J9*$D9</f>
        <v>0</v>
      </c>
      <c r="AH9" s="445">
        <f t="shared" ref="AH9" si="50">K9*$D9</f>
        <v>0</v>
      </c>
      <c r="AI9" s="445">
        <f t="shared" ref="AI9" si="51">L9*$D9</f>
        <v>0</v>
      </c>
      <c r="AJ9" s="445">
        <f t="shared" ref="AJ9" si="52">M9*$D9</f>
        <v>529.46</v>
      </c>
      <c r="AK9" s="445">
        <f t="shared" ref="AK9" si="53">N9*$D9</f>
        <v>0</v>
      </c>
      <c r="AL9" s="445">
        <f t="shared" ref="AL9" si="54">O9*$D9</f>
        <v>0</v>
      </c>
      <c r="AM9" s="445">
        <f t="shared" ref="AM9" si="55">P9*$D9</f>
        <v>0</v>
      </c>
      <c r="AN9" s="445">
        <f t="shared" ref="AN9" si="56">Q9*$D9</f>
        <v>0</v>
      </c>
      <c r="AO9" s="445">
        <f t="shared" ref="AO9" si="57">R9*$D9</f>
        <v>0</v>
      </c>
      <c r="AP9" s="446">
        <f t="shared" ref="AP9" si="58">S9*$D9</f>
        <v>0</v>
      </c>
      <c r="AQ9" s="446">
        <f t="shared" ref="AQ9" si="59">T9*$D9</f>
        <v>0</v>
      </c>
      <c r="AR9" s="446">
        <f t="shared" si="13"/>
        <v>0</v>
      </c>
      <c r="AS9" s="446">
        <f t="shared" si="14"/>
        <v>0</v>
      </c>
      <c r="AT9" s="446">
        <f t="shared" si="15"/>
        <v>0</v>
      </c>
      <c r="AU9" s="445">
        <f t="shared" si="16"/>
        <v>0</v>
      </c>
      <c r="AV9" s="445"/>
      <c r="AW9" s="445"/>
      <c r="AX9" s="445">
        <f t="shared" si="17"/>
        <v>0</v>
      </c>
      <c r="AY9" s="445">
        <f t="shared" si="17"/>
        <v>0</v>
      </c>
      <c r="AZ9" s="445">
        <f t="shared" si="17"/>
        <v>0</v>
      </c>
      <c r="BA9" s="445">
        <f t="shared" si="17"/>
        <v>0</v>
      </c>
      <c r="BB9" s="445">
        <v>0</v>
      </c>
      <c r="BC9" s="445">
        <v>0</v>
      </c>
      <c r="BD9" s="445">
        <f t="shared" si="17"/>
        <v>0</v>
      </c>
      <c r="BE9" s="445">
        <f t="shared" si="17"/>
        <v>529.46</v>
      </c>
      <c r="BF9" s="445">
        <f t="shared" si="17"/>
        <v>0</v>
      </c>
      <c r="BG9" s="445">
        <f t="shared" si="17"/>
        <v>0</v>
      </c>
      <c r="BH9" s="445">
        <f t="shared" si="17"/>
        <v>0</v>
      </c>
      <c r="BI9" s="445">
        <f t="shared" si="17"/>
        <v>0</v>
      </c>
      <c r="BJ9" s="445">
        <f t="shared" si="17"/>
        <v>0</v>
      </c>
      <c r="BK9" s="445">
        <f t="shared" si="17"/>
        <v>0</v>
      </c>
      <c r="BL9" s="445">
        <f t="shared" si="17"/>
        <v>0</v>
      </c>
      <c r="BM9" s="445">
        <f t="shared" si="17"/>
        <v>0</v>
      </c>
      <c r="BN9" s="445">
        <f t="shared" si="18"/>
        <v>0</v>
      </c>
      <c r="BO9" s="445">
        <f t="shared" si="18"/>
        <v>0</v>
      </c>
      <c r="BP9" s="445">
        <f t="shared" si="18"/>
        <v>0</v>
      </c>
      <c r="BQ9" s="445">
        <f t="shared" si="18"/>
        <v>0</v>
      </c>
      <c r="BR9" s="376">
        <f t="shared" si="20"/>
        <v>0</v>
      </c>
    </row>
    <row r="10" spans="1:72" s="240" customFormat="1" ht="15" customHeight="1" x14ac:dyDescent="0.25">
      <c r="A10" s="240" t="s">
        <v>128</v>
      </c>
      <c r="C10" s="350"/>
      <c r="D10" s="447">
        <v>2329506.84</v>
      </c>
      <c r="E10" s="448" t="s">
        <v>166</v>
      </c>
      <c r="F10" s="351">
        <v>0</v>
      </c>
      <c r="G10" s="351">
        <v>0</v>
      </c>
      <c r="H10" s="351">
        <v>0</v>
      </c>
      <c r="I10" s="351">
        <v>0</v>
      </c>
      <c r="J10" s="351">
        <v>0</v>
      </c>
      <c r="K10" s="351">
        <v>0</v>
      </c>
      <c r="L10" s="449">
        <v>5.9999999828289845E-2</v>
      </c>
      <c r="M10" s="351">
        <v>2.0000001373681308E-2</v>
      </c>
      <c r="N10" s="351">
        <v>8.0000001201971149E-2</v>
      </c>
      <c r="O10" s="351">
        <v>0.11000000755524721</v>
      </c>
      <c r="P10" s="351">
        <v>0.140000001030261</v>
      </c>
      <c r="Q10" s="351">
        <v>0</v>
      </c>
      <c r="R10" s="351">
        <v>0.13000000463617442</v>
      </c>
      <c r="S10" s="351">
        <v>0.10000000257565246</v>
      </c>
      <c r="T10" s="351">
        <v>0.10000000257565246</v>
      </c>
      <c r="U10" s="351">
        <v>0.1600000024039423</v>
      </c>
      <c r="V10" s="351">
        <f>1-(U10+T10+S10+R10+Q10+P10+O10+N10+M10+L10+K10)</f>
        <v>9.9999976819127867E-2</v>
      </c>
      <c r="W10" s="351">
        <v>0</v>
      </c>
      <c r="X10" s="351">
        <v>0</v>
      </c>
      <c r="Y10" s="351"/>
      <c r="Z10" s="449">
        <f t="shared" si="21"/>
        <v>1</v>
      </c>
      <c r="AA10" s="350"/>
      <c r="AB10" s="350"/>
      <c r="AC10" s="339">
        <f t="shared" si="0"/>
        <v>0</v>
      </c>
      <c r="AD10" s="339">
        <f t="shared" si="1"/>
        <v>0</v>
      </c>
      <c r="AE10" s="339">
        <f t="shared" si="2"/>
        <v>0</v>
      </c>
      <c r="AF10" s="339">
        <f t="shared" si="3"/>
        <v>0</v>
      </c>
      <c r="AG10" s="339">
        <f>J10*$D10</f>
        <v>0</v>
      </c>
      <c r="AH10" s="339">
        <f t="shared" si="22"/>
        <v>0</v>
      </c>
      <c r="AI10" s="339">
        <f t="shared" si="23"/>
        <v>139770.41</v>
      </c>
      <c r="AJ10" s="339">
        <f t="shared" si="24"/>
        <v>46590.14</v>
      </c>
      <c r="AK10" s="339">
        <f>N10*$D10</f>
        <v>186360.55</v>
      </c>
      <c r="AL10" s="339">
        <f t="shared" si="19"/>
        <v>256245.77000000002</v>
      </c>
      <c r="AM10" s="339">
        <f t="shared" si="8"/>
        <v>326130.96000000002</v>
      </c>
      <c r="AN10" s="339">
        <f t="shared" si="9"/>
        <v>0</v>
      </c>
      <c r="AO10" s="339">
        <f t="shared" si="10"/>
        <v>302835.90000000002</v>
      </c>
      <c r="AP10" s="339">
        <f t="shared" si="11"/>
        <v>232950.69</v>
      </c>
      <c r="AQ10" s="339">
        <f t="shared" si="12"/>
        <v>232950.69</v>
      </c>
      <c r="AR10" s="339">
        <f t="shared" si="13"/>
        <v>372721.1</v>
      </c>
      <c r="AS10" s="339">
        <f t="shared" si="14"/>
        <v>232950.6299999998</v>
      </c>
      <c r="AT10" s="339">
        <f t="shared" si="15"/>
        <v>0</v>
      </c>
      <c r="AU10" s="339">
        <f t="shared" si="16"/>
        <v>0</v>
      </c>
      <c r="AV10" s="447"/>
      <c r="AW10" s="352"/>
      <c r="AX10" s="352">
        <f t="shared" si="17"/>
        <v>0</v>
      </c>
      <c r="AY10" s="352">
        <f t="shared" si="17"/>
        <v>0</v>
      </c>
      <c r="AZ10" s="352">
        <f t="shared" si="17"/>
        <v>0</v>
      </c>
      <c r="BA10" s="352">
        <f t="shared" si="17"/>
        <v>0</v>
      </c>
      <c r="BB10" s="352">
        <f t="shared" si="17"/>
        <v>0</v>
      </c>
      <c r="BC10" s="352">
        <f t="shared" si="17"/>
        <v>2329506.84</v>
      </c>
      <c r="BD10" s="352">
        <f t="shared" si="17"/>
        <v>0</v>
      </c>
      <c r="BE10" s="352">
        <f t="shared" si="17"/>
        <v>0</v>
      </c>
      <c r="BF10" s="352">
        <f t="shared" si="17"/>
        <v>0</v>
      </c>
      <c r="BG10" s="352">
        <f t="shared" si="17"/>
        <v>0</v>
      </c>
      <c r="BH10" s="352">
        <f t="shared" si="17"/>
        <v>0</v>
      </c>
      <c r="BI10" s="352">
        <f t="shared" si="17"/>
        <v>0</v>
      </c>
      <c r="BJ10" s="352">
        <f t="shared" si="17"/>
        <v>0</v>
      </c>
      <c r="BK10" s="352">
        <f t="shared" si="17"/>
        <v>0</v>
      </c>
      <c r="BL10" s="352">
        <f t="shared" si="17"/>
        <v>0</v>
      </c>
      <c r="BM10" s="352">
        <f t="shared" si="17"/>
        <v>0</v>
      </c>
      <c r="BN10" s="352">
        <f t="shared" si="18"/>
        <v>0</v>
      </c>
      <c r="BO10" s="352">
        <f t="shared" si="18"/>
        <v>0</v>
      </c>
      <c r="BP10" s="352">
        <f t="shared" si="18"/>
        <v>0</v>
      </c>
      <c r="BQ10" s="352">
        <f t="shared" si="18"/>
        <v>0</v>
      </c>
      <c r="BR10" s="376">
        <f t="shared" si="20"/>
        <v>0</v>
      </c>
    </row>
    <row r="11" spans="1:72" s="240" customFormat="1" ht="15" customHeight="1" x14ac:dyDescent="0.25">
      <c r="A11" s="240" t="s">
        <v>128</v>
      </c>
      <c r="C11" s="350"/>
      <c r="D11" s="447">
        <v>0</v>
      </c>
      <c r="E11" s="448" t="s">
        <v>271</v>
      </c>
      <c r="F11" s="351">
        <v>0</v>
      </c>
      <c r="G11" s="351">
        <v>0</v>
      </c>
      <c r="H11" s="351">
        <v>0</v>
      </c>
      <c r="I11" s="351">
        <v>0</v>
      </c>
      <c r="J11" s="351">
        <v>0</v>
      </c>
      <c r="K11" s="351">
        <v>0</v>
      </c>
      <c r="L11" s="449">
        <v>0</v>
      </c>
      <c r="M11" s="351">
        <v>0</v>
      </c>
      <c r="N11" s="351">
        <v>0</v>
      </c>
      <c r="O11" s="351">
        <v>0</v>
      </c>
      <c r="P11" s="351">
        <v>0</v>
      </c>
      <c r="Q11" s="351">
        <v>0</v>
      </c>
      <c r="R11" s="351">
        <v>0</v>
      </c>
      <c r="S11" s="351">
        <v>0</v>
      </c>
      <c r="T11" s="351">
        <v>0</v>
      </c>
      <c r="U11" s="351">
        <v>0.25</v>
      </c>
      <c r="V11" s="351">
        <v>0.25</v>
      </c>
      <c r="W11" s="351">
        <v>0.5</v>
      </c>
      <c r="X11" s="351">
        <v>0</v>
      </c>
      <c r="Y11" s="351"/>
      <c r="Z11" s="449">
        <f t="shared" ref="Z11:Z14" si="60">SUM(F11:X11)</f>
        <v>1</v>
      </c>
      <c r="AA11" s="350"/>
      <c r="AB11" s="350"/>
      <c r="AC11" s="339">
        <f t="shared" ref="AC11:AC14" si="61">F11*$D11</f>
        <v>0</v>
      </c>
      <c r="AD11" s="339">
        <f t="shared" ref="AD11:AD14" si="62">G11*$D11</f>
        <v>0</v>
      </c>
      <c r="AE11" s="339">
        <f t="shared" ref="AE11:AE14" si="63">H11*$D11</f>
        <v>0</v>
      </c>
      <c r="AF11" s="339">
        <f t="shared" ref="AF11:AF14" si="64">I11*$D11</f>
        <v>0</v>
      </c>
      <c r="AG11" s="339">
        <f t="shared" ref="AG11:AG14" si="65">J11*$D11</f>
        <v>0</v>
      </c>
      <c r="AH11" s="339">
        <f t="shared" ref="AH11:AH14" si="66">K11*$D11</f>
        <v>0</v>
      </c>
      <c r="AI11" s="339">
        <f t="shared" ref="AI11:AI14" si="67">L11*$D11</f>
        <v>0</v>
      </c>
      <c r="AJ11" s="339">
        <f t="shared" ref="AJ11:AJ14" si="68">M11*$D11</f>
        <v>0</v>
      </c>
      <c r="AK11" s="339">
        <f t="shared" ref="AK11:AK14" si="69">N11*$D11</f>
        <v>0</v>
      </c>
      <c r="AL11" s="339">
        <f t="shared" ref="AL11:AL14" si="70">O11*$D11</f>
        <v>0</v>
      </c>
      <c r="AM11" s="339">
        <f t="shared" ref="AM11:AM14" si="71">P11*$D11</f>
        <v>0</v>
      </c>
      <c r="AN11" s="339">
        <f t="shared" ref="AN11:AN14" si="72">Q11*$D11</f>
        <v>0</v>
      </c>
      <c r="AO11" s="339">
        <f t="shared" ref="AO11:AO14" si="73">R11*$D11</f>
        <v>0</v>
      </c>
      <c r="AP11" s="339">
        <f t="shared" ref="AP11:AP14" si="74">S11*$D11</f>
        <v>0</v>
      </c>
      <c r="AQ11" s="339">
        <f t="shared" ref="AQ11:AQ14" si="75">T11*$D11</f>
        <v>0</v>
      </c>
      <c r="AR11" s="339">
        <f t="shared" ref="AR11:AR14" si="76">U11*$D11</f>
        <v>0</v>
      </c>
      <c r="AS11" s="339">
        <f t="shared" ref="AS11:AS14" si="77">V11*$D11</f>
        <v>0</v>
      </c>
      <c r="AT11" s="339">
        <f t="shared" ref="AT11:AT14" si="78">W11*$D11</f>
        <v>0</v>
      </c>
      <c r="AU11" s="339">
        <f t="shared" ref="AU11:AU14" si="79">X11*$D11</f>
        <v>0</v>
      </c>
      <c r="AV11" s="447"/>
      <c r="AW11" s="352"/>
      <c r="AX11" s="352">
        <f t="shared" si="17"/>
        <v>0</v>
      </c>
      <c r="AY11" s="352">
        <f t="shared" si="17"/>
        <v>0</v>
      </c>
      <c r="AZ11" s="352">
        <f t="shared" si="17"/>
        <v>0</v>
      </c>
      <c r="BA11" s="352">
        <f t="shared" si="17"/>
        <v>0</v>
      </c>
      <c r="BB11" s="352">
        <f t="shared" si="17"/>
        <v>0</v>
      </c>
      <c r="BC11" s="352">
        <f t="shared" si="17"/>
        <v>0</v>
      </c>
      <c r="BD11" s="352">
        <f t="shared" si="17"/>
        <v>0</v>
      </c>
      <c r="BE11" s="352">
        <f t="shared" si="17"/>
        <v>0</v>
      </c>
      <c r="BF11" s="352">
        <f t="shared" si="17"/>
        <v>0</v>
      </c>
      <c r="BG11" s="352">
        <f t="shared" si="17"/>
        <v>0</v>
      </c>
      <c r="BH11" s="352">
        <f t="shared" si="17"/>
        <v>0</v>
      </c>
      <c r="BI11" s="352">
        <f t="shared" si="17"/>
        <v>0</v>
      </c>
      <c r="BJ11" s="352">
        <f t="shared" si="17"/>
        <v>0</v>
      </c>
      <c r="BK11" s="352">
        <f t="shared" si="17"/>
        <v>0</v>
      </c>
      <c r="BL11" s="352">
        <f t="shared" si="17"/>
        <v>0</v>
      </c>
      <c r="BM11" s="352">
        <f t="shared" si="17"/>
        <v>0</v>
      </c>
      <c r="BN11" s="352">
        <f t="shared" si="18"/>
        <v>0</v>
      </c>
      <c r="BO11" s="352">
        <f t="shared" si="18"/>
        <v>0</v>
      </c>
      <c r="BP11" s="352">
        <f t="shared" si="18"/>
        <v>0</v>
      </c>
      <c r="BQ11" s="352">
        <f t="shared" si="18"/>
        <v>0</v>
      </c>
      <c r="BR11" s="376">
        <f t="shared" ref="BR11:BR14" si="80">SUM(AC11:AV11)-SUM(AX11:BQ11)</f>
        <v>0</v>
      </c>
    </row>
    <row r="12" spans="1:72" s="240" customFormat="1" ht="15" customHeight="1" x14ac:dyDescent="0.25">
      <c r="A12" s="240" t="s">
        <v>128</v>
      </c>
      <c r="C12" s="350"/>
      <c r="D12" s="447">
        <v>150000</v>
      </c>
      <c r="E12" s="448" t="s">
        <v>260</v>
      </c>
      <c r="F12" s="351">
        <v>0</v>
      </c>
      <c r="G12" s="351">
        <v>0</v>
      </c>
      <c r="H12" s="351">
        <v>0</v>
      </c>
      <c r="I12" s="351">
        <v>0</v>
      </c>
      <c r="J12" s="351">
        <v>0</v>
      </c>
      <c r="K12" s="351">
        <v>0</v>
      </c>
      <c r="L12" s="449">
        <v>0</v>
      </c>
      <c r="M12" s="351">
        <v>0</v>
      </c>
      <c r="N12" s="351">
        <v>0</v>
      </c>
      <c r="O12" s="351">
        <v>0</v>
      </c>
      <c r="P12" s="351">
        <v>0</v>
      </c>
      <c r="Q12" s="351">
        <v>0</v>
      </c>
      <c r="R12" s="351">
        <v>0</v>
      </c>
      <c r="S12" s="351">
        <v>0</v>
      </c>
      <c r="T12" s="351">
        <v>0</v>
      </c>
      <c r="U12" s="351">
        <v>0</v>
      </c>
      <c r="V12" s="351">
        <v>0</v>
      </c>
      <c r="W12" s="351">
        <v>1</v>
      </c>
      <c r="X12" s="351">
        <v>0</v>
      </c>
      <c r="Y12" s="351"/>
      <c r="Z12" s="449">
        <f t="shared" si="60"/>
        <v>1</v>
      </c>
      <c r="AA12" s="350"/>
      <c r="AB12" s="350"/>
      <c r="AC12" s="339">
        <f t="shared" si="61"/>
        <v>0</v>
      </c>
      <c r="AD12" s="339">
        <f t="shared" si="62"/>
        <v>0</v>
      </c>
      <c r="AE12" s="339">
        <f t="shared" si="63"/>
        <v>0</v>
      </c>
      <c r="AF12" s="339">
        <f t="shared" si="64"/>
        <v>0</v>
      </c>
      <c r="AG12" s="339">
        <f t="shared" si="65"/>
        <v>0</v>
      </c>
      <c r="AH12" s="339">
        <f t="shared" si="66"/>
        <v>0</v>
      </c>
      <c r="AI12" s="339">
        <f t="shared" si="67"/>
        <v>0</v>
      </c>
      <c r="AJ12" s="339">
        <f t="shared" si="68"/>
        <v>0</v>
      </c>
      <c r="AK12" s="339">
        <f t="shared" si="69"/>
        <v>0</v>
      </c>
      <c r="AL12" s="339">
        <f t="shared" si="70"/>
        <v>0</v>
      </c>
      <c r="AM12" s="339">
        <f t="shared" si="71"/>
        <v>0</v>
      </c>
      <c r="AN12" s="339">
        <f t="shared" si="72"/>
        <v>0</v>
      </c>
      <c r="AO12" s="339">
        <f t="shared" si="73"/>
        <v>0</v>
      </c>
      <c r="AP12" s="339">
        <f t="shared" si="74"/>
        <v>0</v>
      </c>
      <c r="AQ12" s="339">
        <f t="shared" si="75"/>
        <v>0</v>
      </c>
      <c r="AR12" s="339">
        <f t="shared" si="76"/>
        <v>0</v>
      </c>
      <c r="AS12" s="339">
        <f t="shared" si="77"/>
        <v>0</v>
      </c>
      <c r="AT12" s="339">
        <f t="shared" si="78"/>
        <v>150000</v>
      </c>
      <c r="AU12" s="339">
        <f t="shared" si="79"/>
        <v>0</v>
      </c>
      <c r="AV12" s="447"/>
      <c r="AW12" s="352"/>
      <c r="AX12" s="352">
        <f t="shared" si="17"/>
        <v>0</v>
      </c>
      <c r="AY12" s="352">
        <f t="shared" si="17"/>
        <v>0</v>
      </c>
      <c r="AZ12" s="352">
        <f t="shared" si="17"/>
        <v>0</v>
      </c>
      <c r="BA12" s="352">
        <f t="shared" si="17"/>
        <v>0</v>
      </c>
      <c r="BB12" s="352">
        <f t="shared" si="17"/>
        <v>0</v>
      </c>
      <c r="BC12" s="352">
        <f t="shared" si="17"/>
        <v>0</v>
      </c>
      <c r="BD12" s="352">
        <f t="shared" si="17"/>
        <v>0</v>
      </c>
      <c r="BE12" s="352">
        <f t="shared" si="17"/>
        <v>0</v>
      </c>
      <c r="BF12" s="352">
        <f t="shared" si="17"/>
        <v>0</v>
      </c>
      <c r="BG12" s="352">
        <f t="shared" si="17"/>
        <v>0</v>
      </c>
      <c r="BH12" s="352">
        <f t="shared" si="17"/>
        <v>0</v>
      </c>
      <c r="BI12" s="352">
        <f t="shared" si="17"/>
        <v>0</v>
      </c>
      <c r="BJ12" s="352">
        <f t="shared" si="17"/>
        <v>0</v>
      </c>
      <c r="BK12" s="352">
        <f t="shared" si="17"/>
        <v>0</v>
      </c>
      <c r="BL12" s="352">
        <f t="shared" si="17"/>
        <v>0</v>
      </c>
      <c r="BM12" s="352">
        <f t="shared" ref="AX12:BM16" si="81">IF(BM$3=$E12,$D12,0)</f>
        <v>0</v>
      </c>
      <c r="BN12" s="352">
        <f t="shared" si="18"/>
        <v>150000</v>
      </c>
      <c r="BO12" s="352">
        <f t="shared" si="18"/>
        <v>0</v>
      </c>
      <c r="BP12" s="352">
        <f t="shared" si="18"/>
        <v>0</v>
      </c>
      <c r="BQ12" s="352">
        <f t="shared" si="18"/>
        <v>0</v>
      </c>
      <c r="BR12" s="376">
        <f t="shared" si="80"/>
        <v>0</v>
      </c>
    </row>
    <row r="13" spans="1:72" s="240" customFormat="1" ht="15" customHeight="1" x14ac:dyDescent="0.25">
      <c r="A13" s="240" t="s">
        <v>128</v>
      </c>
      <c r="C13" s="350"/>
      <c r="D13" s="447">
        <v>25000</v>
      </c>
      <c r="E13" s="448" t="s">
        <v>271</v>
      </c>
      <c r="F13" s="351">
        <v>0</v>
      </c>
      <c r="G13" s="351">
        <v>0</v>
      </c>
      <c r="H13" s="351">
        <v>0</v>
      </c>
      <c r="I13" s="351">
        <v>0</v>
      </c>
      <c r="J13" s="351">
        <v>0</v>
      </c>
      <c r="K13" s="351">
        <v>0</v>
      </c>
      <c r="L13" s="449">
        <v>0</v>
      </c>
      <c r="M13" s="351">
        <v>0</v>
      </c>
      <c r="N13" s="351">
        <v>0</v>
      </c>
      <c r="O13" s="351">
        <v>0</v>
      </c>
      <c r="P13" s="351">
        <v>0</v>
      </c>
      <c r="Q13" s="351">
        <v>0</v>
      </c>
      <c r="R13" s="351">
        <v>0</v>
      </c>
      <c r="S13" s="351">
        <v>0</v>
      </c>
      <c r="T13" s="351">
        <v>0</v>
      </c>
      <c r="U13" s="351">
        <v>0.6</v>
      </c>
      <c r="V13" s="351">
        <v>0.4</v>
      </c>
      <c r="W13" s="351">
        <v>0</v>
      </c>
      <c r="X13" s="351">
        <v>0</v>
      </c>
      <c r="Y13" s="351"/>
      <c r="Z13" s="449">
        <f t="shared" si="60"/>
        <v>1</v>
      </c>
      <c r="AA13" s="350"/>
      <c r="AB13" s="350"/>
      <c r="AC13" s="339">
        <f t="shared" si="61"/>
        <v>0</v>
      </c>
      <c r="AD13" s="339">
        <f t="shared" si="62"/>
        <v>0</v>
      </c>
      <c r="AE13" s="339">
        <f t="shared" si="63"/>
        <v>0</v>
      </c>
      <c r="AF13" s="339">
        <f t="shared" si="64"/>
        <v>0</v>
      </c>
      <c r="AG13" s="339">
        <f t="shared" si="65"/>
        <v>0</v>
      </c>
      <c r="AH13" s="339">
        <f t="shared" si="66"/>
        <v>0</v>
      </c>
      <c r="AI13" s="339">
        <f t="shared" si="67"/>
        <v>0</v>
      </c>
      <c r="AJ13" s="339">
        <f t="shared" si="68"/>
        <v>0</v>
      </c>
      <c r="AK13" s="339">
        <f t="shared" si="69"/>
        <v>0</v>
      </c>
      <c r="AL13" s="339">
        <f t="shared" si="70"/>
        <v>0</v>
      </c>
      <c r="AM13" s="339">
        <f t="shared" si="71"/>
        <v>0</v>
      </c>
      <c r="AN13" s="339">
        <f t="shared" si="72"/>
        <v>0</v>
      </c>
      <c r="AO13" s="339">
        <f t="shared" si="73"/>
        <v>0</v>
      </c>
      <c r="AP13" s="339">
        <f t="shared" si="74"/>
        <v>0</v>
      </c>
      <c r="AQ13" s="339">
        <f t="shared" si="75"/>
        <v>0</v>
      </c>
      <c r="AR13" s="339">
        <f t="shared" si="76"/>
        <v>15000</v>
      </c>
      <c r="AS13" s="339">
        <f t="shared" si="77"/>
        <v>10000</v>
      </c>
      <c r="AT13" s="339">
        <f t="shared" si="78"/>
        <v>0</v>
      </c>
      <c r="AU13" s="339">
        <f t="shared" si="79"/>
        <v>0</v>
      </c>
      <c r="AV13" s="447"/>
      <c r="AW13" s="352"/>
      <c r="AX13" s="352">
        <f t="shared" si="81"/>
        <v>0</v>
      </c>
      <c r="AY13" s="352">
        <f t="shared" si="81"/>
        <v>0</v>
      </c>
      <c r="AZ13" s="352">
        <f t="shared" si="81"/>
        <v>0</v>
      </c>
      <c r="BA13" s="352">
        <f t="shared" si="81"/>
        <v>0</v>
      </c>
      <c r="BB13" s="352">
        <f t="shared" si="81"/>
        <v>0</v>
      </c>
      <c r="BC13" s="352">
        <f t="shared" si="81"/>
        <v>0</v>
      </c>
      <c r="BD13" s="352">
        <f t="shared" si="81"/>
        <v>0</v>
      </c>
      <c r="BE13" s="352">
        <f t="shared" si="81"/>
        <v>0</v>
      </c>
      <c r="BF13" s="352">
        <f t="shared" si="81"/>
        <v>0</v>
      </c>
      <c r="BG13" s="352">
        <f t="shared" si="81"/>
        <v>0</v>
      </c>
      <c r="BH13" s="352">
        <f t="shared" si="81"/>
        <v>0</v>
      </c>
      <c r="BI13" s="352">
        <f t="shared" si="81"/>
        <v>0</v>
      </c>
      <c r="BJ13" s="352">
        <f t="shared" si="81"/>
        <v>0</v>
      </c>
      <c r="BK13" s="352">
        <f t="shared" si="81"/>
        <v>0</v>
      </c>
      <c r="BL13" s="352">
        <f t="shared" si="81"/>
        <v>0</v>
      </c>
      <c r="BM13" s="352">
        <f t="shared" si="81"/>
        <v>25000</v>
      </c>
      <c r="BN13" s="352">
        <f t="shared" si="18"/>
        <v>0</v>
      </c>
      <c r="BO13" s="352">
        <f t="shared" si="18"/>
        <v>0</v>
      </c>
      <c r="BP13" s="352">
        <f t="shared" si="18"/>
        <v>0</v>
      </c>
      <c r="BQ13" s="352">
        <f t="shared" si="18"/>
        <v>0</v>
      </c>
      <c r="BR13" s="376">
        <f t="shared" si="80"/>
        <v>0</v>
      </c>
    </row>
    <row r="14" spans="1:72" s="240" customFormat="1" ht="15" customHeight="1" x14ac:dyDescent="0.25">
      <c r="A14" s="240" t="s">
        <v>128</v>
      </c>
      <c r="C14" s="350"/>
      <c r="D14" s="447">
        <v>0</v>
      </c>
      <c r="E14" s="448" t="s">
        <v>271</v>
      </c>
      <c r="F14" s="351">
        <v>0</v>
      </c>
      <c r="G14" s="351">
        <v>0</v>
      </c>
      <c r="H14" s="351">
        <v>0</v>
      </c>
      <c r="I14" s="351">
        <v>0</v>
      </c>
      <c r="J14" s="351">
        <v>0</v>
      </c>
      <c r="K14" s="351">
        <v>0</v>
      </c>
      <c r="L14" s="449">
        <v>0</v>
      </c>
      <c r="M14" s="351">
        <v>0</v>
      </c>
      <c r="N14" s="351">
        <v>0</v>
      </c>
      <c r="O14" s="351">
        <v>0</v>
      </c>
      <c r="P14" s="351">
        <v>0</v>
      </c>
      <c r="Q14" s="351">
        <v>0</v>
      </c>
      <c r="R14" s="351">
        <v>0</v>
      </c>
      <c r="S14" s="351">
        <v>0</v>
      </c>
      <c r="T14" s="351">
        <v>0</v>
      </c>
      <c r="U14" s="351">
        <v>0.25</v>
      </c>
      <c r="V14" s="351">
        <v>0.25</v>
      </c>
      <c r="W14" s="351">
        <v>0.5</v>
      </c>
      <c r="X14" s="351">
        <v>0</v>
      </c>
      <c r="Y14" s="351"/>
      <c r="Z14" s="449">
        <f t="shared" si="60"/>
        <v>1</v>
      </c>
      <c r="AA14" s="350"/>
      <c r="AB14" s="350"/>
      <c r="AC14" s="339">
        <f t="shared" si="61"/>
        <v>0</v>
      </c>
      <c r="AD14" s="339">
        <f t="shared" si="62"/>
        <v>0</v>
      </c>
      <c r="AE14" s="339">
        <f t="shared" si="63"/>
        <v>0</v>
      </c>
      <c r="AF14" s="339">
        <f t="shared" si="64"/>
        <v>0</v>
      </c>
      <c r="AG14" s="339">
        <f t="shared" si="65"/>
        <v>0</v>
      </c>
      <c r="AH14" s="339">
        <f t="shared" si="66"/>
        <v>0</v>
      </c>
      <c r="AI14" s="339">
        <f t="shared" si="67"/>
        <v>0</v>
      </c>
      <c r="AJ14" s="339">
        <f t="shared" si="68"/>
        <v>0</v>
      </c>
      <c r="AK14" s="339">
        <f t="shared" si="69"/>
        <v>0</v>
      </c>
      <c r="AL14" s="339">
        <f t="shared" si="70"/>
        <v>0</v>
      </c>
      <c r="AM14" s="339">
        <f t="shared" si="71"/>
        <v>0</v>
      </c>
      <c r="AN14" s="339">
        <f t="shared" si="72"/>
        <v>0</v>
      </c>
      <c r="AO14" s="339">
        <f t="shared" si="73"/>
        <v>0</v>
      </c>
      <c r="AP14" s="339">
        <f t="shared" si="74"/>
        <v>0</v>
      </c>
      <c r="AQ14" s="339">
        <f t="shared" si="75"/>
        <v>0</v>
      </c>
      <c r="AR14" s="339">
        <f t="shared" si="76"/>
        <v>0</v>
      </c>
      <c r="AS14" s="339">
        <f t="shared" si="77"/>
        <v>0</v>
      </c>
      <c r="AT14" s="339">
        <f t="shared" si="78"/>
        <v>0</v>
      </c>
      <c r="AU14" s="339">
        <f t="shared" si="79"/>
        <v>0</v>
      </c>
      <c r="AV14" s="447"/>
      <c r="AW14" s="352"/>
      <c r="AX14" s="352">
        <f t="shared" si="81"/>
        <v>0</v>
      </c>
      <c r="AY14" s="352">
        <f t="shared" si="81"/>
        <v>0</v>
      </c>
      <c r="AZ14" s="352">
        <f t="shared" si="81"/>
        <v>0</v>
      </c>
      <c r="BA14" s="352">
        <f t="shared" si="81"/>
        <v>0</v>
      </c>
      <c r="BB14" s="352">
        <f t="shared" si="81"/>
        <v>0</v>
      </c>
      <c r="BC14" s="352">
        <f t="shared" si="81"/>
        <v>0</v>
      </c>
      <c r="BD14" s="352">
        <f t="shared" si="81"/>
        <v>0</v>
      </c>
      <c r="BE14" s="352">
        <f t="shared" si="81"/>
        <v>0</v>
      </c>
      <c r="BF14" s="352">
        <f t="shared" si="81"/>
        <v>0</v>
      </c>
      <c r="BG14" s="352">
        <f t="shared" si="81"/>
        <v>0</v>
      </c>
      <c r="BH14" s="352">
        <f t="shared" si="81"/>
        <v>0</v>
      </c>
      <c r="BI14" s="352">
        <f t="shared" si="81"/>
        <v>0</v>
      </c>
      <c r="BJ14" s="352">
        <f t="shared" si="81"/>
        <v>0</v>
      </c>
      <c r="BK14" s="352">
        <f t="shared" si="81"/>
        <v>0</v>
      </c>
      <c r="BL14" s="352">
        <f t="shared" si="81"/>
        <v>0</v>
      </c>
      <c r="BM14" s="352">
        <f t="shared" si="81"/>
        <v>0</v>
      </c>
      <c r="BN14" s="352">
        <f t="shared" si="18"/>
        <v>0</v>
      </c>
      <c r="BO14" s="352">
        <f t="shared" si="18"/>
        <v>0</v>
      </c>
      <c r="BP14" s="352">
        <f t="shared" si="18"/>
        <v>0</v>
      </c>
      <c r="BQ14" s="352">
        <f t="shared" si="18"/>
        <v>0</v>
      </c>
      <c r="BR14" s="376">
        <f t="shared" si="80"/>
        <v>0</v>
      </c>
    </row>
    <row r="15" spans="1:72" s="240" customFormat="1" ht="15" customHeight="1" x14ac:dyDescent="0.25">
      <c r="A15" s="240" t="s">
        <v>128</v>
      </c>
      <c r="C15" s="350"/>
      <c r="D15" s="447">
        <v>30000</v>
      </c>
      <c r="E15" s="448" t="s">
        <v>271</v>
      </c>
      <c r="F15" s="351">
        <v>0</v>
      </c>
      <c r="G15" s="351">
        <v>0</v>
      </c>
      <c r="H15" s="351">
        <v>0</v>
      </c>
      <c r="I15" s="351">
        <v>0</v>
      </c>
      <c r="J15" s="351">
        <v>0</v>
      </c>
      <c r="K15" s="351">
        <v>0</v>
      </c>
      <c r="L15" s="449">
        <v>0</v>
      </c>
      <c r="M15" s="351">
        <v>0</v>
      </c>
      <c r="N15" s="351">
        <v>0</v>
      </c>
      <c r="O15" s="351">
        <v>0</v>
      </c>
      <c r="P15" s="351">
        <v>0</v>
      </c>
      <c r="Q15" s="351">
        <v>0</v>
      </c>
      <c r="R15" s="351">
        <v>0</v>
      </c>
      <c r="S15" s="351">
        <v>0</v>
      </c>
      <c r="T15" s="351">
        <v>0</v>
      </c>
      <c r="U15" s="351">
        <v>0.33</v>
      </c>
      <c r="V15" s="351">
        <v>0.33</v>
      </c>
      <c r="W15" s="351">
        <v>0.34</v>
      </c>
      <c r="X15" s="351">
        <v>0</v>
      </c>
      <c r="Y15" s="351"/>
      <c r="Z15" s="449">
        <f t="shared" ref="Z15" si="82">SUM(F15:X15)</f>
        <v>1</v>
      </c>
      <c r="AA15" s="350"/>
      <c r="AB15" s="350"/>
      <c r="AC15" s="339">
        <f t="shared" ref="AC15" si="83">F15*$D15</f>
        <v>0</v>
      </c>
      <c r="AD15" s="339">
        <f t="shared" ref="AD15" si="84">G15*$D15</f>
        <v>0</v>
      </c>
      <c r="AE15" s="339">
        <f t="shared" ref="AE15" si="85">H15*$D15</f>
        <v>0</v>
      </c>
      <c r="AF15" s="339">
        <f t="shared" ref="AF15" si="86">I15*$D15</f>
        <v>0</v>
      </c>
      <c r="AG15" s="339">
        <f t="shared" ref="AG15" si="87">J15*$D15</f>
        <v>0</v>
      </c>
      <c r="AH15" s="339">
        <f t="shared" ref="AH15" si="88">K15*$D15</f>
        <v>0</v>
      </c>
      <c r="AI15" s="339">
        <f t="shared" ref="AI15" si="89">L15*$D15</f>
        <v>0</v>
      </c>
      <c r="AJ15" s="339">
        <f t="shared" ref="AJ15" si="90">M15*$D15</f>
        <v>0</v>
      </c>
      <c r="AK15" s="339">
        <f t="shared" ref="AK15" si="91">N15*$D15</f>
        <v>0</v>
      </c>
      <c r="AL15" s="339">
        <f t="shared" ref="AL15" si="92">O15*$D15</f>
        <v>0</v>
      </c>
      <c r="AM15" s="339">
        <f t="shared" ref="AM15" si="93">P15*$D15</f>
        <v>0</v>
      </c>
      <c r="AN15" s="339">
        <f t="shared" ref="AN15" si="94">Q15*$D15</f>
        <v>0</v>
      </c>
      <c r="AO15" s="339">
        <f t="shared" ref="AO15" si="95">R15*$D15</f>
        <v>0</v>
      </c>
      <c r="AP15" s="339">
        <f t="shared" ref="AP15" si="96">S15*$D15</f>
        <v>0</v>
      </c>
      <c r="AQ15" s="339">
        <f t="shared" ref="AQ15" si="97">T15*$D15</f>
        <v>0</v>
      </c>
      <c r="AR15" s="339">
        <f t="shared" ref="AR15" si="98">U15*$D15</f>
        <v>9900</v>
      </c>
      <c r="AS15" s="339">
        <f t="shared" ref="AS15" si="99">V15*$D15</f>
        <v>9900</v>
      </c>
      <c r="AT15" s="339">
        <f t="shared" ref="AT15" si="100">W15*$D15</f>
        <v>10200</v>
      </c>
      <c r="AU15" s="339">
        <f t="shared" ref="AU15" si="101">X15*$D15</f>
        <v>0</v>
      </c>
      <c r="AV15" s="447"/>
      <c r="AW15" s="352"/>
      <c r="AX15" s="352">
        <f t="shared" si="81"/>
        <v>0</v>
      </c>
      <c r="AY15" s="352">
        <f t="shared" si="81"/>
        <v>0</v>
      </c>
      <c r="AZ15" s="352">
        <f t="shared" si="81"/>
        <v>0</v>
      </c>
      <c r="BA15" s="352">
        <f t="shared" si="81"/>
        <v>0</v>
      </c>
      <c r="BB15" s="352">
        <f t="shared" si="81"/>
        <v>0</v>
      </c>
      <c r="BC15" s="352">
        <f t="shared" si="81"/>
        <v>0</v>
      </c>
      <c r="BD15" s="352">
        <f t="shared" si="81"/>
        <v>0</v>
      </c>
      <c r="BE15" s="352">
        <f t="shared" si="81"/>
        <v>0</v>
      </c>
      <c r="BF15" s="352">
        <f t="shared" si="81"/>
        <v>0</v>
      </c>
      <c r="BG15" s="352">
        <f t="shared" si="81"/>
        <v>0</v>
      </c>
      <c r="BH15" s="352">
        <f t="shared" si="81"/>
        <v>0</v>
      </c>
      <c r="BI15" s="352">
        <f t="shared" si="81"/>
        <v>0</v>
      </c>
      <c r="BJ15" s="352">
        <f t="shared" si="81"/>
        <v>0</v>
      </c>
      <c r="BK15" s="352">
        <f t="shared" si="81"/>
        <v>0</v>
      </c>
      <c r="BL15" s="352">
        <f t="shared" si="81"/>
        <v>0</v>
      </c>
      <c r="BM15" s="352">
        <f t="shared" si="81"/>
        <v>30000</v>
      </c>
      <c r="BN15" s="352">
        <f t="shared" si="18"/>
        <v>0</v>
      </c>
      <c r="BO15" s="352">
        <f t="shared" si="18"/>
        <v>0</v>
      </c>
      <c r="BP15" s="352">
        <f t="shared" si="18"/>
        <v>0</v>
      </c>
      <c r="BQ15" s="352">
        <f t="shared" si="18"/>
        <v>0</v>
      </c>
      <c r="BR15" s="376">
        <f t="shared" ref="BR15" si="102">SUM(AC15:AV15)-SUM(AX15:BQ15)</f>
        <v>0</v>
      </c>
    </row>
    <row r="16" spans="1:72" s="240" customFormat="1" ht="15" customHeight="1" x14ac:dyDescent="0.25">
      <c r="A16" s="240" t="s">
        <v>128</v>
      </c>
      <c r="C16" s="350"/>
      <c r="D16" s="447">
        <v>25000</v>
      </c>
      <c r="E16" s="448" t="s">
        <v>271</v>
      </c>
      <c r="F16" s="351">
        <v>0</v>
      </c>
      <c r="G16" s="351">
        <v>0</v>
      </c>
      <c r="H16" s="351">
        <v>0</v>
      </c>
      <c r="I16" s="351">
        <v>0</v>
      </c>
      <c r="J16" s="351">
        <v>0</v>
      </c>
      <c r="K16" s="351">
        <v>0</v>
      </c>
      <c r="L16" s="449">
        <v>0</v>
      </c>
      <c r="M16" s="351">
        <v>0</v>
      </c>
      <c r="N16" s="351">
        <v>0</v>
      </c>
      <c r="O16" s="351">
        <v>0</v>
      </c>
      <c r="P16" s="351">
        <v>0</v>
      </c>
      <c r="Q16" s="351">
        <v>0</v>
      </c>
      <c r="R16" s="351">
        <v>0</v>
      </c>
      <c r="S16" s="351">
        <v>0</v>
      </c>
      <c r="T16" s="351">
        <v>0</v>
      </c>
      <c r="U16" s="351">
        <v>1</v>
      </c>
      <c r="V16" s="351">
        <v>0</v>
      </c>
      <c r="W16" s="351">
        <v>0</v>
      </c>
      <c r="X16" s="351">
        <v>0</v>
      </c>
      <c r="Y16" s="351"/>
      <c r="Z16" s="449">
        <f t="shared" ref="Z16" si="103">SUM(F16:X16)</f>
        <v>1</v>
      </c>
      <c r="AA16" s="350"/>
      <c r="AB16" s="350"/>
      <c r="AC16" s="339">
        <f t="shared" ref="AC16" si="104">F16*$D16</f>
        <v>0</v>
      </c>
      <c r="AD16" s="339">
        <f t="shared" ref="AD16" si="105">G16*$D16</f>
        <v>0</v>
      </c>
      <c r="AE16" s="339">
        <f t="shared" ref="AE16" si="106">H16*$D16</f>
        <v>0</v>
      </c>
      <c r="AF16" s="339">
        <f t="shared" ref="AF16" si="107">I16*$D16</f>
        <v>0</v>
      </c>
      <c r="AG16" s="339">
        <f t="shared" ref="AG16" si="108">J16*$D16</f>
        <v>0</v>
      </c>
      <c r="AH16" s="339">
        <f t="shared" ref="AH16" si="109">K16*$D16</f>
        <v>0</v>
      </c>
      <c r="AI16" s="339">
        <f t="shared" ref="AI16" si="110">L16*$D16</f>
        <v>0</v>
      </c>
      <c r="AJ16" s="339">
        <f t="shared" ref="AJ16" si="111">M16*$D16</f>
        <v>0</v>
      </c>
      <c r="AK16" s="339">
        <f t="shared" ref="AK16" si="112">N16*$D16</f>
        <v>0</v>
      </c>
      <c r="AL16" s="339">
        <f t="shared" ref="AL16" si="113">O16*$D16</f>
        <v>0</v>
      </c>
      <c r="AM16" s="339">
        <f t="shared" ref="AM16" si="114">P16*$D16</f>
        <v>0</v>
      </c>
      <c r="AN16" s="339">
        <f t="shared" ref="AN16" si="115">Q16*$D16</f>
        <v>0</v>
      </c>
      <c r="AO16" s="339">
        <f t="shared" ref="AO16" si="116">R16*$D16</f>
        <v>0</v>
      </c>
      <c r="AP16" s="339">
        <f t="shared" ref="AP16" si="117">S16*$D16</f>
        <v>0</v>
      </c>
      <c r="AQ16" s="339">
        <f t="shared" ref="AQ16" si="118">T16*$D16</f>
        <v>0</v>
      </c>
      <c r="AR16" s="339">
        <f t="shared" ref="AR16" si="119">U16*$D16</f>
        <v>25000</v>
      </c>
      <c r="AS16" s="339">
        <f t="shared" ref="AS16" si="120">V16*$D16</f>
        <v>0</v>
      </c>
      <c r="AT16" s="339">
        <f t="shared" ref="AT16" si="121">W16*$D16</f>
        <v>0</v>
      </c>
      <c r="AU16" s="339">
        <f t="shared" ref="AU16" si="122">X16*$D16</f>
        <v>0</v>
      </c>
      <c r="AV16" s="447"/>
      <c r="AW16" s="352"/>
      <c r="AX16" s="352">
        <f t="shared" si="81"/>
        <v>0</v>
      </c>
      <c r="AY16" s="352">
        <f t="shared" si="81"/>
        <v>0</v>
      </c>
      <c r="AZ16" s="352">
        <f t="shared" si="81"/>
        <v>0</v>
      </c>
      <c r="BA16" s="352">
        <f t="shared" si="81"/>
        <v>0</v>
      </c>
      <c r="BB16" s="352">
        <f t="shared" si="81"/>
        <v>0</v>
      </c>
      <c r="BC16" s="352">
        <f t="shared" si="81"/>
        <v>0</v>
      </c>
      <c r="BD16" s="352">
        <f t="shared" si="81"/>
        <v>0</v>
      </c>
      <c r="BE16" s="352">
        <f t="shared" si="81"/>
        <v>0</v>
      </c>
      <c r="BF16" s="352">
        <f t="shared" si="81"/>
        <v>0</v>
      </c>
      <c r="BG16" s="352">
        <f t="shared" si="81"/>
        <v>0</v>
      </c>
      <c r="BH16" s="352">
        <f t="shared" si="81"/>
        <v>0</v>
      </c>
      <c r="BI16" s="352">
        <f t="shared" si="81"/>
        <v>0</v>
      </c>
      <c r="BJ16" s="352">
        <f t="shared" si="81"/>
        <v>0</v>
      </c>
      <c r="BK16" s="352">
        <f t="shared" si="81"/>
        <v>0</v>
      </c>
      <c r="BL16" s="352">
        <f t="shared" si="81"/>
        <v>0</v>
      </c>
      <c r="BM16" s="352">
        <f t="shared" si="81"/>
        <v>25000</v>
      </c>
      <c r="BN16" s="352">
        <f t="shared" si="18"/>
        <v>0</v>
      </c>
      <c r="BO16" s="352">
        <f t="shared" si="18"/>
        <v>0</v>
      </c>
      <c r="BP16" s="352">
        <f t="shared" si="18"/>
        <v>0</v>
      </c>
      <c r="BQ16" s="352">
        <f t="shared" si="18"/>
        <v>0</v>
      </c>
      <c r="BR16" s="376">
        <f t="shared" ref="BR16" si="123">SUM(AC16:AV16)-SUM(AX16:BQ16)</f>
        <v>0</v>
      </c>
    </row>
    <row r="17" spans="1:72" s="240" customFormat="1" ht="15" customHeight="1" x14ac:dyDescent="0.25">
      <c r="A17" s="240" t="s">
        <v>128</v>
      </c>
      <c r="C17" s="350"/>
      <c r="D17" s="447">
        <v>1200000</v>
      </c>
      <c r="E17" s="448" t="s">
        <v>238</v>
      </c>
      <c r="F17" s="450"/>
      <c r="G17" s="450"/>
      <c r="H17" s="450"/>
      <c r="I17" s="450"/>
      <c r="J17" s="450"/>
      <c r="K17" s="351"/>
      <c r="L17" s="351"/>
      <c r="M17" s="351"/>
      <c r="N17" s="351"/>
      <c r="O17" s="351">
        <v>0.1</v>
      </c>
      <c r="P17" s="351">
        <v>0.04</v>
      </c>
      <c r="Q17" s="351">
        <v>0.14000000000000001</v>
      </c>
      <c r="R17" s="351">
        <v>0.1</v>
      </c>
      <c r="S17" s="351">
        <v>0.2</v>
      </c>
      <c r="T17" s="351">
        <v>0.15</v>
      </c>
      <c r="U17" s="351">
        <v>0.27</v>
      </c>
      <c r="V17" s="451">
        <v>0</v>
      </c>
      <c r="W17" s="351"/>
      <c r="X17" s="351"/>
      <c r="Y17" s="351"/>
      <c r="Z17" s="449">
        <f>SUM(F17:X17)</f>
        <v>1</v>
      </c>
      <c r="AA17" s="350"/>
      <c r="AB17" s="350"/>
      <c r="AC17" s="339">
        <f t="shared" ref="AC17:AK17" si="124">F17*$D17</f>
        <v>0</v>
      </c>
      <c r="AD17" s="339">
        <f t="shared" si="124"/>
        <v>0</v>
      </c>
      <c r="AE17" s="339">
        <f t="shared" si="124"/>
        <v>0</v>
      </c>
      <c r="AF17" s="339">
        <f t="shared" si="124"/>
        <v>0</v>
      </c>
      <c r="AG17" s="339">
        <f t="shared" si="124"/>
        <v>0</v>
      </c>
      <c r="AH17" s="339">
        <f t="shared" si="124"/>
        <v>0</v>
      </c>
      <c r="AI17" s="339">
        <f t="shared" si="124"/>
        <v>0</v>
      </c>
      <c r="AJ17" s="339">
        <f t="shared" si="124"/>
        <v>0</v>
      </c>
      <c r="AK17" s="339">
        <f t="shared" si="124"/>
        <v>0</v>
      </c>
      <c r="AL17" s="339">
        <f t="shared" ref="AL17:AU17" si="125">O17*$D17</f>
        <v>120000</v>
      </c>
      <c r="AM17" s="339">
        <f t="shared" si="125"/>
        <v>48000</v>
      </c>
      <c r="AN17" s="339">
        <f t="shared" si="125"/>
        <v>168000.00000000003</v>
      </c>
      <c r="AO17" s="339">
        <f t="shared" si="125"/>
        <v>120000</v>
      </c>
      <c r="AP17" s="339">
        <f t="shared" si="125"/>
        <v>240000</v>
      </c>
      <c r="AQ17" s="339">
        <f t="shared" si="125"/>
        <v>180000</v>
      </c>
      <c r="AR17" s="339">
        <f t="shared" si="125"/>
        <v>324000</v>
      </c>
      <c r="AS17" s="339">
        <f t="shared" si="125"/>
        <v>0</v>
      </c>
      <c r="AT17" s="339">
        <f t="shared" si="125"/>
        <v>0</v>
      </c>
      <c r="AU17" s="339">
        <f t="shared" si="125"/>
        <v>0</v>
      </c>
      <c r="AV17" s="447"/>
      <c r="AW17" s="352"/>
      <c r="AX17" s="352">
        <f t="shared" ref="AX17:BQ17" si="126">IF(AX$3=$E17,$D17,0)</f>
        <v>0</v>
      </c>
      <c r="AY17" s="352">
        <f t="shared" si="126"/>
        <v>0</v>
      </c>
      <c r="AZ17" s="352">
        <f t="shared" si="126"/>
        <v>0</v>
      </c>
      <c r="BA17" s="352">
        <f t="shared" si="126"/>
        <v>0</v>
      </c>
      <c r="BB17" s="352">
        <f t="shared" si="126"/>
        <v>0</v>
      </c>
      <c r="BC17" s="352">
        <f t="shared" si="126"/>
        <v>0</v>
      </c>
      <c r="BD17" s="352">
        <f t="shared" si="126"/>
        <v>0</v>
      </c>
      <c r="BE17" s="352">
        <f t="shared" si="126"/>
        <v>0</v>
      </c>
      <c r="BF17" s="352">
        <f t="shared" si="126"/>
        <v>1200000</v>
      </c>
      <c r="BG17" s="352">
        <f t="shared" si="126"/>
        <v>0</v>
      </c>
      <c r="BH17" s="352">
        <f t="shared" si="126"/>
        <v>0</v>
      </c>
      <c r="BI17" s="352">
        <f t="shared" si="126"/>
        <v>0</v>
      </c>
      <c r="BJ17" s="352">
        <f t="shared" si="126"/>
        <v>0</v>
      </c>
      <c r="BK17" s="352">
        <f t="shared" si="126"/>
        <v>0</v>
      </c>
      <c r="BL17" s="352">
        <f t="shared" si="126"/>
        <v>0</v>
      </c>
      <c r="BM17" s="352">
        <f t="shared" si="126"/>
        <v>0</v>
      </c>
      <c r="BN17" s="352">
        <f t="shared" si="126"/>
        <v>0</v>
      </c>
      <c r="BO17" s="352">
        <f t="shared" si="126"/>
        <v>0</v>
      </c>
      <c r="BP17" s="352">
        <f t="shared" si="126"/>
        <v>0</v>
      </c>
      <c r="BQ17" s="352">
        <f t="shared" si="126"/>
        <v>0</v>
      </c>
      <c r="BR17" s="376">
        <f t="shared" si="20"/>
        <v>0</v>
      </c>
    </row>
    <row r="18" spans="1:72" s="240" customFormat="1" ht="15" customHeight="1" x14ac:dyDescent="0.25">
      <c r="A18" s="240" t="s">
        <v>128</v>
      </c>
      <c r="C18" s="350"/>
      <c r="D18" s="447">
        <f>150000+150000+113000</f>
        <v>413000</v>
      </c>
      <c r="E18" s="448" t="s">
        <v>271</v>
      </c>
      <c r="F18" s="450"/>
      <c r="G18" s="450"/>
      <c r="H18" s="450"/>
      <c r="I18" s="450"/>
      <c r="J18" s="450"/>
      <c r="K18" s="351">
        <v>0</v>
      </c>
      <c r="L18" s="449">
        <v>0</v>
      </c>
      <c r="M18" s="351">
        <v>0</v>
      </c>
      <c r="N18" s="351">
        <v>0</v>
      </c>
      <c r="O18" s="351">
        <v>0</v>
      </c>
      <c r="P18" s="351">
        <v>0</v>
      </c>
      <c r="Q18" s="351">
        <v>0</v>
      </c>
      <c r="R18" s="351">
        <v>0</v>
      </c>
      <c r="S18" s="351">
        <v>0</v>
      </c>
      <c r="T18" s="351">
        <v>0</v>
      </c>
      <c r="U18" s="351">
        <v>0.60532687651331718</v>
      </c>
      <c r="V18" s="351">
        <v>0.39467312348668282</v>
      </c>
      <c r="W18" s="351">
        <v>0</v>
      </c>
      <c r="X18" s="351"/>
      <c r="Y18" s="351"/>
      <c r="Z18" s="449">
        <f t="shared" si="21"/>
        <v>1</v>
      </c>
      <c r="AA18" s="350"/>
      <c r="AB18" s="350"/>
      <c r="AC18" s="339">
        <f t="shared" ref="AC18:AC20" si="127">F18*$D18</f>
        <v>0</v>
      </c>
      <c r="AD18" s="339">
        <f t="shared" ref="AD18:AD20" si="128">G18*$D18</f>
        <v>0</v>
      </c>
      <c r="AE18" s="339">
        <f t="shared" ref="AE18:AE20" si="129">H18*$D18</f>
        <v>0</v>
      </c>
      <c r="AF18" s="339">
        <f t="shared" ref="AF18:AF20" si="130">I18*$D18</f>
        <v>0</v>
      </c>
      <c r="AG18" s="339">
        <f>J18*$D18</f>
        <v>0</v>
      </c>
      <c r="AH18" s="339">
        <f t="shared" ref="AH18:AH20" si="131">K18*$D18</f>
        <v>0</v>
      </c>
      <c r="AI18" s="339">
        <f t="shared" ref="AI18:AI20" si="132">L18*$D18</f>
        <v>0</v>
      </c>
      <c r="AJ18" s="339">
        <f t="shared" ref="AJ18:AJ20" si="133">M18*$D18</f>
        <v>0</v>
      </c>
      <c r="AK18" s="339">
        <f t="shared" ref="AK18:AK20" si="134">N18*$D18</f>
        <v>0</v>
      </c>
      <c r="AL18" s="339">
        <f t="shared" ref="AL18:AL20" si="135">O18*$D18</f>
        <v>0</v>
      </c>
      <c r="AM18" s="339">
        <f t="shared" ref="AM18:AM20" si="136">P18*$D18</f>
        <v>0</v>
      </c>
      <c r="AN18" s="339">
        <f t="shared" ref="AN18:AN20" si="137">Q18*$D18</f>
        <v>0</v>
      </c>
      <c r="AO18" s="339">
        <f t="shared" ref="AO18:AO20" si="138">R18*$D18</f>
        <v>0</v>
      </c>
      <c r="AP18" s="339">
        <f t="shared" ref="AP18:AP20" si="139">S18*$D18</f>
        <v>0</v>
      </c>
      <c r="AQ18" s="339">
        <f t="shared" ref="AQ18:AQ20" si="140">T18*$D18</f>
        <v>0</v>
      </c>
      <c r="AR18" s="339">
        <f t="shared" ref="AR18:AR20" si="141">U18*$D18</f>
        <v>250000</v>
      </c>
      <c r="AS18" s="339">
        <f t="shared" ref="AS18:AS20" si="142">V18*$D18</f>
        <v>163000</v>
      </c>
      <c r="AT18" s="339">
        <f t="shared" ref="AT18:AT20" si="143">W18*$D18</f>
        <v>0</v>
      </c>
      <c r="AU18" s="339">
        <f t="shared" ref="AU18:AU20" si="144">X18*$D18</f>
        <v>0</v>
      </c>
      <c r="AV18" s="447"/>
      <c r="AW18" s="352"/>
      <c r="AX18" s="352">
        <f t="shared" ref="AX18:BQ44" si="145">IF(AX$3=$E18,$D18,0)</f>
        <v>0</v>
      </c>
      <c r="AY18" s="352">
        <f t="shared" si="145"/>
        <v>0</v>
      </c>
      <c r="AZ18" s="352">
        <f t="shared" si="145"/>
        <v>0</v>
      </c>
      <c r="BA18" s="352">
        <f t="shared" si="145"/>
        <v>0</v>
      </c>
      <c r="BB18" s="352">
        <f t="shared" si="145"/>
        <v>0</v>
      </c>
      <c r="BC18" s="352">
        <f t="shared" si="145"/>
        <v>0</v>
      </c>
      <c r="BD18" s="352">
        <f t="shared" si="145"/>
        <v>0</v>
      </c>
      <c r="BE18" s="352">
        <f t="shared" si="145"/>
        <v>0</v>
      </c>
      <c r="BF18" s="352">
        <f t="shared" si="145"/>
        <v>0</v>
      </c>
      <c r="BG18" s="352">
        <f t="shared" si="145"/>
        <v>0</v>
      </c>
      <c r="BH18" s="352">
        <f t="shared" si="145"/>
        <v>0</v>
      </c>
      <c r="BI18" s="352">
        <f t="shared" si="145"/>
        <v>0</v>
      </c>
      <c r="BJ18" s="352">
        <f t="shared" si="145"/>
        <v>0</v>
      </c>
      <c r="BK18" s="352">
        <f t="shared" si="145"/>
        <v>0</v>
      </c>
      <c r="BL18" s="352">
        <f t="shared" si="145"/>
        <v>0</v>
      </c>
      <c r="BM18" s="352">
        <f t="shared" si="145"/>
        <v>413000</v>
      </c>
      <c r="BN18" s="352">
        <f t="shared" si="145"/>
        <v>0</v>
      </c>
      <c r="BO18" s="352">
        <f t="shared" si="145"/>
        <v>0</v>
      </c>
      <c r="BP18" s="352">
        <f t="shared" si="145"/>
        <v>0</v>
      </c>
      <c r="BQ18" s="352">
        <f t="shared" si="145"/>
        <v>0</v>
      </c>
      <c r="BR18" s="376">
        <f t="shared" si="20"/>
        <v>0</v>
      </c>
    </row>
    <row r="19" spans="1:72" s="240" customFormat="1" ht="15" customHeight="1" x14ac:dyDescent="0.25">
      <c r="A19" s="240" t="s">
        <v>128</v>
      </c>
      <c r="C19" s="350"/>
      <c r="D19" s="447">
        <v>4540.18</v>
      </c>
      <c r="E19" s="448" t="s">
        <v>257</v>
      </c>
      <c r="F19" s="450"/>
      <c r="G19" s="450"/>
      <c r="H19" s="450"/>
      <c r="I19" s="450"/>
      <c r="J19" s="450"/>
      <c r="K19" s="351">
        <v>0</v>
      </c>
      <c r="L19" s="449">
        <v>0</v>
      </c>
      <c r="M19" s="351">
        <v>0</v>
      </c>
      <c r="N19" s="351">
        <v>0</v>
      </c>
      <c r="O19" s="351">
        <v>0</v>
      </c>
      <c r="P19" s="351">
        <v>0</v>
      </c>
      <c r="Q19" s="351">
        <v>0</v>
      </c>
      <c r="R19" s="351">
        <v>0</v>
      </c>
      <c r="S19" s="351">
        <v>0</v>
      </c>
      <c r="T19" s="351">
        <v>1</v>
      </c>
      <c r="U19" s="351"/>
      <c r="V19" s="351"/>
      <c r="W19" s="351"/>
      <c r="X19" s="351"/>
      <c r="Y19" s="351"/>
      <c r="Z19" s="449">
        <f t="shared" ref="Z19" si="146">SUM(F19:X19)</f>
        <v>1</v>
      </c>
      <c r="AA19" s="350"/>
      <c r="AB19" s="350"/>
      <c r="AC19" s="339">
        <f t="shared" ref="AC19" si="147">F19*$D19</f>
        <v>0</v>
      </c>
      <c r="AD19" s="339">
        <f t="shared" ref="AD19" si="148">G19*$D19</f>
        <v>0</v>
      </c>
      <c r="AE19" s="339">
        <f t="shared" ref="AE19" si="149">H19*$D19</f>
        <v>0</v>
      </c>
      <c r="AF19" s="339">
        <f t="shared" ref="AF19" si="150">I19*$D19</f>
        <v>0</v>
      </c>
      <c r="AG19" s="339">
        <f>J19*$D19</f>
        <v>0</v>
      </c>
      <c r="AH19" s="339">
        <f t="shared" ref="AH19" si="151">K19*$D19</f>
        <v>0</v>
      </c>
      <c r="AI19" s="339">
        <f t="shared" ref="AI19" si="152">L19*$D19</f>
        <v>0</v>
      </c>
      <c r="AJ19" s="339">
        <f t="shared" ref="AJ19" si="153">M19*$D19</f>
        <v>0</v>
      </c>
      <c r="AK19" s="339">
        <f t="shared" ref="AK19" si="154">N19*$D19</f>
        <v>0</v>
      </c>
      <c r="AL19" s="339">
        <f t="shared" ref="AL19" si="155">O19*$D19</f>
        <v>0</v>
      </c>
      <c r="AM19" s="339">
        <f t="shared" ref="AM19" si="156">P19*$D19</f>
        <v>0</v>
      </c>
      <c r="AN19" s="339">
        <f t="shared" ref="AN19" si="157">Q19*$D19</f>
        <v>0</v>
      </c>
      <c r="AO19" s="339">
        <f t="shared" ref="AO19" si="158">R19*$D19</f>
        <v>0</v>
      </c>
      <c r="AP19" s="339">
        <f t="shared" ref="AP19" si="159">S19*$D19</f>
        <v>0</v>
      </c>
      <c r="AQ19" s="339">
        <f t="shared" ref="AQ19" si="160">T19*$D19</f>
        <v>4540.18</v>
      </c>
      <c r="AR19" s="339">
        <f t="shared" ref="AR19" si="161">U19*$D19</f>
        <v>0</v>
      </c>
      <c r="AS19" s="339">
        <f t="shared" ref="AS19" si="162">V19*$D19</f>
        <v>0</v>
      </c>
      <c r="AT19" s="339">
        <f t="shared" ref="AT19" si="163">W19*$D19</f>
        <v>0</v>
      </c>
      <c r="AU19" s="339">
        <f t="shared" ref="AU19" si="164">X19*$D19</f>
        <v>0</v>
      </c>
      <c r="AV19" s="447"/>
      <c r="AW19" s="352"/>
      <c r="AX19" s="352">
        <f t="shared" si="145"/>
        <v>0</v>
      </c>
      <c r="AY19" s="352">
        <f t="shared" si="145"/>
        <v>0</v>
      </c>
      <c r="AZ19" s="352">
        <f t="shared" si="145"/>
        <v>0</v>
      </c>
      <c r="BA19" s="352">
        <f t="shared" si="145"/>
        <v>0</v>
      </c>
      <c r="BB19" s="352">
        <f t="shared" si="145"/>
        <v>0</v>
      </c>
      <c r="BC19" s="352">
        <f t="shared" si="145"/>
        <v>0</v>
      </c>
      <c r="BD19" s="352">
        <f t="shared" si="145"/>
        <v>0</v>
      </c>
      <c r="BE19" s="352">
        <f t="shared" si="145"/>
        <v>0</v>
      </c>
      <c r="BF19" s="352">
        <f t="shared" si="145"/>
        <v>0</v>
      </c>
      <c r="BG19" s="352">
        <f t="shared" si="145"/>
        <v>0</v>
      </c>
      <c r="BH19" s="352">
        <f t="shared" si="145"/>
        <v>0</v>
      </c>
      <c r="BI19" s="352">
        <f t="shared" si="145"/>
        <v>0</v>
      </c>
      <c r="BJ19" s="339">
        <v>5085.01</v>
      </c>
      <c r="BK19" s="352">
        <v>-544.83000000000004</v>
      </c>
      <c r="BL19" s="352">
        <f t="shared" si="145"/>
        <v>0</v>
      </c>
      <c r="BM19" s="352">
        <f t="shared" si="145"/>
        <v>0</v>
      </c>
      <c r="BN19" s="352">
        <f t="shared" si="145"/>
        <v>0</v>
      </c>
      <c r="BO19" s="352">
        <f t="shared" si="145"/>
        <v>0</v>
      </c>
      <c r="BP19" s="352">
        <f t="shared" si="145"/>
        <v>0</v>
      </c>
      <c r="BQ19" s="352">
        <f t="shared" si="145"/>
        <v>0</v>
      </c>
      <c r="BR19" s="376">
        <f t="shared" si="20"/>
        <v>0</v>
      </c>
    </row>
    <row r="20" spans="1:72" s="240" customFormat="1" ht="15" customHeight="1" x14ac:dyDescent="0.25">
      <c r="A20" s="240" t="s">
        <v>128</v>
      </c>
      <c r="C20" s="350"/>
      <c r="D20" s="452">
        <v>242045.23</v>
      </c>
      <c r="E20" s="448" t="s">
        <v>257</v>
      </c>
      <c r="F20" s="450"/>
      <c r="G20" s="450"/>
      <c r="H20" s="450"/>
      <c r="I20" s="450"/>
      <c r="J20" s="450"/>
      <c r="K20" s="351"/>
      <c r="L20" s="351"/>
      <c r="M20" s="351"/>
      <c r="N20" s="351">
        <v>0</v>
      </c>
      <c r="O20" s="351">
        <v>0</v>
      </c>
      <c r="P20" s="351">
        <v>0</v>
      </c>
      <c r="Q20" s="351">
        <v>0</v>
      </c>
      <c r="R20" s="351">
        <v>0</v>
      </c>
      <c r="S20" s="351">
        <v>0.37573460960168475</v>
      </c>
      <c r="T20" s="351">
        <v>7.1371949779799423E-2</v>
      </c>
      <c r="U20" s="351">
        <v>0.15777365246982966</v>
      </c>
      <c r="V20" s="451">
        <v>7.5744892803712757E-2</v>
      </c>
      <c r="W20" s="351">
        <f>1-(R20+S20+T20+U20+V20)</f>
        <v>0.31937489534497332</v>
      </c>
      <c r="X20" s="351"/>
      <c r="Y20" s="351"/>
      <c r="Z20" s="449">
        <f t="shared" si="21"/>
        <v>1</v>
      </c>
      <c r="AA20" s="350"/>
      <c r="AB20" s="350"/>
      <c r="AC20" s="339">
        <f t="shared" si="127"/>
        <v>0</v>
      </c>
      <c r="AD20" s="339">
        <f t="shared" si="128"/>
        <v>0</v>
      </c>
      <c r="AE20" s="339">
        <f t="shared" si="129"/>
        <v>0</v>
      </c>
      <c r="AF20" s="339">
        <f t="shared" si="130"/>
        <v>0</v>
      </c>
      <c r="AG20" s="339">
        <f t="shared" ref="AG20" si="165">J20*$D20</f>
        <v>0</v>
      </c>
      <c r="AH20" s="339">
        <f t="shared" si="131"/>
        <v>0</v>
      </c>
      <c r="AI20" s="339">
        <f t="shared" si="132"/>
        <v>0</v>
      </c>
      <c r="AJ20" s="339">
        <f t="shared" si="133"/>
        <v>0</v>
      </c>
      <c r="AK20" s="339">
        <f t="shared" si="134"/>
        <v>0</v>
      </c>
      <c r="AL20" s="339">
        <f t="shared" si="135"/>
        <v>0</v>
      </c>
      <c r="AM20" s="339">
        <f t="shared" si="136"/>
        <v>0</v>
      </c>
      <c r="AN20" s="339">
        <f t="shared" si="137"/>
        <v>0</v>
      </c>
      <c r="AO20" s="339">
        <f t="shared" si="138"/>
        <v>0</v>
      </c>
      <c r="AP20" s="339">
        <f t="shared" si="139"/>
        <v>90944.77</v>
      </c>
      <c r="AQ20" s="339">
        <f t="shared" si="140"/>
        <v>17275.240000000002</v>
      </c>
      <c r="AR20" s="339">
        <f t="shared" si="141"/>
        <v>38188.359999999993</v>
      </c>
      <c r="AS20" s="339">
        <f t="shared" si="142"/>
        <v>18333.689999999999</v>
      </c>
      <c r="AT20" s="339">
        <f t="shared" si="143"/>
        <v>77303.17</v>
      </c>
      <c r="AU20" s="339">
        <f t="shared" si="144"/>
        <v>0</v>
      </c>
      <c r="AV20" s="447"/>
      <c r="AW20" s="352"/>
      <c r="AX20" s="352">
        <f t="shared" ref="AX20:BN62" si="166">IF(AX$3=$E20,$D20,0)</f>
        <v>0</v>
      </c>
      <c r="AY20" s="352">
        <f t="shared" si="166"/>
        <v>0</v>
      </c>
      <c r="AZ20" s="352">
        <f t="shared" si="166"/>
        <v>0</v>
      </c>
      <c r="BA20" s="352">
        <f t="shared" si="166"/>
        <v>0</v>
      </c>
      <c r="BB20" s="352">
        <f t="shared" si="166"/>
        <v>0</v>
      </c>
      <c r="BC20" s="352">
        <f t="shared" si="166"/>
        <v>0</v>
      </c>
      <c r="BD20" s="352">
        <f t="shared" si="166"/>
        <v>0</v>
      </c>
      <c r="BE20" s="352">
        <f t="shared" si="166"/>
        <v>0</v>
      </c>
      <c r="BF20" s="352">
        <f t="shared" si="166"/>
        <v>0</v>
      </c>
      <c r="BG20" s="352">
        <f t="shared" si="166"/>
        <v>0</v>
      </c>
      <c r="BH20" s="352">
        <f t="shared" si="166"/>
        <v>0</v>
      </c>
      <c r="BI20" s="352">
        <f t="shared" si="166"/>
        <v>0</v>
      </c>
      <c r="BJ20" s="339">
        <f t="shared" si="166"/>
        <v>242045.23</v>
      </c>
      <c r="BK20" s="352">
        <f t="shared" si="166"/>
        <v>0</v>
      </c>
      <c r="BL20" s="352">
        <f t="shared" si="166"/>
        <v>0</v>
      </c>
      <c r="BM20" s="352">
        <f t="shared" si="166"/>
        <v>0</v>
      </c>
      <c r="BN20" s="352">
        <f t="shared" si="166"/>
        <v>0</v>
      </c>
      <c r="BO20" s="352">
        <f t="shared" si="145"/>
        <v>0</v>
      </c>
      <c r="BP20" s="352">
        <f t="shared" si="145"/>
        <v>0</v>
      </c>
      <c r="BQ20" s="352">
        <f t="shared" si="145"/>
        <v>0</v>
      </c>
      <c r="BR20" s="376">
        <f t="shared" si="20"/>
        <v>0</v>
      </c>
    </row>
    <row r="21" spans="1:72" s="240" customFormat="1" ht="15" customHeight="1" x14ac:dyDescent="0.25">
      <c r="A21" s="240" t="s">
        <v>128</v>
      </c>
      <c r="C21" s="350"/>
      <c r="D21" s="447">
        <v>49840</v>
      </c>
      <c r="E21" s="448" t="s">
        <v>257</v>
      </c>
      <c r="F21" s="450"/>
      <c r="G21" s="450"/>
      <c r="H21" s="450"/>
      <c r="I21" s="450"/>
      <c r="J21" s="450"/>
      <c r="K21" s="351"/>
      <c r="L21" s="351"/>
      <c r="M21" s="351"/>
      <c r="N21" s="351">
        <v>0</v>
      </c>
      <c r="O21" s="351">
        <v>0</v>
      </c>
      <c r="P21" s="351">
        <v>0</v>
      </c>
      <c r="Q21" s="351">
        <v>0</v>
      </c>
      <c r="R21" s="351">
        <v>0</v>
      </c>
      <c r="S21" s="351">
        <v>0.16051364365971107</v>
      </c>
      <c r="T21" s="351">
        <v>0.1492776886035313</v>
      </c>
      <c r="U21" s="351">
        <v>0.24077046548956663</v>
      </c>
      <c r="V21" s="351">
        <v>0.24077046548956663</v>
      </c>
      <c r="W21" s="351">
        <v>0.2086677367576244</v>
      </c>
      <c r="X21" s="351"/>
      <c r="Y21" s="351"/>
      <c r="Z21" s="449">
        <f t="shared" si="21"/>
        <v>1</v>
      </c>
      <c r="AA21" s="350"/>
      <c r="AB21" s="350"/>
      <c r="AC21" s="339">
        <f t="shared" ref="AC21" si="167">F21*$D21</f>
        <v>0</v>
      </c>
      <c r="AD21" s="339">
        <f t="shared" ref="AD21" si="168">G21*$D21</f>
        <v>0</v>
      </c>
      <c r="AE21" s="339">
        <f t="shared" ref="AE21" si="169">H21*$D21</f>
        <v>0</v>
      </c>
      <c r="AF21" s="339">
        <f t="shared" ref="AF21" si="170">I21*$D21</f>
        <v>0</v>
      </c>
      <c r="AG21" s="339">
        <f t="shared" ref="AG21" si="171">J21*$D21</f>
        <v>0</v>
      </c>
      <c r="AH21" s="339">
        <f t="shared" ref="AH21" si="172">K21*$D21</f>
        <v>0</v>
      </c>
      <c r="AI21" s="339">
        <f t="shared" ref="AI21" si="173">L21*$D21</f>
        <v>0</v>
      </c>
      <c r="AJ21" s="339">
        <f t="shared" ref="AJ21" si="174">M21*$D21</f>
        <v>0</v>
      </c>
      <c r="AK21" s="339">
        <f t="shared" ref="AK21" si="175">N21*$D21</f>
        <v>0</v>
      </c>
      <c r="AL21" s="339">
        <f t="shared" ref="AL21" si="176">O21*$D21</f>
        <v>0</v>
      </c>
      <c r="AM21" s="339">
        <f t="shared" ref="AM21" si="177">P21*$D21</f>
        <v>0</v>
      </c>
      <c r="AN21" s="339">
        <f t="shared" ref="AN21" si="178">Q21*$D21</f>
        <v>0</v>
      </c>
      <c r="AO21" s="339">
        <f t="shared" ref="AO21" si="179">R21*$D21</f>
        <v>0</v>
      </c>
      <c r="AP21" s="339">
        <f t="shared" ref="AP21" si="180">S21*$D21</f>
        <v>8000</v>
      </c>
      <c r="AQ21" s="339">
        <f t="shared" ref="AQ21" si="181">T21*$D21</f>
        <v>7440</v>
      </c>
      <c r="AR21" s="339">
        <f t="shared" si="13"/>
        <v>12000</v>
      </c>
      <c r="AS21" s="339">
        <f t="shared" si="14"/>
        <v>12000</v>
      </c>
      <c r="AT21" s="339">
        <f t="shared" si="15"/>
        <v>10400</v>
      </c>
      <c r="AU21" s="339">
        <f t="shared" si="16"/>
        <v>0</v>
      </c>
      <c r="AV21" s="447"/>
      <c r="AW21" s="352"/>
      <c r="AX21" s="352">
        <f t="shared" si="166"/>
        <v>0</v>
      </c>
      <c r="AY21" s="352">
        <f t="shared" si="166"/>
        <v>0</v>
      </c>
      <c r="AZ21" s="352">
        <f t="shared" si="166"/>
        <v>0</v>
      </c>
      <c r="BA21" s="352">
        <f t="shared" si="166"/>
        <v>0</v>
      </c>
      <c r="BB21" s="352">
        <f t="shared" si="166"/>
        <v>0</v>
      </c>
      <c r="BC21" s="352">
        <f t="shared" si="166"/>
        <v>0</v>
      </c>
      <c r="BD21" s="352">
        <f t="shared" si="166"/>
        <v>0</v>
      </c>
      <c r="BE21" s="352">
        <f t="shared" si="166"/>
        <v>0</v>
      </c>
      <c r="BF21" s="352">
        <f t="shared" si="166"/>
        <v>0</v>
      </c>
      <c r="BG21" s="352">
        <f t="shared" si="166"/>
        <v>0</v>
      </c>
      <c r="BH21" s="352">
        <f t="shared" si="166"/>
        <v>0</v>
      </c>
      <c r="BI21" s="352">
        <f t="shared" si="166"/>
        <v>0</v>
      </c>
      <c r="BJ21" s="339">
        <v>48000</v>
      </c>
      <c r="BK21" s="352">
        <v>0</v>
      </c>
      <c r="BL21" s="352">
        <v>1840</v>
      </c>
      <c r="BM21" s="352">
        <f t="shared" si="166"/>
        <v>0</v>
      </c>
      <c r="BN21" s="352">
        <f t="shared" si="166"/>
        <v>0</v>
      </c>
      <c r="BO21" s="352">
        <f t="shared" si="145"/>
        <v>0</v>
      </c>
      <c r="BP21" s="352">
        <f t="shared" si="145"/>
        <v>0</v>
      </c>
      <c r="BQ21" s="352">
        <f t="shared" si="145"/>
        <v>0</v>
      </c>
      <c r="BR21" s="376">
        <f t="shared" si="20"/>
        <v>0</v>
      </c>
    </row>
    <row r="22" spans="1:72" s="240" customFormat="1" ht="15" customHeight="1" x14ac:dyDescent="0.25">
      <c r="A22" s="240" t="s">
        <v>128</v>
      </c>
      <c r="C22" s="350"/>
      <c r="D22" s="447">
        <v>12400</v>
      </c>
      <c r="E22" s="448" t="s">
        <v>257</v>
      </c>
      <c r="F22" s="450"/>
      <c r="G22" s="450"/>
      <c r="H22" s="450"/>
      <c r="I22" s="450"/>
      <c r="J22" s="450"/>
      <c r="K22" s="351"/>
      <c r="L22" s="351"/>
      <c r="M22" s="351"/>
      <c r="N22" s="351">
        <v>0</v>
      </c>
      <c r="O22" s="351">
        <v>0</v>
      </c>
      <c r="P22" s="351">
        <v>0</v>
      </c>
      <c r="Q22" s="351">
        <v>0</v>
      </c>
      <c r="R22" s="351">
        <v>0.25</v>
      </c>
      <c r="S22" s="351">
        <v>0.75</v>
      </c>
      <c r="T22" s="351">
        <v>0</v>
      </c>
      <c r="U22" s="351">
        <v>0</v>
      </c>
      <c r="V22" s="351">
        <v>0</v>
      </c>
      <c r="W22" s="351"/>
      <c r="X22" s="351"/>
      <c r="Y22" s="351"/>
      <c r="Z22" s="449">
        <f t="shared" ref="Z22" si="182">SUM(F22:X22)</f>
        <v>1</v>
      </c>
      <c r="AA22" s="350"/>
      <c r="AB22" s="350"/>
      <c r="AC22" s="339">
        <f t="shared" ref="AC22" si="183">F22*$D22</f>
        <v>0</v>
      </c>
      <c r="AD22" s="339">
        <f t="shared" ref="AD22" si="184">G22*$D22</f>
        <v>0</v>
      </c>
      <c r="AE22" s="339">
        <f t="shared" ref="AE22" si="185">H22*$D22</f>
        <v>0</v>
      </c>
      <c r="AF22" s="339">
        <f t="shared" ref="AF22" si="186">I22*$D22</f>
        <v>0</v>
      </c>
      <c r="AG22" s="339">
        <f t="shared" ref="AG22" si="187">J22*$D22</f>
        <v>0</v>
      </c>
      <c r="AH22" s="339">
        <f t="shared" ref="AH22" si="188">K22*$D22</f>
        <v>0</v>
      </c>
      <c r="AI22" s="339">
        <f t="shared" ref="AI22" si="189">L22*$D22</f>
        <v>0</v>
      </c>
      <c r="AJ22" s="339">
        <f t="shared" ref="AJ22" si="190">M22*$D22</f>
        <v>0</v>
      </c>
      <c r="AK22" s="339">
        <f t="shared" ref="AK22" si="191">N22*$D22</f>
        <v>0</v>
      </c>
      <c r="AL22" s="339">
        <f t="shared" ref="AL22" si="192">O22*$D22</f>
        <v>0</v>
      </c>
      <c r="AM22" s="339">
        <f t="shared" ref="AM22" si="193">P22*$D22</f>
        <v>0</v>
      </c>
      <c r="AN22" s="339">
        <f t="shared" ref="AN22" si="194">Q22*$D22</f>
        <v>0</v>
      </c>
      <c r="AO22" s="339">
        <f t="shared" ref="AO22" si="195">R22*$D22</f>
        <v>3100</v>
      </c>
      <c r="AP22" s="339">
        <f t="shared" ref="AP22" si="196">S22*$D22</f>
        <v>9300</v>
      </c>
      <c r="AQ22" s="339">
        <f t="shared" ref="AQ22" si="197">T22*$D22</f>
        <v>0</v>
      </c>
      <c r="AR22" s="339">
        <f t="shared" ref="AR22" si="198">U22*$D22</f>
        <v>0</v>
      </c>
      <c r="AS22" s="339">
        <f t="shared" ref="AS22" si="199">V22*$D22</f>
        <v>0</v>
      </c>
      <c r="AT22" s="339">
        <f t="shared" ref="AT22" si="200">W22*$D22</f>
        <v>0</v>
      </c>
      <c r="AU22" s="339">
        <f t="shared" ref="AU22" si="201">X22*$D22</f>
        <v>0</v>
      </c>
      <c r="AV22" s="447"/>
      <c r="AW22" s="352"/>
      <c r="AX22" s="352">
        <f t="shared" si="166"/>
        <v>0</v>
      </c>
      <c r="AY22" s="352">
        <f t="shared" si="166"/>
        <v>0</v>
      </c>
      <c r="AZ22" s="352">
        <f t="shared" si="166"/>
        <v>0</v>
      </c>
      <c r="BA22" s="352">
        <f t="shared" si="166"/>
        <v>0</v>
      </c>
      <c r="BB22" s="352">
        <f t="shared" si="166"/>
        <v>0</v>
      </c>
      <c r="BC22" s="352">
        <f t="shared" si="166"/>
        <v>0</v>
      </c>
      <c r="BD22" s="352">
        <f t="shared" si="166"/>
        <v>0</v>
      </c>
      <c r="BE22" s="352">
        <f t="shared" si="166"/>
        <v>0</v>
      </c>
      <c r="BF22" s="352">
        <f t="shared" si="166"/>
        <v>0</v>
      </c>
      <c r="BG22" s="352">
        <f t="shared" si="166"/>
        <v>0</v>
      </c>
      <c r="BH22" s="352">
        <f t="shared" si="166"/>
        <v>0</v>
      </c>
      <c r="BI22" s="352">
        <f t="shared" si="166"/>
        <v>0</v>
      </c>
      <c r="BJ22" s="339">
        <v>37200</v>
      </c>
      <c r="BK22" s="352">
        <v>0</v>
      </c>
      <c r="BL22" s="471">
        <v>-24800</v>
      </c>
      <c r="BM22" s="352">
        <f t="shared" si="166"/>
        <v>0</v>
      </c>
      <c r="BN22" s="352">
        <f t="shared" si="166"/>
        <v>0</v>
      </c>
      <c r="BO22" s="352">
        <f t="shared" si="145"/>
        <v>0</v>
      </c>
      <c r="BP22" s="352">
        <f t="shared" si="145"/>
        <v>0</v>
      </c>
      <c r="BQ22" s="352">
        <f t="shared" si="145"/>
        <v>0</v>
      </c>
      <c r="BR22" s="376">
        <f t="shared" si="20"/>
        <v>0</v>
      </c>
    </row>
    <row r="23" spans="1:72" s="240" customFormat="1" ht="15" customHeight="1" x14ac:dyDescent="0.25">
      <c r="A23" s="240" t="s">
        <v>128</v>
      </c>
      <c r="C23" s="350"/>
      <c r="D23" s="447">
        <v>34100</v>
      </c>
      <c r="E23" s="448" t="s">
        <v>208</v>
      </c>
      <c r="F23" s="450"/>
      <c r="G23" s="450"/>
      <c r="H23" s="450"/>
      <c r="I23" s="450"/>
      <c r="J23" s="450"/>
      <c r="K23" s="351"/>
      <c r="L23" s="351"/>
      <c r="M23" s="351"/>
      <c r="N23" s="351">
        <v>0</v>
      </c>
      <c r="O23" s="351">
        <v>0</v>
      </c>
      <c r="P23" s="351">
        <v>0</v>
      </c>
      <c r="Q23" s="351">
        <v>0</v>
      </c>
      <c r="R23" s="351">
        <v>0</v>
      </c>
      <c r="S23" s="351">
        <v>0</v>
      </c>
      <c r="T23" s="351">
        <v>0.18181818181818182</v>
      </c>
      <c r="U23" s="351">
        <v>0.27272727272727271</v>
      </c>
      <c r="V23" s="351">
        <v>0.27272727272727271</v>
      </c>
      <c r="W23" s="351">
        <v>0.27272727272727271</v>
      </c>
      <c r="X23" s="351"/>
      <c r="Y23" s="351"/>
      <c r="Z23" s="449">
        <f t="shared" ref="Z23" si="202">SUM(F23:X23)</f>
        <v>1</v>
      </c>
      <c r="AA23" s="350"/>
      <c r="AB23" s="350"/>
      <c r="AC23" s="339">
        <f t="shared" ref="AC23" si="203">F23*$D23</f>
        <v>0</v>
      </c>
      <c r="AD23" s="339">
        <f t="shared" ref="AD23" si="204">G23*$D23</f>
        <v>0</v>
      </c>
      <c r="AE23" s="339">
        <f t="shared" ref="AE23" si="205">H23*$D23</f>
        <v>0</v>
      </c>
      <c r="AF23" s="339">
        <f t="shared" ref="AF23" si="206">I23*$D23</f>
        <v>0</v>
      </c>
      <c r="AG23" s="339">
        <f t="shared" ref="AG23" si="207">J23*$D23</f>
        <v>0</v>
      </c>
      <c r="AH23" s="339">
        <f t="shared" ref="AH23" si="208">K23*$D23</f>
        <v>0</v>
      </c>
      <c r="AI23" s="339">
        <f t="shared" ref="AI23" si="209">L23*$D23</f>
        <v>0</v>
      </c>
      <c r="AJ23" s="339">
        <f t="shared" ref="AJ23" si="210">M23*$D23</f>
        <v>0</v>
      </c>
      <c r="AK23" s="339">
        <f t="shared" ref="AK23" si="211">N23*$D23</f>
        <v>0</v>
      </c>
      <c r="AL23" s="339">
        <f t="shared" ref="AL23" si="212">O23*$D23</f>
        <v>0</v>
      </c>
      <c r="AM23" s="339">
        <f t="shared" ref="AM23" si="213">P23*$D23</f>
        <v>0</v>
      </c>
      <c r="AN23" s="339">
        <f t="shared" ref="AN23" si="214">Q23*$D23</f>
        <v>0</v>
      </c>
      <c r="AO23" s="339">
        <f t="shared" ref="AO23" si="215">R23*$D23</f>
        <v>0</v>
      </c>
      <c r="AP23" s="339">
        <f t="shared" ref="AP23" si="216">S23*$D23</f>
        <v>0</v>
      </c>
      <c r="AQ23" s="339">
        <f t="shared" ref="AQ23" si="217">T23*$D23</f>
        <v>6200</v>
      </c>
      <c r="AR23" s="339">
        <f t="shared" ref="AR23" si="218">U23*$D23</f>
        <v>9300</v>
      </c>
      <c r="AS23" s="339">
        <f t="shared" ref="AS23" si="219">V23*$D23</f>
        <v>9300</v>
      </c>
      <c r="AT23" s="339">
        <f t="shared" ref="AT23" si="220">W23*$D23</f>
        <v>9300</v>
      </c>
      <c r="AU23" s="339">
        <f t="shared" ref="AU23" si="221">X23*$D23</f>
        <v>0</v>
      </c>
      <c r="AV23" s="447"/>
      <c r="AW23" s="352"/>
      <c r="AX23" s="352">
        <f t="shared" si="166"/>
        <v>0</v>
      </c>
      <c r="AY23" s="352">
        <f t="shared" si="166"/>
        <v>0</v>
      </c>
      <c r="AZ23" s="352">
        <f t="shared" si="166"/>
        <v>0</v>
      </c>
      <c r="BA23" s="352">
        <f t="shared" si="166"/>
        <v>0</v>
      </c>
      <c r="BB23" s="352">
        <f t="shared" si="166"/>
        <v>0</v>
      </c>
      <c r="BC23" s="352">
        <f t="shared" si="166"/>
        <v>0</v>
      </c>
      <c r="BD23" s="352">
        <f t="shared" si="166"/>
        <v>0</v>
      </c>
      <c r="BE23" s="352">
        <f t="shared" si="166"/>
        <v>0</v>
      </c>
      <c r="BF23" s="352">
        <f t="shared" si="166"/>
        <v>0</v>
      </c>
      <c r="BG23" s="352">
        <f t="shared" si="166"/>
        <v>0</v>
      </c>
      <c r="BH23" s="352">
        <f t="shared" si="166"/>
        <v>0</v>
      </c>
      <c r="BI23" s="352">
        <f t="shared" si="166"/>
        <v>0</v>
      </c>
      <c r="BJ23" s="339">
        <f t="shared" si="166"/>
        <v>0</v>
      </c>
      <c r="BK23" s="352">
        <f t="shared" si="166"/>
        <v>0</v>
      </c>
      <c r="BL23" s="471">
        <f t="shared" si="166"/>
        <v>34100</v>
      </c>
      <c r="BM23" s="352">
        <f t="shared" si="166"/>
        <v>0</v>
      </c>
      <c r="BN23" s="352">
        <f t="shared" si="166"/>
        <v>0</v>
      </c>
      <c r="BO23" s="352">
        <f t="shared" si="145"/>
        <v>0</v>
      </c>
      <c r="BP23" s="352">
        <f t="shared" si="145"/>
        <v>0</v>
      </c>
      <c r="BQ23" s="352">
        <f t="shared" ref="BQ23" si="222">IF(BQ$3=$E23,$D23,0)</f>
        <v>0</v>
      </c>
      <c r="BR23" s="376">
        <f t="shared" ref="BR23" si="223">SUM(AC23:AV23)-SUM(AX23:BQ23)</f>
        <v>0</v>
      </c>
    </row>
    <row r="24" spans="1:72" s="240" customFormat="1" ht="15" customHeight="1" x14ac:dyDescent="0.25">
      <c r="A24" s="240" t="s">
        <v>128</v>
      </c>
      <c r="C24" s="350"/>
      <c r="D24" s="447">
        <v>18938.400000000001</v>
      </c>
      <c r="E24" s="448" t="s">
        <v>257</v>
      </c>
      <c r="F24" s="450"/>
      <c r="G24" s="450"/>
      <c r="H24" s="450"/>
      <c r="I24" s="450"/>
      <c r="J24" s="450"/>
      <c r="K24" s="351"/>
      <c r="L24" s="351"/>
      <c r="M24" s="351"/>
      <c r="N24" s="351">
        <v>0</v>
      </c>
      <c r="O24" s="351">
        <v>0</v>
      </c>
      <c r="P24" s="351">
        <v>0</v>
      </c>
      <c r="Q24" s="351">
        <v>0</v>
      </c>
      <c r="R24" s="351">
        <v>0</v>
      </c>
      <c r="S24" s="351">
        <v>0</v>
      </c>
      <c r="T24" s="351">
        <v>1</v>
      </c>
      <c r="U24" s="351">
        <v>0</v>
      </c>
      <c r="V24" s="351"/>
      <c r="W24" s="351"/>
      <c r="X24" s="351"/>
      <c r="Y24" s="351"/>
      <c r="Z24" s="449">
        <f t="shared" ref="Z24" si="224">SUM(F24:X24)</f>
        <v>1</v>
      </c>
      <c r="AA24" s="350"/>
      <c r="AB24" s="350"/>
      <c r="AC24" s="339">
        <f t="shared" ref="AC24:AL27" si="225">F24*$D24</f>
        <v>0</v>
      </c>
      <c r="AD24" s="339">
        <f t="shared" si="225"/>
        <v>0</v>
      </c>
      <c r="AE24" s="339">
        <f t="shared" si="225"/>
        <v>0</v>
      </c>
      <c r="AF24" s="339">
        <f t="shared" si="225"/>
        <v>0</v>
      </c>
      <c r="AG24" s="339">
        <f t="shared" si="225"/>
        <v>0</v>
      </c>
      <c r="AH24" s="339">
        <f t="shared" si="225"/>
        <v>0</v>
      </c>
      <c r="AI24" s="339">
        <f t="shared" si="225"/>
        <v>0</v>
      </c>
      <c r="AJ24" s="339">
        <f t="shared" si="225"/>
        <v>0</v>
      </c>
      <c r="AK24" s="339">
        <f t="shared" si="225"/>
        <v>0</v>
      </c>
      <c r="AL24" s="339">
        <f t="shared" si="225"/>
        <v>0</v>
      </c>
      <c r="AM24" s="339">
        <f t="shared" ref="AM24:AU27" si="226">P24*$D24</f>
        <v>0</v>
      </c>
      <c r="AN24" s="339">
        <f t="shared" si="226"/>
        <v>0</v>
      </c>
      <c r="AO24" s="339">
        <f t="shared" si="226"/>
        <v>0</v>
      </c>
      <c r="AP24" s="339">
        <f t="shared" si="226"/>
        <v>0</v>
      </c>
      <c r="AQ24" s="339">
        <f t="shared" si="226"/>
        <v>18938.400000000001</v>
      </c>
      <c r="AR24" s="339">
        <f t="shared" si="226"/>
        <v>0</v>
      </c>
      <c r="AS24" s="339">
        <f t="shared" si="226"/>
        <v>0</v>
      </c>
      <c r="AT24" s="339">
        <f t="shared" si="226"/>
        <v>0</v>
      </c>
      <c r="AU24" s="339">
        <f t="shared" si="226"/>
        <v>0</v>
      </c>
      <c r="AV24" s="447"/>
      <c r="AW24" s="352"/>
      <c r="AX24" s="352">
        <f t="shared" ref="AX24:BG24" si="227">IF(AX$3=$E24,$D24,0)</f>
        <v>0</v>
      </c>
      <c r="AY24" s="352">
        <f t="shared" si="227"/>
        <v>0</v>
      </c>
      <c r="AZ24" s="352">
        <f t="shared" si="227"/>
        <v>0</v>
      </c>
      <c r="BA24" s="352">
        <f t="shared" si="227"/>
        <v>0</v>
      </c>
      <c r="BB24" s="352">
        <f t="shared" si="227"/>
        <v>0</v>
      </c>
      <c r="BC24" s="352">
        <f t="shared" si="227"/>
        <v>0</v>
      </c>
      <c r="BD24" s="352">
        <f t="shared" si="227"/>
        <v>0</v>
      </c>
      <c r="BE24" s="352">
        <f t="shared" si="227"/>
        <v>0</v>
      </c>
      <c r="BF24" s="352">
        <f t="shared" si="227"/>
        <v>0</v>
      </c>
      <c r="BG24" s="352">
        <f t="shared" si="227"/>
        <v>0</v>
      </c>
      <c r="BH24" s="352">
        <f t="shared" si="166"/>
        <v>0</v>
      </c>
      <c r="BI24" s="352">
        <f t="shared" si="166"/>
        <v>0</v>
      </c>
      <c r="BJ24" s="339">
        <v>21211.01</v>
      </c>
      <c r="BK24" s="352">
        <v>-2272.61</v>
      </c>
      <c r="BL24" s="352">
        <f t="shared" si="166"/>
        <v>0</v>
      </c>
      <c r="BM24" s="352">
        <f t="shared" si="166"/>
        <v>0</v>
      </c>
      <c r="BN24" s="352">
        <f t="shared" si="166"/>
        <v>0</v>
      </c>
      <c r="BO24" s="352">
        <f t="shared" si="145"/>
        <v>0</v>
      </c>
      <c r="BP24" s="352">
        <f t="shared" si="145"/>
        <v>0</v>
      </c>
      <c r="BQ24" s="352">
        <f t="shared" si="145"/>
        <v>0</v>
      </c>
      <c r="BR24" s="376">
        <f t="shared" si="20"/>
        <v>0</v>
      </c>
    </row>
    <row r="25" spans="1:72" s="240" customFormat="1" ht="45" customHeight="1" x14ac:dyDescent="0.25">
      <c r="A25" s="240" t="s">
        <v>128</v>
      </c>
      <c r="C25" s="453"/>
      <c r="D25" s="447">
        <v>66521.42</v>
      </c>
      <c r="E25" s="448" t="s">
        <v>260</v>
      </c>
      <c r="F25" s="450"/>
      <c r="G25" s="450"/>
      <c r="H25" s="450"/>
      <c r="I25" s="450"/>
      <c r="J25" s="450"/>
      <c r="K25" s="351"/>
      <c r="L25" s="351"/>
      <c r="M25" s="351"/>
      <c r="N25" s="351">
        <v>0</v>
      </c>
      <c r="O25" s="351">
        <v>0</v>
      </c>
      <c r="P25" s="351">
        <v>0</v>
      </c>
      <c r="Q25" s="351">
        <v>0</v>
      </c>
      <c r="R25" s="351">
        <v>0</v>
      </c>
      <c r="S25" s="351">
        <v>0</v>
      </c>
      <c r="T25" s="351">
        <v>0</v>
      </c>
      <c r="U25" s="351">
        <v>0</v>
      </c>
      <c r="V25" s="351">
        <v>1</v>
      </c>
      <c r="W25" s="351"/>
      <c r="X25" s="351"/>
      <c r="Y25" s="351"/>
      <c r="Z25" s="449">
        <f t="shared" ref="Z25" si="228">SUM(F25:X25)</f>
        <v>1</v>
      </c>
      <c r="AA25" s="350"/>
      <c r="AB25" s="350"/>
      <c r="AC25" s="339">
        <f t="shared" si="225"/>
        <v>0</v>
      </c>
      <c r="AD25" s="339">
        <f t="shared" si="225"/>
        <v>0</v>
      </c>
      <c r="AE25" s="339">
        <f t="shared" si="225"/>
        <v>0</v>
      </c>
      <c r="AF25" s="339">
        <f t="shared" si="225"/>
        <v>0</v>
      </c>
      <c r="AG25" s="339">
        <f t="shared" si="225"/>
        <v>0</v>
      </c>
      <c r="AH25" s="339">
        <f t="shared" si="225"/>
        <v>0</v>
      </c>
      <c r="AI25" s="339">
        <f t="shared" si="225"/>
        <v>0</v>
      </c>
      <c r="AJ25" s="339">
        <f t="shared" si="225"/>
        <v>0</v>
      </c>
      <c r="AK25" s="339">
        <f t="shared" si="225"/>
        <v>0</v>
      </c>
      <c r="AL25" s="339">
        <f t="shared" si="225"/>
        <v>0</v>
      </c>
      <c r="AM25" s="339">
        <f t="shared" si="226"/>
        <v>0</v>
      </c>
      <c r="AN25" s="339">
        <f t="shared" si="226"/>
        <v>0</v>
      </c>
      <c r="AO25" s="339">
        <f t="shared" si="226"/>
        <v>0</v>
      </c>
      <c r="AP25" s="339">
        <f t="shared" si="226"/>
        <v>0</v>
      </c>
      <c r="AQ25" s="339">
        <f t="shared" si="226"/>
        <v>0</v>
      </c>
      <c r="AR25" s="339">
        <f t="shared" si="226"/>
        <v>0</v>
      </c>
      <c r="AS25" s="339">
        <f t="shared" si="226"/>
        <v>66521.42</v>
      </c>
      <c r="AT25" s="339">
        <f t="shared" si="226"/>
        <v>0</v>
      </c>
      <c r="AU25" s="339">
        <f t="shared" si="226"/>
        <v>0</v>
      </c>
      <c r="AV25" s="447"/>
      <c r="AW25" s="352"/>
      <c r="AX25" s="352">
        <f t="shared" si="145"/>
        <v>0</v>
      </c>
      <c r="AY25" s="352">
        <f t="shared" si="145"/>
        <v>0</v>
      </c>
      <c r="AZ25" s="352">
        <f t="shared" si="145"/>
        <v>0</v>
      </c>
      <c r="BA25" s="352">
        <f t="shared" si="145"/>
        <v>0</v>
      </c>
      <c r="BB25" s="352">
        <f t="shared" si="145"/>
        <v>0</v>
      </c>
      <c r="BC25" s="352">
        <f t="shared" si="145"/>
        <v>0</v>
      </c>
      <c r="BD25" s="352">
        <f t="shared" si="145"/>
        <v>0</v>
      </c>
      <c r="BE25" s="352">
        <f t="shared" si="145"/>
        <v>0</v>
      </c>
      <c r="BF25" s="352">
        <f t="shared" si="145"/>
        <v>0</v>
      </c>
      <c r="BG25" s="352">
        <f t="shared" si="145"/>
        <v>0</v>
      </c>
      <c r="BH25" s="352">
        <f t="shared" si="145"/>
        <v>0</v>
      </c>
      <c r="BI25" s="352">
        <f t="shared" si="145"/>
        <v>0</v>
      </c>
      <c r="BJ25" s="339">
        <f t="shared" si="145"/>
        <v>0</v>
      </c>
      <c r="BK25" s="352">
        <f t="shared" si="145"/>
        <v>0</v>
      </c>
      <c r="BL25" s="352">
        <f t="shared" si="145"/>
        <v>0</v>
      </c>
      <c r="BM25" s="352">
        <f t="shared" si="145"/>
        <v>0</v>
      </c>
      <c r="BN25" s="352">
        <f t="shared" si="145"/>
        <v>66521.42</v>
      </c>
      <c r="BO25" s="352">
        <f t="shared" si="145"/>
        <v>0</v>
      </c>
      <c r="BP25" s="352">
        <f t="shared" si="145"/>
        <v>0</v>
      </c>
      <c r="BQ25" s="352">
        <f t="shared" si="145"/>
        <v>0</v>
      </c>
      <c r="BR25" s="376">
        <f t="shared" si="20"/>
        <v>0</v>
      </c>
    </row>
    <row r="26" spans="1:72" s="240" customFormat="1" ht="15" customHeight="1" x14ac:dyDescent="0.25">
      <c r="A26" s="240" t="s">
        <v>128</v>
      </c>
      <c r="C26" s="350"/>
      <c r="D26" s="447">
        <v>1762</v>
      </c>
      <c r="E26" s="448" t="s">
        <v>257</v>
      </c>
      <c r="F26" s="450"/>
      <c r="G26" s="450"/>
      <c r="H26" s="450"/>
      <c r="I26" s="450"/>
      <c r="J26" s="450"/>
      <c r="K26" s="351">
        <v>0</v>
      </c>
      <c r="L26" s="449">
        <v>0</v>
      </c>
      <c r="M26" s="351">
        <v>0</v>
      </c>
      <c r="N26" s="351">
        <v>0</v>
      </c>
      <c r="O26" s="351">
        <v>0</v>
      </c>
      <c r="P26" s="351">
        <v>0</v>
      </c>
      <c r="Q26" s="351">
        <v>0</v>
      </c>
      <c r="R26" s="351">
        <v>0</v>
      </c>
      <c r="S26" s="351">
        <v>1</v>
      </c>
      <c r="T26" s="351">
        <v>0</v>
      </c>
      <c r="U26" s="351">
        <v>0</v>
      </c>
      <c r="V26" s="351">
        <v>0</v>
      </c>
      <c r="W26" s="351">
        <v>0</v>
      </c>
      <c r="X26" s="351"/>
      <c r="Y26" s="351"/>
      <c r="Z26" s="449">
        <f>SUM(F26:X26)</f>
        <v>1</v>
      </c>
      <c r="AA26" s="350"/>
      <c r="AB26" s="350"/>
      <c r="AC26" s="339">
        <f t="shared" si="225"/>
        <v>0</v>
      </c>
      <c r="AD26" s="339">
        <f t="shared" si="225"/>
        <v>0</v>
      </c>
      <c r="AE26" s="339">
        <f t="shared" si="225"/>
        <v>0</v>
      </c>
      <c r="AF26" s="339">
        <f t="shared" si="225"/>
        <v>0</v>
      </c>
      <c r="AG26" s="339">
        <f t="shared" si="225"/>
        <v>0</v>
      </c>
      <c r="AH26" s="339">
        <f t="shared" si="225"/>
        <v>0</v>
      </c>
      <c r="AI26" s="339">
        <f t="shared" si="225"/>
        <v>0</v>
      </c>
      <c r="AJ26" s="339">
        <f t="shared" si="225"/>
        <v>0</v>
      </c>
      <c r="AK26" s="339">
        <f t="shared" si="225"/>
        <v>0</v>
      </c>
      <c r="AL26" s="339">
        <f t="shared" si="225"/>
        <v>0</v>
      </c>
      <c r="AM26" s="339">
        <f t="shared" si="226"/>
        <v>0</v>
      </c>
      <c r="AN26" s="339">
        <f t="shared" si="226"/>
        <v>0</v>
      </c>
      <c r="AO26" s="339">
        <f t="shared" si="226"/>
        <v>0</v>
      </c>
      <c r="AP26" s="339">
        <f t="shared" si="226"/>
        <v>1762</v>
      </c>
      <c r="AQ26" s="339">
        <f t="shared" si="226"/>
        <v>0</v>
      </c>
      <c r="AR26" s="339">
        <f t="shared" si="226"/>
        <v>0</v>
      </c>
      <c r="AS26" s="339">
        <f t="shared" si="226"/>
        <v>0</v>
      </c>
      <c r="AT26" s="339">
        <f t="shared" si="226"/>
        <v>0</v>
      </c>
      <c r="AU26" s="339">
        <f t="shared" si="226"/>
        <v>0</v>
      </c>
      <c r="AV26" s="447"/>
      <c r="AW26" s="352"/>
      <c r="AX26" s="352">
        <f t="shared" si="145"/>
        <v>0</v>
      </c>
      <c r="AY26" s="352">
        <f t="shared" si="145"/>
        <v>0</v>
      </c>
      <c r="AZ26" s="352">
        <f t="shared" si="145"/>
        <v>0</v>
      </c>
      <c r="BA26" s="352">
        <f t="shared" si="145"/>
        <v>0</v>
      </c>
      <c r="BB26" s="352">
        <f t="shared" si="145"/>
        <v>0</v>
      </c>
      <c r="BC26" s="352">
        <f t="shared" si="145"/>
        <v>0</v>
      </c>
      <c r="BD26" s="352">
        <f t="shared" si="145"/>
        <v>0</v>
      </c>
      <c r="BE26" s="352">
        <f t="shared" si="145"/>
        <v>0</v>
      </c>
      <c r="BF26" s="352">
        <f t="shared" si="145"/>
        <v>0</v>
      </c>
      <c r="BG26" s="352">
        <f t="shared" si="145"/>
        <v>0</v>
      </c>
      <c r="BH26" s="352">
        <f t="shared" si="145"/>
        <v>0</v>
      </c>
      <c r="BI26" s="352">
        <f t="shared" si="145"/>
        <v>0</v>
      </c>
      <c r="BJ26" s="339">
        <f t="shared" si="145"/>
        <v>1762</v>
      </c>
      <c r="BK26" s="352">
        <f t="shared" si="145"/>
        <v>0</v>
      </c>
      <c r="BL26" s="352">
        <f t="shared" si="145"/>
        <v>0</v>
      </c>
      <c r="BM26" s="352">
        <f t="shared" si="145"/>
        <v>0</v>
      </c>
      <c r="BN26" s="352">
        <f t="shared" si="145"/>
        <v>0</v>
      </c>
      <c r="BO26" s="352">
        <f t="shared" si="145"/>
        <v>0</v>
      </c>
      <c r="BP26" s="352">
        <f t="shared" si="145"/>
        <v>0</v>
      </c>
      <c r="BQ26" s="352">
        <f t="shared" si="145"/>
        <v>0</v>
      </c>
      <c r="BR26" s="376">
        <f t="shared" si="20"/>
        <v>0</v>
      </c>
    </row>
    <row r="27" spans="1:72" s="240" customFormat="1" ht="15" customHeight="1" x14ac:dyDescent="0.25">
      <c r="A27" s="240" t="s">
        <v>128</v>
      </c>
      <c r="C27" s="350"/>
      <c r="D27" s="447">
        <v>1278.6400000000001</v>
      </c>
      <c r="E27" s="448" t="s">
        <v>256</v>
      </c>
      <c r="F27" s="450"/>
      <c r="G27" s="450"/>
      <c r="H27" s="450"/>
      <c r="I27" s="450"/>
      <c r="J27" s="450"/>
      <c r="K27" s="351">
        <v>0</v>
      </c>
      <c r="L27" s="449">
        <v>0</v>
      </c>
      <c r="M27" s="351">
        <v>0</v>
      </c>
      <c r="N27" s="351">
        <v>0</v>
      </c>
      <c r="O27" s="351">
        <v>0</v>
      </c>
      <c r="P27" s="351">
        <v>0</v>
      </c>
      <c r="Q27" s="351">
        <v>0</v>
      </c>
      <c r="R27" s="351">
        <v>0</v>
      </c>
      <c r="S27" s="351">
        <v>1</v>
      </c>
      <c r="T27" s="351">
        <v>0</v>
      </c>
      <c r="U27" s="351">
        <v>0</v>
      </c>
      <c r="V27" s="351">
        <v>0</v>
      </c>
      <c r="W27" s="351">
        <v>0</v>
      </c>
      <c r="X27" s="351"/>
      <c r="Y27" s="351"/>
      <c r="Z27" s="449">
        <f>SUM(F27:X27)</f>
        <v>1</v>
      </c>
      <c r="AA27" s="350"/>
      <c r="AB27" s="350"/>
      <c r="AC27" s="339">
        <f t="shared" si="225"/>
        <v>0</v>
      </c>
      <c r="AD27" s="339">
        <f t="shared" si="225"/>
        <v>0</v>
      </c>
      <c r="AE27" s="339">
        <f t="shared" si="225"/>
        <v>0</v>
      </c>
      <c r="AF27" s="339">
        <f t="shared" si="225"/>
        <v>0</v>
      </c>
      <c r="AG27" s="339">
        <f t="shared" si="225"/>
        <v>0</v>
      </c>
      <c r="AH27" s="339">
        <f t="shared" si="225"/>
        <v>0</v>
      </c>
      <c r="AI27" s="339">
        <f t="shared" si="225"/>
        <v>0</v>
      </c>
      <c r="AJ27" s="339">
        <f t="shared" si="225"/>
        <v>0</v>
      </c>
      <c r="AK27" s="339">
        <f t="shared" si="225"/>
        <v>0</v>
      </c>
      <c r="AL27" s="339">
        <f t="shared" si="225"/>
        <v>0</v>
      </c>
      <c r="AM27" s="339">
        <f t="shared" si="226"/>
        <v>0</v>
      </c>
      <c r="AN27" s="339">
        <f t="shared" si="226"/>
        <v>0</v>
      </c>
      <c r="AO27" s="339">
        <f t="shared" si="226"/>
        <v>0</v>
      </c>
      <c r="AP27" s="339">
        <f t="shared" si="226"/>
        <v>1278.6400000000001</v>
      </c>
      <c r="AQ27" s="339">
        <f t="shared" si="226"/>
        <v>0</v>
      </c>
      <c r="AR27" s="339">
        <f t="shared" si="226"/>
        <v>0</v>
      </c>
      <c r="AS27" s="339">
        <f t="shared" si="226"/>
        <v>0</v>
      </c>
      <c r="AT27" s="339">
        <f t="shared" si="226"/>
        <v>0</v>
      </c>
      <c r="AU27" s="339">
        <f t="shared" si="226"/>
        <v>0</v>
      </c>
      <c r="AV27" s="447"/>
      <c r="AW27" s="352"/>
      <c r="AX27" s="352">
        <f t="shared" ref="AX27:BQ28" si="229">IF(AX$3=$E27,$D27,0)</f>
        <v>0</v>
      </c>
      <c r="AY27" s="352">
        <f t="shared" si="229"/>
        <v>0</v>
      </c>
      <c r="AZ27" s="352">
        <f t="shared" si="229"/>
        <v>0</v>
      </c>
      <c r="BA27" s="352">
        <f t="shared" si="229"/>
        <v>0</v>
      </c>
      <c r="BB27" s="352">
        <f t="shared" si="229"/>
        <v>0</v>
      </c>
      <c r="BC27" s="352">
        <f t="shared" si="229"/>
        <v>0</v>
      </c>
      <c r="BD27" s="352">
        <f t="shared" si="229"/>
        <v>0</v>
      </c>
      <c r="BE27" s="352">
        <f t="shared" si="229"/>
        <v>0</v>
      </c>
      <c r="BF27" s="352">
        <f t="shared" si="229"/>
        <v>0</v>
      </c>
      <c r="BG27" s="352">
        <f t="shared" si="229"/>
        <v>0</v>
      </c>
      <c r="BH27" s="352">
        <f t="shared" si="229"/>
        <v>0</v>
      </c>
      <c r="BI27" s="352">
        <f t="shared" si="229"/>
        <v>0</v>
      </c>
      <c r="BJ27" s="339">
        <f t="shared" si="229"/>
        <v>0</v>
      </c>
      <c r="BK27" s="352">
        <f t="shared" si="229"/>
        <v>1278.6400000000001</v>
      </c>
      <c r="BL27" s="352">
        <f t="shared" si="229"/>
        <v>0</v>
      </c>
      <c r="BM27" s="352">
        <f t="shared" si="229"/>
        <v>0</v>
      </c>
      <c r="BN27" s="352">
        <f t="shared" si="229"/>
        <v>0</v>
      </c>
      <c r="BO27" s="352">
        <f t="shared" si="229"/>
        <v>0</v>
      </c>
      <c r="BP27" s="352">
        <f t="shared" si="229"/>
        <v>0</v>
      </c>
      <c r="BQ27" s="352">
        <f t="shared" si="229"/>
        <v>0</v>
      </c>
      <c r="BR27" s="376">
        <f t="shared" ref="BR27" si="230">SUM(AC27:AV27)-SUM(AX27:BQ27)</f>
        <v>0</v>
      </c>
    </row>
    <row r="28" spans="1:72" s="240" customFormat="1" ht="15" customHeight="1" x14ac:dyDescent="0.25">
      <c r="A28" s="240" t="s">
        <v>128</v>
      </c>
      <c r="C28" s="350"/>
      <c r="D28" s="447">
        <v>37470.720000000001</v>
      </c>
      <c r="E28" s="448" t="s">
        <v>257</v>
      </c>
      <c r="F28" s="450"/>
      <c r="G28" s="450"/>
      <c r="H28" s="450"/>
      <c r="I28" s="450"/>
      <c r="J28" s="450"/>
      <c r="K28" s="351">
        <v>0</v>
      </c>
      <c r="L28" s="449">
        <v>0</v>
      </c>
      <c r="M28" s="351">
        <v>0</v>
      </c>
      <c r="N28" s="351">
        <v>0</v>
      </c>
      <c r="O28" s="351">
        <v>0</v>
      </c>
      <c r="P28" s="351">
        <v>0</v>
      </c>
      <c r="Q28" s="351">
        <v>0</v>
      </c>
      <c r="R28" s="351">
        <v>0</v>
      </c>
      <c r="S28" s="351">
        <v>0.24999919937700857</v>
      </c>
      <c r="T28" s="351">
        <v>0</v>
      </c>
      <c r="U28" s="351">
        <v>0.25</v>
      </c>
      <c r="V28" s="351">
        <v>0.25</v>
      </c>
      <c r="W28" s="351">
        <f>1-(V28+U28+T28+S28)</f>
        <v>0.25000080062299146</v>
      </c>
      <c r="X28" s="351"/>
      <c r="Y28" s="351"/>
      <c r="Z28" s="449">
        <f>SUM(F28:X28)</f>
        <v>1</v>
      </c>
      <c r="AA28" s="350"/>
      <c r="AB28" s="350"/>
      <c r="AC28" s="339">
        <f t="shared" ref="AC28" si="231">F28*$D28</f>
        <v>0</v>
      </c>
      <c r="AD28" s="339">
        <f t="shared" ref="AD28" si="232">G28*$D28</f>
        <v>0</v>
      </c>
      <c r="AE28" s="339">
        <f t="shared" ref="AE28" si="233">H28*$D28</f>
        <v>0</v>
      </c>
      <c r="AF28" s="339">
        <f t="shared" ref="AF28" si="234">I28*$D28</f>
        <v>0</v>
      </c>
      <c r="AG28" s="339">
        <f t="shared" ref="AG28" si="235">J28*$D28</f>
        <v>0</v>
      </c>
      <c r="AH28" s="339">
        <f t="shared" ref="AH28" si="236">K28*$D28</f>
        <v>0</v>
      </c>
      <c r="AI28" s="339">
        <f t="shared" ref="AI28" si="237">L28*$D28</f>
        <v>0</v>
      </c>
      <c r="AJ28" s="339">
        <f t="shared" ref="AJ28" si="238">M28*$D28</f>
        <v>0</v>
      </c>
      <c r="AK28" s="339">
        <f t="shared" ref="AK28" si="239">N28*$D28</f>
        <v>0</v>
      </c>
      <c r="AL28" s="339">
        <f t="shared" ref="AL28" si="240">O28*$D28</f>
        <v>0</v>
      </c>
      <c r="AM28" s="339">
        <f t="shared" ref="AM28" si="241">P28*$D28</f>
        <v>0</v>
      </c>
      <c r="AN28" s="339">
        <f t="shared" ref="AN28" si="242">Q28*$D28</f>
        <v>0</v>
      </c>
      <c r="AO28" s="339">
        <f t="shared" ref="AO28" si="243">R28*$D28</f>
        <v>0</v>
      </c>
      <c r="AP28" s="339">
        <f t="shared" ref="AP28" si="244">S28*$D28</f>
        <v>9367.6500000800625</v>
      </c>
      <c r="AQ28" s="339">
        <f t="shared" ref="AQ28" si="245">T28*$D28</f>
        <v>0</v>
      </c>
      <c r="AR28" s="339">
        <f t="shared" ref="AR28" si="246">U28*$D28</f>
        <v>9367.68</v>
      </c>
      <c r="AS28" s="339">
        <f t="shared" ref="AS28" si="247">V28*$D28</f>
        <v>9367.68</v>
      </c>
      <c r="AT28" s="339">
        <f t="shared" ref="AT28" si="248">W28*$D28</f>
        <v>9367.7099999199381</v>
      </c>
      <c r="AU28" s="339">
        <f t="shared" ref="AU28" si="249">X28*$D28</f>
        <v>0</v>
      </c>
      <c r="AV28" s="447"/>
      <c r="AW28" s="352"/>
      <c r="AX28" s="352">
        <f t="shared" si="229"/>
        <v>0</v>
      </c>
      <c r="AY28" s="352">
        <f t="shared" si="229"/>
        <v>0</v>
      </c>
      <c r="AZ28" s="352">
        <f t="shared" si="229"/>
        <v>0</v>
      </c>
      <c r="BA28" s="352">
        <f t="shared" si="229"/>
        <v>0</v>
      </c>
      <c r="BB28" s="352">
        <f t="shared" si="229"/>
        <v>0</v>
      </c>
      <c r="BC28" s="352">
        <f t="shared" si="229"/>
        <v>0</v>
      </c>
      <c r="BD28" s="352">
        <f t="shared" si="229"/>
        <v>0</v>
      </c>
      <c r="BE28" s="352">
        <f t="shared" si="229"/>
        <v>0</v>
      </c>
      <c r="BF28" s="352">
        <f t="shared" si="229"/>
        <v>0</v>
      </c>
      <c r="BG28" s="352">
        <f t="shared" si="229"/>
        <v>0</v>
      </c>
      <c r="BH28" s="352">
        <f t="shared" si="229"/>
        <v>0</v>
      </c>
      <c r="BI28" s="352">
        <f t="shared" si="229"/>
        <v>0</v>
      </c>
      <c r="BJ28" s="339">
        <v>37470.82</v>
      </c>
      <c r="BK28" s="352">
        <v>-0.1</v>
      </c>
      <c r="BL28" s="352">
        <f t="shared" si="229"/>
        <v>0</v>
      </c>
      <c r="BM28" s="352">
        <f t="shared" si="229"/>
        <v>0</v>
      </c>
      <c r="BN28" s="352">
        <f t="shared" si="229"/>
        <v>0</v>
      </c>
      <c r="BO28" s="352">
        <f t="shared" si="229"/>
        <v>0</v>
      </c>
      <c r="BP28" s="352">
        <f t="shared" si="229"/>
        <v>0</v>
      </c>
      <c r="BQ28" s="352">
        <f t="shared" si="229"/>
        <v>0</v>
      </c>
      <c r="BR28" s="376">
        <f t="shared" ref="BR28" si="250">SUM(AC28:AV28)-SUM(AX28:BQ28)</f>
        <v>0</v>
      </c>
    </row>
    <row r="29" spans="1:72" s="240" customFormat="1" ht="15" customHeight="1" x14ac:dyDescent="0.25">
      <c r="A29" s="240" t="s">
        <v>129</v>
      </c>
      <c r="C29" s="350"/>
      <c r="D29" s="447">
        <v>2772876.18</v>
      </c>
      <c r="E29" s="350" t="s">
        <v>196</v>
      </c>
      <c r="F29" s="454"/>
      <c r="G29" s="454"/>
      <c r="H29" s="454"/>
      <c r="I29" s="454">
        <v>0</v>
      </c>
      <c r="J29" s="454"/>
      <c r="K29" s="454">
        <v>7.4766353252744222E-2</v>
      </c>
      <c r="L29" s="454">
        <v>5.6074764942302374E-2</v>
      </c>
      <c r="M29" s="454">
        <v>7.4766353250000001E-2</v>
      </c>
      <c r="N29" s="454">
        <v>3.7383176626372111E-2</v>
      </c>
      <c r="O29" s="454">
        <v>0.26168224359733216</v>
      </c>
      <c r="P29" s="454">
        <v>5.6074765913276363E-2</v>
      </c>
      <c r="Q29" s="454">
        <v>0.14953270650548844</v>
      </c>
      <c r="R29" s="454">
        <v>4.6728972000112889E-2</v>
      </c>
      <c r="S29" s="454">
        <v>0</v>
      </c>
      <c r="T29" s="454">
        <v>0.14953270650548844</v>
      </c>
      <c r="U29" s="454">
        <v>3.7383192467324911E-2</v>
      </c>
      <c r="V29" s="454">
        <f>1-(I29+J29+K29+L29+M29+N29+O29+P29+Q29+R29+S29+T29+U29)</f>
        <v>5.6074764939558208E-2</v>
      </c>
      <c r="W29" s="454"/>
      <c r="X29" s="423">
        <f>1-(W29+V29+U29+T29+S29+R29+Q29+P29+O29+N29+M29+L29+K29+J29+I29)</f>
        <v>0</v>
      </c>
      <c r="Y29" s="455"/>
      <c r="Z29" s="449">
        <f t="shared" si="21"/>
        <v>1</v>
      </c>
      <c r="AA29" s="350"/>
      <c r="AB29" s="350"/>
      <c r="AC29" s="352">
        <f t="shared" si="0"/>
        <v>0</v>
      </c>
      <c r="AD29" s="447">
        <f t="shared" si="1"/>
        <v>0</v>
      </c>
      <c r="AE29" s="447">
        <f t="shared" si="2"/>
        <v>0</v>
      </c>
      <c r="AF29" s="447">
        <f>I29*$D29</f>
        <v>0</v>
      </c>
      <c r="AG29" s="447">
        <f>J29*$D29</f>
        <v>0</v>
      </c>
      <c r="AH29" s="447">
        <f t="shared" si="22"/>
        <v>207317.84</v>
      </c>
      <c r="AI29" s="447">
        <f t="shared" si="23"/>
        <v>155488.38000760935</v>
      </c>
      <c r="AJ29" s="447">
        <f t="shared" si="24"/>
        <v>207317.8399923906</v>
      </c>
      <c r="AK29" s="447">
        <f>N29*$D29</f>
        <v>103658.92</v>
      </c>
      <c r="AL29" s="447">
        <f>O29*$D29</f>
        <v>725612.46</v>
      </c>
      <c r="AM29" s="339">
        <f t="shared" si="8"/>
        <v>155488.38269999999</v>
      </c>
      <c r="AN29" s="339">
        <f t="shared" si="9"/>
        <v>414635.68</v>
      </c>
      <c r="AO29" s="339">
        <f t="shared" si="10"/>
        <v>129573.65337499999</v>
      </c>
      <c r="AP29" s="339">
        <f t="shared" si="11"/>
        <v>0</v>
      </c>
      <c r="AQ29" s="339">
        <f t="shared" si="12"/>
        <v>414635.68</v>
      </c>
      <c r="AR29" s="339">
        <f t="shared" si="13"/>
        <v>103658.96392500067</v>
      </c>
      <c r="AS29" s="339">
        <f t="shared" si="14"/>
        <v>155488.38000000009</v>
      </c>
      <c r="AT29" s="339">
        <f t="shared" si="15"/>
        <v>0</v>
      </c>
      <c r="AU29" s="352">
        <f t="shared" si="16"/>
        <v>0</v>
      </c>
      <c r="AV29" s="352"/>
      <c r="AW29" s="352"/>
      <c r="AX29" s="352">
        <f t="shared" si="17"/>
        <v>0</v>
      </c>
      <c r="AY29" s="339">
        <f t="shared" si="17"/>
        <v>0</v>
      </c>
      <c r="AZ29" s="339">
        <f t="shared" si="17"/>
        <v>0</v>
      </c>
      <c r="BA29" s="339">
        <f t="shared" si="17"/>
        <v>2772876.18</v>
      </c>
      <c r="BB29" s="339">
        <f t="shared" si="17"/>
        <v>0</v>
      </c>
      <c r="BC29" s="339">
        <f t="shared" si="17"/>
        <v>0</v>
      </c>
      <c r="BD29" s="339">
        <f t="shared" si="17"/>
        <v>0</v>
      </c>
      <c r="BE29" s="339">
        <f t="shared" si="17"/>
        <v>0</v>
      </c>
      <c r="BF29" s="339">
        <f t="shared" si="17"/>
        <v>0</v>
      </c>
      <c r="BG29" s="339">
        <f t="shared" si="17"/>
        <v>0</v>
      </c>
      <c r="BH29" s="339">
        <f t="shared" si="17"/>
        <v>0</v>
      </c>
      <c r="BI29" s="352">
        <f t="shared" si="17"/>
        <v>0</v>
      </c>
      <c r="BJ29" s="352">
        <f t="shared" si="17"/>
        <v>0</v>
      </c>
      <c r="BK29" s="352">
        <f t="shared" si="17"/>
        <v>0</v>
      </c>
      <c r="BL29" s="352">
        <f t="shared" si="17"/>
        <v>0</v>
      </c>
      <c r="BM29" s="352">
        <f t="shared" si="166"/>
        <v>0</v>
      </c>
      <c r="BN29" s="352">
        <f t="shared" si="145"/>
        <v>0</v>
      </c>
      <c r="BO29" s="352">
        <f t="shared" si="145"/>
        <v>0</v>
      </c>
      <c r="BP29" s="352">
        <f t="shared" si="145"/>
        <v>0</v>
      </c>
      <c r="BQ29" s="352">
        <f t="shared" si="145"/>
        <v>0</v>
      </c>
      <c r="BR29" s="376">
        <f t="shared" si="20"/>
        <v>0</v>
      </c>
      <c r="BT29" s="456"/>
    </row>
    <row r="30" spans="1:72" s="240" customFormat="1" ht="15" customHeight="1" x14ac:dyDescent="0.25">
      <c r="A30" s="240" t="s">
        <v>131</v>
      </c>
      <c r="C30" s="350"/>
      <c r="D30" s="447">
        <v>23.99</v>
      </c>
      <c r="E30" s="350" t="s">
        <v>178</v>
      </c>
      <c r="F30" s="454"/>
      <c r="G30" s="454"/>
      <c r="H30" s="454"/>
      <c r="I30" s="454"/>
      <c r="J30" s="454">
        <v>0</v>
      </c>
      <c r="K30" s="454">
        <v>0</v>
      </c>
      <c r="L30" s="454">
        <v>1</v>
      </c>
      <c r="M30" s="454">
        <v>0</v>
      </c>
      <c r="N30" s="454"/>
      <c r="O30" s="454"/>
      <c r="P30" s="454"/>
      <c r="Q30" s="454"/>
      <c r="R30" s="454"/>
      <c r="S30" s="454"/>
      <c r="T30" s="351"/>
      <c r="U30" s="351"/>
      <c r="V30" s="351"/>
      <c r="W30" s="351"/>
      <c r="X30" s="351"/>
      <c r="Y30" s="351"/>
      <c r="Z30" s="449">
        <f t="shared" si="21"/>
        <v>1</v>
      </c>
      <c r="AA30" s="350"/>
      <c r="AB30" s="350"/>
      <c r="AC30" s="352">
        <f t="shared" ref="AC30" si="251">F30*$D30</f>
        <v>0</v>
      </c>
      <c r="AD30" s="447">
        <f t="shared" ref="AD30" si="252">G30*$D30</f>
        <v>0</v>
      </c>
      <c r="AE30" s="447">
        <f t="shared" ref="AE30" si="253">H30*$D30</f>
        <v>0</v>
      </c>
      <c r="AF30" s="447">
        <f t="shared" ref="AF30" si="254">I30*$D30</f>
        <v>0</v>
      </c>
      <c r="AG30" s="447">
        <f t="shared" ref="AG30:AG35" si="255">J30*$D30</f>
        <v>0</v>
      </c>
      <c r="AH30" s="447">
        <f t="shared" ref="AH30" si="256">K30*$D30</f>
        <v>0</v>
      </c>
      <c r="AI30" s="447">
        <f t="shared" ref="AI30" si="257">L30*$D30</f>
        <v>23.99</v>
      </c>
      <c r="AJ30" s="447">
        <f t="shared" ref="AJ30" si="258">M30*$D30</f>
        <v>0</v>
      </c>
      <c r="AK30" s="447">
        <f t="shared" ref="AK30" si="259">N30*$D30</f>
        <v>0</v>
      </c>
      <c r="AL30" s="352">
        <f t="shared" ref="AL30" si="260">O30*$D30</f>
        <v>0</v>
      </c>
      <c r="AM30" s="352">
        <f t="shared" ref="AM30" si="261">P30*$D30</f>
        <v>0</v>
      </c>
      <c r="AN30" s="352">
        <f t="shared" ref="AN30" si="262">Q30*$D30</f>
        <v>0</v>
      </c>
      <c r="AO30" s="352">
        <f t="shared" ref="AO30" si="263">R30*$D30</f>
        <v>0</v>
      </c>
      <c r="AP30" s="339">
        <f t="shared" ref="AP30" si="264">S30*$D30</f>
        <v>0</v>
      </c>
      <c r="AQ30" s="339">
        <f t="shared" ref="AQ30" si="265">T30*$D30</f>
        <v>0</v>
      </c>
      <c r="AR30" s="339">
        <f t="shared" si="13"/>
        <v>0</v>
      </c>
      <c r="AS30" s="339">
        <f t="shared" si="14"/>
        <v>0</v>
      </c>
      <c r="AT30" s="339">
        <f t="shared" si="15"/>
        <v>0</v>
      </c>
      <c r="AU30" s="352">
        <f t="shared" si="16"/>
        <v>0</v>
      </c>
      <c r="AV30" s="352"/>
      <c r="AW30" s="352"/>
      <c r="AX30" s="352">
        <f t="shared" si="17"/>
        <v>0</v>
      </c>
      <c r="AY30" s="352">
        <f t="shared" si="17"/>
        <v>0</v>
      </c>
      <c r="AZ30" s="352">
        <f t="shared" si="17"/>
        <v>0</v>
      </c>
      <c r="BA30" s="352">
        <f t="shared" ref="BA30:BL30" si="266">IF(BA$3=$E30,$D30,0)</f>
        <v>0</v>
      </c>
      <c r="BB30" s="352">
        <v>0</v>
      </c>
      <c r="BC30" s="352">
        <v>0</v>
      </c>
      <c r="BD30" s="447">
        <f t="shared" si="266"/>
        <v>23.99</v>
      </c>
      <c r="BE30" s="352">
        <f t="shared" si="266"/>
        <v>0</v>
      </c>
      <c r="BF30" s="352">
        <f t="shared" si="266"/>
        <v>0</v>
      </c>
      <c r="BG30" s="352">
        <f t="shared" si="266"/>
        <v>0</v>
      </c>
      <c r="BH30" s="352">
        <f t="shared" si="266"/>
        <v>0</v>
      </c>
      <c r="BI30" s="352">
        <f t="shared" si="266"/>
        <v>0</v>
      </c>
      <c r="BJ30" s="352">
        <f t="shared" si="266"/>
        <v>0</v>
      </c>
      <c r="BK30" s="352">
        <f t="shared" si="266"/>
        <v>0</v>
      </c>
      <c r="BL30" s="352">
        <f t="shared" si="266"/>
        <v>0</v>
      </c>
      <c r="BM30" s="352">
        <f t="shared" si="166"/>
        <v>0</v>
      </c>
      <c r="BN30" s="352">
        <f t="shared" si="145"/>
        <v>0</v>
      </c>
      <c r="BO30" s="352">
        <f t="shared" si="145"/>
        <v>0</v>
      </c>
      <c r="BP30" s="352">
        <f t="shared" si="145"/>
        <v>0</v>
      </c>
      <c r="BQ30" s="352">
        <f t="shared" si="145"/>
        <v>0</v>
      </c>
      <c r="BR30" s="376">
        <f t="shared" si="20"/>
        <v>0</v>
      </c>
    </row>
    <row r="31" spans="1:72" s="240" customFormat="1" ht="15" customHeight="1" x14ac:dyDescent="0.25">
      <c r="A31" s="240" t="s">
        <v>131</v>
      </c>
      <c r="C31" s="350"/>
      <c r="D31" s="447">
        <v>56.92</v>
      </c>
      <c r="E31" s="350" t="s">
        <v>178</v>
      </c>
      <c r="F31" s="454"/>
      <c r="G31" s="454"/>
      <c r="H31" s="454"/>
      <c r="I31" s="454"/>
      <c r="J31" s="454">
        <v>0</v>
      </c>
      <c r="K31" s="454">
        <v>0</v>
      </c>
      <c r="L31" s="454">
        <v>0</v>
      </c>
      <c r="M31" s="454">
        <v>1</v>
      </c>
      <c r="N31" s="454"/>
      <c r="O31" s="454"/>
      <c r="P31" s="454"/>
      <c r="Q31" s="454"/>
      <c r="R31" s="454"/>
      <c r="S31" s="454"/>
      <c r="T31" s="351"/>
      <c r="U31" s="351"/>
      <c r="V31" s="351"/>
      <c r="W31" s="351"/>
      <c r="X31" s="351"/>
      <c r="Y31" s="351"/>
      <c r="Z31" s="449">
        <f t="shared" si="21"/>
        <v>1</v>
      </c>
      <c r="AA31" s="350"/>
      <c r="AB31" s="350"/>
      <c r="AC31" s="352">
        <f t="shared" si="0"/>
        <v>0</v>
      </c>
      <c r="AD31" s="447">
        <f t="shared" si="1"/>
        <v>0</v>
      </c>
      <c r="AE31" s="447">
        <f t="shared" si="2"/>
        <v>0</v>
      </c>
      <c r="AF31" s="447">
        <f t="shared" ref="AF31" si="267">I31*$D31</f>
        <v>0</v>
      </c>
      <c r="AG31" s="447">
        <f t="shared" si="255"/>
        <v>0</v>
      </c>
      <c r="AH31" s="447">
        <f t="shared" si="22"/>
        <v>0</v>
      </c>
      <c r="AI31" s="447">
        <f t="shared" si="23"/>
        <v>0</v>
      </c>
      <c r="AJ31" s="447">
        <f t="shared" si="24"/>
        <v>56.92</v>
      </c>
      <c r="AK31" s="447">
        <f>N31*$D31</f>
        <v>0</v>
      </c>
      <c r="AL31" s="352">
        <f t="shared" si="19"/>
        <v>0</v>
      </c>
      <c r="AM31" s="352">
        <f t="shared" si="8"/>
        <v>0</v>
      </c>
      <c r="AN31" s="352">
        <f t="shared" si="9"/>
        <v>0</v>
      </c>
      <c r="AO31" s="352">
        <f t="shared" si="10"/>
        <v>0</v>
      </c>
      <c r="AP31" s="339">
        <f t="shared" si="11"/>
        <v>0</v>
      </c>
      <c r="AQ31" s="339">
        <f t="shared" si="12"/>
        <v>0</v>
      </c>
      <c r="AR31" s="339">
        <f t="shared" si="13"/>
        <v>0</v>
      </c>
      <c r="AS31" s="339">
        <f t="shared" si="14"/>
        <v>0</v>
      </c>
      <c r="AT31" s="339">
        <f t="shared" si="15"/>
        <v>0</v>
      </c>
      <c r="AU31" s="352">
        <f t="shared" si="16"/>
        <v>0</v>
      </c>
      <c r="AV31" s="352"/>
      <c r="AW31" s="352"/>
      <c r="AX31" s="352">
        <f t="shared" si="17"/>
        <v>0</v>
      </c>
      <c r="AY31" s="352">
        <f t="shared" si="17"/>
        <v>0</v>
      </c>
      <c r="AZ31" s="352">
        <f t="shared" si="17"/>
        <v>0</v>
      </c>
      <c r="BA31" s="352">
        <f t="shared" si="17"/>
        <v>0</v>
      </c>
      <c r="BB31" s="352">
        <v>0</v>
      </c>
      <c r="BC31" s="352">
        <v>0</v>
      </c>
      <c r="BD31" s="352">
        <f t="shared" si="17"/>
        <v>56.92</v>
      </c>
      <c r="BE31" s="447">
        <f t="shared" si="17"/>
        <v>0</v>
      </c>
      <c r="BF31" s="352">
        <f t="shared" si="17"/>
        <v>0</v>
      </c>
      <c r="BG31" s="352">
        <f t="shared" si="17"/>
        <v>0</v>
      </c>
      <c r="BH31" s="352">
        <f t="shared" si="17"/>
        <v>0</v>
      </c>
      <c r="BI31" s="352">
        <f t="shared" si="17"/>
        <v>0</v>
      </c>
      <c r="BJ31" s="352">
        <f t="shared" si="17"/>
        <v>0</v>
      </c>
      <c r="BK31" s="352">
        <f t="shared" si="17"/>
        <v>0</v>
      </c>
      <c r="BL31" s="352">
        <f t="shared" si="17"/>
        <v>0</v>
      </c>
      <c r="BM31" s="352">
        <f t="shared" si="166"/>
        <v>0</v>
      </c>
      <c r="BN31" s="352">
        <f t="shared" si="145"/>
        <v>0</v>
      </c>
      <c r="BO31" s="352">
        <f t="shared" si="145"/>
        <v>0</v>
      </c>
      <c r="BP31" s="352">
        <f t="shared" si="145"/>
        <v>0</v>
      </c>
      <c r="BQ31" s="352">
        <f t="shared" si="145"/>
        <v>0</v>
      </c>
      <c r="BR31" s="376">
        <f t="shared" si="20"/>
        <v>0</v>
      </c>
    </row>
    <row r="32" spans="1:72" s="240" customFormat="1" ht="15" customHeight="1" x14ac:dyDescent="0.25">
      <c r="A32" s="240" t="s">
        <v>132</v>
      </c>
      <c r="B32" s="313"/>
      <c r="C32" s="350"/>
      <c r="D32" s="447">
        <v>36998.879999999997</v>
      </c>
      <c r="E32" s="350" t="s">
        <v>164</v>
      </c>
      <c r="F32" s="351"/>
      <c r="G32" s="351"/>
      <c r="H32" s="351"/>
      <c r="I32" s="351">
        <v>0.24325060650484556</v>
      </c>
      <c r="J32" s="351">
        <v>0.26195171313293808</v>
      </c>
      <c r="K32" s="351">
        <v>0.23700393092980113</v>
      </c>
      <c r="L32" s="351">
        <v>0.25779374943241529</v>
      </c>
      <c r="M32" s="351">
        <v>0</v>
      </c>
      <c r="N32" s="351"/>
      <c r="O32" s="351"/>
      <c r="P32" s="351"/>
      <c r="Q32" s="351"/>
      <c r="R32" s="450"/>
      <c r="S32" s="450"/>
      <c r="T32" s="450"/>
      <c r="U32" s="450"/>
      <c r="V32" s="450"/>
      <c r="W32" s="450"/>
      <c r="X32" s="450"/>
      <c r="Y32" s="450"/>
      <c r="Z32" s="449">
        <f t="shared" si="21"/>
        <v>1</v>
      </c>
      <c r="AA32" s="350"/>
      <c r="AB32" s="350"/>
      <c r="AC32" s="352">
        <f t="shared" si="0"/>
        <v>0</v>
      </c>
      <c r="AD32" s="352">
        <f t="shared" si="1"/>
        <v>0</v>
      </c>
      <c r="AE32" s="352">
        <f t="shared" si="2"/>
        <v>0</v>
      </c>
      <c r="AF32" s="352">
        <f t="shared" si="3"/>
        <v>9000</v>
      </c>
      <c r="AG32" s="447">
        <f t="shared" si="255"/>
        <v>9691.92</v>
      </c>
      <c r="AH32" s="447">
        <f t="shared" si="22"/>
        <v>8768.8799999999992</v>
      </c>
      <c r="AI32" s="447">
        <f t="shared" si="23"/>
        <v>9538.08</v>
      </c>
      <c r="AJ32" s="447">
        <f t="shared" si="24"/>
        <v>0</v>
      </c>
      <c r="AK32" s="447">
        <f>N32*$D32</f>
        <v>0</v>
      </c>
      <c r="AL32" s="447">
        <f t="shared" si="19"/>
        <v>0</v>
      </c>
      <c r="AM32" s="447">
        <f t="shared" si="8"/>
        <v>0</v>
      </c>
      <c r="AN32" s="447">
        <f t="shared" si="9"/>
        <v>0</v>
      </c>
      <c r="AO32" s="447">
        <f t="shared" si="10"/>
        <v>0</v>
      </c>
      <c r="AP32" s="339">
        <f t="shared" si="11"/>
        <v>0</v>
      </c>
      <c r="AQ32" s="339">
        <f t="shared" si="12"/>
        <v>0</v>
      </c>
      <c r="AR32" s="339">
        <f t="shared" si="13"/>
        <v>0</v>
      </c>
      <c r="AS32" s="339">
        <f t="shared" si="14"/>
        <v>0</v>
      </c>
      <c r="AT32" s="339">
        <f t="shared" si="15"/>
        <v>0</v>
      </c>
      <c r="AU32" s="352">
        <f t="shared" si="16"/>
        <v>0</v>
      </c>
      <c r="AV32" s="352"/>
      <c r="AW32" s="352"/>
      <c r="AX32" s="352">
        <f t="shared" si="17"/>
        <v>0</v>
      </c>
      <c r="AY32" s="352">
        <f t="shared" si="17"/>
        <v>0</v>
      </c>
      <c r="AZ32" s="447">
        <f t="shared" ref="AZ32:BA62" si="268">IF(AZ$3=$E32,$D32,0)</f>
        <v>36998.879999999997</v>
      </c>
      <c r="BA32" s="352">
        <f t="shared" si="268"/>
        <v>0</v>
      </c>
      <c r="BB32" s="352">
        <f t="shared" si="17"/>
        <v>0</v>
      </c>
      <c r="BC32" s="352">
        <f t="shared" si="17"/>
        <v>0</v>
      </c>
      <c r="BD32" s="352">
        <f t="shared" si="17"/>
        <v>0</v>
      </c>
      <c r="BE32" s="352">
        <f t="shared" si="17"/>
        <v>0</v>
      </c>
      <c r="BF32" s="352">
        <f t="shared" si="17"/>
        <v>0</v>
      </c>
      <c r="BG32" s="352">
        <f t="shared" si="17"/>
        <v>0</v>
      </c>
      <c r="BH32" s="352">
        <f t="shared" si="17"/>
        <v>0</v>
      </c>
      <c r="BI32" s="352">
        <f t="shared" si="17"/>
        <v>0</v>
      </c>
      <c r="BJ32" s="352">
        <f t="shared" si="17"/>
        <v>0</v>
      </c>
      <c r="BK32" s="352">
        <f t="shared" si="17"/>
        <v>0</v>
      </c>
      <c r="BL32" s="352">
        <f t="shared" si="17"/>
        <v>0</v>
      </c>
      <c r="BM32" s="352">
        <f t="shared" si="166"/>
        <v>0</v>
      </c>
      <c r="BN32" s="352">
        <f t="shared" si="145"/>
        <v>0</v>
      </c>
      <c r="BO32" s="352">
        <f t="shared" si="145"/>
        <v>0</v>
      </c>
      <c r="BP32" s="352">
        <f t="shared" si="145"/>
        <v>0</v>
      </c>
      <c r="BQ32" s="352">
        <f t="shared" si="145"/>
        <v>0</v>
      </c>
      <c r="BR32" s="376">
        <f t="shared" si="20"/>
        <v>0</v>
      </c>
    </row>
    <row r="33" spans="1:70" s="240" customFormat="1" ht="15" customHeight="1" x14ac:dyDescent="0.25">
      <c r="A33" s="240" t="s">
        <v>132</v>
      </c>
      <c r="B33" s="313"/>
      <c r="C33" s="350"/>
      <c r="D33" s="447">
        <f>99000+851.16</f>
        <v>99851.16</v>
      </c>
      <c r="E33" s="350" t="s">
        <v>164</v>
      </c>
      <c r="F33" s="351"/>
      <c r="G33" s="351"/>
      <c r="H33" s="454">
        <v>0</v>
      </c>
      <c r="I33" s="454">
        <v>0.33049190415013707</v>
      </c>
      <c r="J33" s="454">
        <v>0.27120045475686017</v>
      </c>
      <c r="K33" s="454">
        <v>0.26270741371457274</v>
      </c>
      <c r="L33" s="351">
        <v>0.13560022737843005</v>
      </c>
      <c r="M33" s="351"/>
      <c r="N33" s="351"/>
      <c r="O33" s="450"/>
      <c r="P33" s="450"/>
      <c r="Q33" s="351"/>
      <c r="R33" s="351"/>
      <c r="S33" s="351"/>
      <c r="T33" s="351"/>
      <c r="U33" s="351"/>
      <c r="V33" s="351"/>
      <c r="W33" s="351"/>
      <c r="X33" s="351"/>
      <c r="Y33" s="351"/>
      <c r="Z33" s="449">
        <f>SUM(F33:X33)</f>
        <v>1</v>
      </c>
      <c r="AA33" s="350"/>
      <c r="AB33" s="350"/>
      <c r="AC33" s="352">
        <f t="shared" ref="AC33:AF35" si="269">F33*$D33</f>
        <v>0</v>
      </c>
      <c r="AD33" s="352">
        <f t="shared" si="269"/>
        <v>0</v>
      </c>
      <c r="AE33" s="352">
        <f t="shared" si="269"/>
        <v>0</v>
      </c>
      <c r="AF33" s="352">
        <f t="shared" si="269"/>
        <v>33000</v>
      </c>
      <c r="AG33" s="352">
        <f t="shared" si="255"/>
        <v>27079.680000000008</v>
      </c>
      <c r="AH33" s="352">
        <f t="shared" ref="AH33:AJ35" si="270">K33*$D33</f>
        <v>26231.639999999996</v>
      </c>
      <c r="AI33" s="447">
        <f t="shared" si="270"/>
        <v>13539.84</v>
      </c>
      <c r="AJ33" s="447">
        <f t="shared" si="270"/>
        <v>0</v>
      </c>
      <c r="AK33" s="447">
        <f>N33*$D33</f>
        <v>0</v>
      </c>
      <c r="AL33" s="447">
        <f t="shared" ref="AL33:AU35" si="271">O33*$D33</f>
        <v>0</v>
      </c>
      <c r="AM33" s="447">
        <f t="shared" si="271"/>
        <v>0</v>
      </c>
      <c r="AN33" s="447">
        <f t="shared" si="271"/>
        <v>0</v>
      </c>
      <c r="AO33" s="447">
        <f t="shared" si="271"/>
        <v>0</v>
      </c>
      <c r="AP33" s="339">
        <f t="shared" si="271"/>
        <v>0</v>
      </c>
      <c r="AQ33" s="339">
        <f t="shared" si="271"/>
        <v>0</v>
      </c>
      <c r="AR33" s="339">
        <f t="shared" si="271"/>
        <v>0</v>
      </c>
      <c r="AS33" s="339">
        <f t="shared" si="271"/>
        <v>0</v>
      </c>
      <c r="AT33" s="339">
        <f t="shared" si="271"/>
        <v>0</v>
      </c>
      <c r="AU33" s="352">
        <f t="shared" si="271"/>
        <v>0</v>
      </c>
      <c r="AV33" s="352"/>
      <c r="AW33" s="352"/>
      <c r="AX33" s="352">
        <f t="shared" ref="AX33:BG33" si="272">IF(AX$3=$E33,$D33,0)</f>
        <v>0</v>
      </c>
      <c r="AY33" s="352">
        <f t="shared" si="272"/>
        <v>0</v>
      </c>
      <c r="AZ33" s="447">
        <f t="shared" si="272"/>
        <v>99851.16</v>
      </c>
      <c r="BA33" s="352">
        <f t="shared" si="272"/>
        <v>0</v>
      </c>
      <c r="BB33" s="352">
        <f t="shared" si="272"/>
        <v>0</v>
      </c>
      <c r="BC33" s="352">
        <f t="shared" si="272"/>
        <v>0</v>
      </c>
      <c r="BD33" s="352">
        <f t="shared" si="272"/>
        <v>0</v>
      </c>
      <c r="BE33" s="352">
        <f t="shared" si="272"/>
        <v>0</v>
      </c>
      <c r="BF33" s="352">
        <f t="shared" si="272"/>
        <v>0</v>
      </c>
      <c r="BG33" s="352">
        <f t="shared" si="272"/>
        <v>0</v>
      </c>
      <c r="BH33" s="352">
        <f t="shared" si="17"/>
        <v>0</v>
      </c>
      <c r="BI33" s="352">
        <f t="shared" si="17"/>
        <v>0</v>
      </c>
      <c r="BJ33" s="352">
        <f t="shared" si="17"/>
        <v>0</v>
      </c>
      <c r="BK33" s="352">
        <f t="shared" si="17"/>
        <v>0</v>
      </c>
      <c r="BL33" s="352">
        <f t="shared" si="17"/>
        <v>0</v>
      </c>
      <c r="BM33" s="352">
        <f t="shared" si="17"/>
        <v>0</v>
      </c>
      <c r="BN33" s="352">
        <f t="shared" si="17"/>
        <v>0</v>
      </c>
      <c r="BO33" s="352">
        <f t="shared" si="145"/>
        <v>0</v>
      </c>
      <c r="BP33" s="352">
        <f t="shared" si="145"/>
        <v>0</v>
      </c>
      <c r="BQ33" s="352">
        <f t="shared" si="145"/>
        <v>0</v>
      </c>
      <c r="BR33" s="376">
        <f t="shared" si="20"/>
        <v>0</v>
      </c>
    </row>
    <row r="34" spans="1:70" s="240" customFormat="1" ht="15" customHeight="1" x14ac:dyDescent="0.25">
      <c r="A34" s="240" t="s">
        <v>132</v>
      </c>
      <c r="B34" s="313"/>
      <c r="C34" s="350"/>
      <c r="D34" s="447">
        <v>4000</v>
      </c>
      <c r="E34" s="350" t="s">
        <v>164</v>
      </c>
      <c r="F34" s="351"/>
      <c r="G34" s="351"/>
      <c r="H34" s="351">
        <v>1</v>
      </c>
      <c r="I34" s="351"/>
      <c r="J34" s="351"/>
      <c r="K34" s="351"/>
      <c r="L34" s="351"/>
      <c r="M34" s="351"/>
      <c r="N34" s="351"/>
      <c r="O34" s="450"/>
      <c r="P34" s="450"/>
      <c r="Q34" s="351"/>
      <c r="R34" s="351"/>
      <c r="S34" s="351"/>
      <c r="T34" s="351"/>
      <c r="U34" s="351"/>
      <c r="V34" s="351"/>
      <c r="W34" s="351"/>
      <c r="X34" s="351"/>
      <c r="Y34" s="351"/>
      <c r="Z34" s="449">
        <f>SUM(F34:X34)</f>
        <v>1</v>
      </c>
      <c r="AA34" s="350"/>
      <c r="AB34" s="350"/>
      <c r="AC34" s="352">
        <f t="shared" si="269"/>
        <v>0</v>
      </c>
      <c r="AD34" s="352">
        <f t="shared" si="269"/>
        <v>0</v>
      </c>
      <c r="AE34" s="352">
        <f t="shared" si="269"/>
        <v>4000</v>
      </c>
      <c r="AF34" s="352">
        <f t="shared" si="269"/>
        <v>0</v>
      </c>
      <c r="AG34" s="352">
        <f t="shared" si="255"/>
        <v>0</v>
      </c>
      <c r="AH34" s="352">
        <f t="shared" si="270"/>
        <v>0</v>
      </c>
      <c r="AI34" s="447">
        <f t="shared" si="270"/>
        <v>0</v>
      </c>
      <c r="AJ34" s="447">
        <f t="shared" si="270"/>
        <v>0</v>
      </c>
      <c r="AK34" s="447">
        <f>N34*$D34</f>
        <v>0</v>
      </c>
      <c r="AL34" s="447">
        <f t="shared" si="271"/>
        <v>0</v>
      </c>
      <c r="AM34" s="447">
        <f t="shared" si="271"/>
        <v>0</v>
      </c>
      <c r="AN34" s="447">
        <f t="shared" si="271"/>
        <v>0</v>
      </c>
      <c r="AO34" s="447">
        <f t="shared" si="271"/>
        <v>0</v>
      </c>
      <c r="AP34" s="339">
        <f t="shared" si="271"/>
        <v>0</v>
      </c>
      <c r="AQ34" s="339">
        <f t="shared" si="271"/>
        <v>0</v>
      </c>
      <c r="AR34" s="339">
        <f t="shared" si="271"/>
        <v>0</v>
      </c>
      <c r="AS34" s="339">
        <f t="shared" si="271"/>
        <v>0</v>
      </c>
      <c r="AT34" s="339">
        <f t="shared" si="271"/>
        <v>0</v>
      </c>
      <c r="AU34" s="352">
        <f t="shared" si="271"/>
        <v>0</v>
      </c>
      <c r="AV34" s="352"/>
      <c r="AW34" s="352"/>
      <c r="AX34" s="352">
        <f t="shared" si="145"/>
        <v>0</v>
      </c>
      <c r="AY34" s="352">
        <f t="shared" si="145"/>
        <v>0</v>
      </c>
      <c r="AZ34" s="447">
        <f t="shared" si="145"/>
        <v>4000</v>
      </c>
      <c r="BA34" s="352">
        <f t="shared" si="145"/>
        <v>0</v>
      </c>
      <c r="BB34" s="352">
        <f t="shared" si="145"/>
        <v>0</v>
      </c>
      <c r="BC34" s="352">
        <f t="shared" si="145"/>
        <v>0</v>
      </c>
      <c r="BD34" s="352">
        <f t="shared" si="145"/>
        <v>0</v>
      </c>
      <c r="BE34" s="352">
        <f t="shared" si="145"/>
        <v>0</v>
      </c>
      <c r="BF34" s="352">
        <f t="shared" si="145"/>
        <v>0</v>
      </c>
      <c r="BG34" s="352">
        <f t="shared" si="145"/>
        <v>0</v>
      </c>
      <c r="BH34" s="352">
        <f t="shared" si="145"/>
        <v>0</v>
      </c>
      <c r="BI34" s="352">
        <f t="shared" si="145"/>
        <v>0</v>
      </c>
      <c r="BJ34" s="352">
        <f t="shared" si="145"/>
        <v>0</v>
      </c>
      <c r="BK34" s="352">
        <f t="shared" si="145"/>
        <v>0</v>
      </c>
      <c r="BL34" s="352">
        <f t="shared" si="145"/>
        <v>0</v>
      </c>
      <c r="BM34" s="352">
        <f t="shared" si="145"/>
        <v>0</v>
      </c>
      <c r="BN34" s="352">
        <f t="shared" si="145"/>
        <v>0</v>
      </c>
      <c r="BO34" s="352">
        <f t="shared" si="145"/>
        <v>0</v>
      </c>
      <c r="BP34" s="352">
        <f t="shared" si="145"/>
        <v>0</v>
      </c>
      <c r="BQ34" s="352">
        <f t="shared" ref="BQ34:BQ44" si="273">IF(BQ$3=$E34,$D34,0)</f>
        <v>0</v>
      </c>
      <c r="BR34" s="376">
        <f t="shared" si="20"/>
        <v>0</v>
      </c>
    </row>
    <row r="35" spans="1:70" s="240" customFormat="1" ht="15" customHeight="1" x14ac:dyDescent="0.25">
      <c r="A35" s="240" t="s">
        <v>132</v>
      </c>
      <c r="B35" s="313"/>
      <c r="C35" s="350"/>
      <c r="D35" s="447">
        <v>1500</v>
      </c>
      <c r="E35" s="350" t="s">
        <v>196</v>
      </c>
      <c r="F35" s="351"/>
      <c r="G35" s="351"/>
      <c r="H35" s="351"/>
      <c r="I35" s="351">
        <v>1</v>
      </c>
      <c r="J35" s="351"/>
      <c r="K35" s="351">
        <v>0</v>
      </c>
      <c r="L35" s="351"/>
      <c r="M35" s="351"/>
      <c r="N35" s="351"/>
      <c r="O35" s="351"/>
      <c r="P35" s="351"/>
      <c r="Q35" s="351"/>
      <c r="R35" s="450"/>
      <c r="S35" s="450"/>
      <c r="T35" s="450"/>
      <c r="U35" s="450"/>
      <c r="V35" s="450"/>
      <c r="W35" s="450"/>
      <c r="X35" s="450"/>
      <c r="Y35" s="450"/>
      <c r="Z35" s="449">
        <f>SUM(F35:X35)</f>
        <v>1</v>
      </c>
      <c r="AA35" s="350"/>
      <c r="AB35" s="350"/>
      <c r="AC35" s="352">
        <f t="shared" si="269"/>
        <v>0</v>
      </c>
      <c r="AD35" s="352">
        <f t="shared" si="269"/>
        <v>0</v>
      </c>
      <c r="AE35" s="352">
        <f t="shared" si="269"/>
        <v>0</v>
      </c>
      <c r="AF35" s="352">
        <f t="shared" si="269"/>
        <v>1500</v>
      </c>
      <c r="AG35" s="352">
        <f t="shared" si="255"/>
        <v>0</v>
      </c>
      <c r="AH35" s="352">
        <f t="shared" si="270"/>
        <v>0</v>
      </c>
      <c r="AI35" s="447">
        <f t="shared" si="270"/>
        <v>0</v>
      </c>
      <c r="AJ35" s="447">
        <f t="shared" si="270"/>
        <v>0</v>
      </c>
      <c r="AK35" s="447">
        <f>N35*$D35</f>
        <v>0</v>
      </c>
      <c r="AL35" s="447">
        <f t="shared" si="271"/>
        <v>0</v>
      </c>
      <c r="AM35" s="447">
        <f t="shared" si="271"/>
        <v>0</v>
      </c>
      <c r="AN35" s="447">
        <f t="shared" si="271"/>
        <v>0</v>
      </c>
      <c r="AO35" s="447">
        <f t="shared" si="271"/>
        <v>0</v>
      </c>
      <c r="AP35" s="339">
        <f t="shared" si="271"/>
        <v>0</v>
      </c>
      <c r="AQ35" s="339">
        <f t="shared" si="271"/>
        <v>0</v>
      </c>
      <c r="AR35" s="339">
        <f t="shared" si="271"/>
        <v>0</v>
      </c>
      <c r="AS35" s="339">
        <f t="shared" si="271"/>
        <v>0</v>
      </c>
      <c r="AT35" s="339">
        <f t="shared" si="271"/>
        <v>0</v>
      </c>
      <c r="AU35" s="352">
        <f t="shared" si="271"/>
        <v>0</v>
      </c>
      <c r="AV35" s="352"/>
      <c r="AW35" s="352"/>
      <c r="AX35" s="352">
        <f t="shared" si="145"/>
        <v>0</v>
      </c>
      <c r="AY35" s="352">
        <f t="shared" si="145"/>
        <v>0</v>
      </c>
      <c r="AZ35" s="447">
        <f t="shared" si="145"/>
        <v>0</v>
      </c>
      <c r="BA35" s="447">
        <f t="shared" si="145"/>
        <v>1500</v>
      </c>
      <c r="BB35" s="352">
        <f t="shared" si="145"/>
        <v>0</v>
      </c>
      <c r="BC35" s="352">
        <f t="shared" si="145"/>
        <v>0</v>
      </c>
      <c r="BD35" s="352">
        <f t="shared" si="145"/>
        <v>0</v>
      </c>
      <c r="BE35" s="352">
        <f t="shared" si="145"/>
        <v>0</v>
      </c>
      <c r="BF35" s="352">
        <f t="shared" si="145"/>
        <v>0</v>
      </c>
      <c r="BG35" s="352">
        <f t="shared" si="145"/>
        <v>0</v>
      </c>
      <c r="BH35" s="352">
        <f t="shared" si="145"/>
        <v>0</v>
      </c>
      <c r="BI35" s="352">
        <f t="shared" si="145"/>
        <v>0</v>
      </c>
      <c r="BJ35" s="352">
        <f t="shared" si="145"/>
        <v>0</v>
      </c>
      <c r="BK35" s="352">
        <f t="shared" si="145"/>
        <v>0</v>
      </c>
      <c r="BL35" s="352">
        <f t="shared" si="145"/>
        <v>0</v>
      </c>
      <c r="BM35" s="352">
        <f t="shared" si="145"/>
        <v>0</v>
      </c>
      <c r="BN35" s="352">
        <f t="shared" si="145"/>
        <v>0</v>
      </c>
      <c r="BO35" s="352">
        <f t="shared" si="145"/>
        <v>0</v>
      </c>
      <c r="BP35" s="352">
        <f t="shared" si="145"/>
        <v>0</v>
      </c>
      <c r="BQ35" s="352">
        <f t="shared" si="273"/>
        <v>0</v>
      </c>
      <c r="BR35" s="376">
        <f t="shared" si="20"/>
        <v>0</v>
      </c>
    </row>
    <row r="36" spans="1:70" s="240" customFormat="1" ht="15" customHeight="1" x14ac:dyDescent="0.25">
      <c r="A36" s="240" t="s">
        <v>132</v>
      </c>
      <c r="B36" s="313"/>
      <c r="C36" s="350"/>
      <c r="D36" s="447">
        <v>43134</v>
      </c>
      <c r="E36" s="350" t="s">
        <v>178</v>
      </c>
      <c r="F36" s="351"/>
      <c r="G36" s="351"/>
      <c r="H36" s="351"/>
      <c r="I36" s="351"/>
      <c r="J36" s="351"/>
      <c r="K36" s="351"/>
      <c r="L36" s="351">
        <v>0</v>
      </c>
      <c r="M36" s="351">
        <v>0.24615384615384611</v>
      </c>
      <c r="N36" s="351">
        <v>0.26256410256410251</v>
      </c>
      <c r="O36" s="351">
        <v>0.25435897435897437</v>
      </c>
      <c r="P36" s="351">
        <f>1-(O36+N36+M36)</f>
        <v>0.23692307692307701</v>
      </c>
      <c r="Q36" s="351"/>
      <c r="R36" s="351"/>
      <c r="S36" s="351"/>
      <c r="T36" s="351"/>
      <c r="U36" s="351"/>
      <c r="V36" s="351"/>
      <c r="W36" s="351"/>
      <c r="X36" s="351"/>
      <c r="Y36" s="351"/>
      <c r="Z36" s="449">
        <f t="shared" si="21"/>
        <v>1</v>
      </c>
      <c r="AA36" s="350"/>
      <c r="AB36" s="350"/>
      <c r="AC36" s="352">
        <f t="shared" ref="AC36" si="274">F36*$D36</f>
        <v>0</v>
      </c>
      <c r="AD36" s="352">
        <f t="shared" ref="AD36" si="275">G36*$D36</f>
        <v>0</v>
      </c>
      <c r="AE36" s="352">
        <f t="shared" ref="AE36" si="276">H36*$D36</f>
        <v>0</v>
      </c>
      <c r="AF36" s="352">
        <f t="shared" ref="AF36" si="277">I36*$D36</f>
        <v>0</v>
      </c>
      <c r="AG36" s="352">
        <f t="shared" ref="AG36" si="278">J36*$D36</f>
        <v>0</v>
      </c>
      <c r="AH36" s="352">
        <f t="shared" ref="AH36" si="279">K36*$D36</f>
        <v>0</v>
      </c>
      <c r="AI36" s="447">
        <f t="shared" ref="AI36" si="280">L36*$D36</f>
        <v>0</v>
      </c>
      <c r="AJ36" s="447">
        <f t="shared" ref="AJ36" si="281">M36*$D36</f>
        <v>10617.599999999999</v>
      </c>
      <c r="AK36" s="447">
        <f t="shared" ref="AK36" si="282">N36*$D36</f>
        <v>11325.439999999997</v>
      </c>
      <c r="AL36" s="447">
        <f t="shared" ref="AL36" si="283">O36*$D36</f>
        <v>10971.52</v>
      </c>
      <c r="AM36" s="447">
        <f t="shared" ref="AM36" si="284">P36*$D36</f>
        <v>10219.440000000004</v>
      </c>
      <c r="AN36" s="447">
        <f t="shared" ref="AN36" si="285">Q36*$D36</f>
        <v>0</v>
      </c>
      <c r="AO36" s="447">
        <f t="shared" ref="AO36" si="286">R36*$D36</f>
        <v>0</v>
      </c>
      <c r="AP36" s="339">
        <f t="shared" ref="AP36" si="287">S36*$D36</f>
        <v>0</v>
      </c>
      <c r="AQ36" s="339">
        <f t="shared" ref="AQ36" si="288">T36*$D36</f>
        <v>0</v>
      </c>
      <c r="AR36" s="339">
        <f t="shared" si="13"/>
        <v>0</v>
      </c>
      <c r="AS36" s="339">
        <f t="shared" si="14"/>
        <v>0</v>
      </c>
      <c r="AT36" s="339">
        <f t="shared" si="15"/>
        <v>0</v>
      </c>
      <c r="AU36" s="352">
        <f t="shared" si="16"/>
        <v>0</v>
      </c>
      <c r="AV36" s="352"/>
      <c r="AW36" s="352"/>
      <c r="AX36" s="352">
        <f t="shared" si="17"/>
        <v>0</v>
      </c>
      <c r="AY36" s="352">
        <f t="shared" si="17"/>
        <v>0</v>
      </c>
      <c r="AZ36" s="447">
        <f t="shared" si="17"/>
        <v>0</v>
      </c>
      <c r="BA36" s="352">
        <f t="shared" si="268"/>
        <v>0</v>
      </c>
      <c r="BB36" s="352">
        <f t="shared" si="17"/>
        <v>0</v>
      </c>
      <c r="BC36" s="352">
        <f t="shared" si="17"/>
        <v>0</v>
      </c>
      <c r="BD36" s="352">
        <f t="shared" ref="BD36:BK43" si="289">IF(BD$3=$E36,$D36,0)</f>
        <v>43134</v>
      </c>
      <c r="BE36" s="352">
        <f t="shared" si="17"/>
        <v>0</v>
      </c>
      <c r="BF36" s="352">
        <f t="shared" si="17"/>
        <v>0</v>
      </c>
      <c r="BG36" s="352">
        <f t="shared" si="17"/>
        <v>0</v>
      </c>
      <c r="BH36" s="352">
        <f t="shared" si="17"/>
        <v>0</v>
      </c>
      <c r="BI36" s="352">
        <f t="shared" si="17"/>
        <v>0</v>
      </c>
      <c r="BJ36" s="352">
        <f t="shared" si="17"/>
        <v>0</v>
      </c>
      <c r="BK36" s="352">
        <f t="shared" si="17"/>
        <v>0</v>
      </c>
      <c r="BL36" s="352">
        <f t="shared" si="17"/>
        <v>0</v>
      </c>
      <c r="BM36" s="352">
        <f t="shared" si="166"/>
        <v>0</v>
      </c>
      <c r="BN36" s="352">
        <f t="shared" si="145"/>
        <v>0</v>
      </c>
      <c r="BO36" s="352">
        <f t="shared" si="145"/>
        <v>0</v>
      </c>
      <c r="BP36" s="352">
        <f t="shared" si="145"/>
        <v>0</v>
      </c>
      <c r="BQ36" s="352">
        <f t="shared" si="273"/>
        <v>0</v>
      </c>
      <c r="BR36" s="376">
        <f t="shared" si="20"/>
        <v>0</v>
      </c>
    </row>
    <row r="37" spans="1:70" s="240" customFormat="1" ht="15" customHeight="1" x14ac:dyDescent="0.25">
      <c r="A37" s="240" t="s">
        <v>132</v>
      </c>
      <c r="B37" s="313"/>
      <c r="C37" s="350"/>
      <c r="D37" s="447">
        <v>18489.64</v>
      </c>
      <c r="E37" s="350" t="s">
        <v>178</v>
      </c>
      <c r="F37" s="351"/>
      <c r="G37" s="351"/>
      <c r="H37" s="351"/>
      <c r="I37" s="351"/>
      <c r="J37" s="351"/>
      <c r="K37" s="351"/>
      <c r="L37" s="351">
        <v>0.17481789802289285</v>
      </c>
      <c r="M37" s="351">
        <v>0.2434963579604579</v>
      </c>
      <c r="N37" s="351">
        <v>0.27055150884495321</v>
      </c>
      <c r="O37" s="351">
        <v>0.25702393340270557</v>
      </c>
      <c r="P37" s="351">
        <v>5.4110301768990648E-2</v>
      </c>
      <c r="Q37" s="351"/>
      <c r="R37" s="351"/>
      <c r="S37" s="351"/>
      <c r="T37" s="351"/>
      <c r="U37" s="351"/>
      <c r="V37" s="351"/>
      <c r="W37" s="351"/>
      <c r="X37" s="351"/>
      <c r="Y37" s="351"/>
      <c r="Z37" s="449">
        <f t="shared" ref="Z37:Z42" si="290">SUM(F37:X37)</f>
        <v>1.0000000000000002</v>
      </c>
      <c r="AA37" s="350"/>
      <c r="AB37" s="350"/>
      <c r="AC37" s="352">
        <f t="shared" ref="AC37:AL42" si="291">F37*$D37</f>
        <v>0</v>
      </c>
      <c r="AD37" s="352">
        <f t="shared" si="291"/>
        <v>0</v>
      </c>
      <c r="AE37" s="352">
        <f t="shared" si="291"/>
        <v>0</v>
      </c>
      <c r="AF37" s="352">
        <f t="shared" si="291"/>
        <v>0</v>
      </c>
      <c r="AG37" s="352">
        <f t="shared" si="291"/>
        <v>0</v>
      </c>
      <c r="AH37" s="352">
        <f t="shared" si="291"/>
        <v>0</v>
      </c>
      <c r="AI37" s="447">
        <f t="shared" si="291"/>
        <v>3232.3200000000006</v>
      </c>
      <c r="AJ37" s="447">
        <f t="shared" si="291"/>
        <v>4502.1600000000008</v>
      </c>
      <c r="AK37" s="447">
        <f t="shared" si="291"/>
        <v>5002.4000000000005</v>
      </c>
      <c r="AL37" s="447">
        <f t="shared" si="291"/>
        <v>4752.2800000000007</v>
      </c>
      <c r="AM37" s="447">
        <f t="shared" ref="AM37:AU42" si="292">P37*$D37</f>
        <v>1000.4800000000002</v>
      </c>
      <c r="AN37" s="447">
        <f t="shared" si="292"/>
        <v>0</v>
      </c>
      <c r="AO37" s="447">
        <f t="shared" si="292"/>
        <v>0</v>
      </c>
      <c r="AP37" s="339">
        <f t="shared" si="292"/>
        <v>0</v>
      </c>
      <c r="AQ37" s="339">
        <f t="shared" si="292"/>
        <v>0</v>
      </c>
      <c r="AR37" s="339">
        <f t="shared" si="292"/>
        <v>0</v>
      </c>
      <c r="AS37" s="339">
        <f t="shared" si="292"/>
        <v>0</v>
      </c>
      <c r="AT37" s="339">
        <f t="shared" si="292"/>
        <v>0</v>
      </c>
      <c r="AU37" s="352">
        <f t="shared" si="292"/>
        <v>0</v>
      </c>
      <c r="AV37" s="352"/>
      <c r="AW37" s="352"/>
      <c r="AX37" s="352">
        <f t="shared" ref="AX37:BG37" si="293">IF(AX$3=$E37,$D37,0)</f>
        <v>0</v>
      </c>
      <c r="AY37" s="352">
        <f t="shared" si="293"/>
        <v>0</v>
      </c>
      <c r="AZ37" s="447">
        <f t="shared" si="293"/>
        <v>0</v>
      </c>
      <c r="BA37" s="352">
        <f t="shared" si="293"/>
        <v>0</v>
      </c>
      <c r="BB37" s="352">
        <f t="shared" si="293"/>
        <v>0</v>
      </c>
      <c r="BC37" s="352">
        <f t="shared" si="293"/>
        <v>0</v>
      </c>
      <c r="BD37" s="352">
        <f t="shared" si="293"/>
        <v>18489.64</v>
      </c>
      <c r="BE37" s="352">
        <f t="shared" si="293"/>
        <v>0</v>
      </c>
      <c r="BF37" s="352">
        <f t="shared" si="293"/>
        <v>0</v>
      </c>
      <c r="BG37" s="352">
        <f t="shared" si="293"/>
        <v>0</v>
      </c>
      <c r="BH37" s="352">
        <f t="shared" si="17"/>
        <v>0</v>
      </c>
      <c r="BI37" s="352">
        <f t="shared" si="17"/>
        <v>0</v>
      </c>
      <c r="BJ37" s="352">
        <f t="shared" si="17"/>
        <v>0</v>
      </c>
      <c r="BK37" s="352">
        <f t="shared" si="17"/>
        <v>0</v>
      </c>
      <c r="BL37" s="352">
        <f t="shared" si="17"/>
        <v>0</v>
      </c>
      <c r="BM37" s="352">
        <f t="shared" si="17"/>
        <v>0</v>
      </c>
      <c r="BN37" s="352">
        <f t="shared" si="17"/>
        <v>0</v>
      </c>
      <c r="BO37" s="352">
        <f t="shared" si="145"/>
        <v>0</v>
      </c>
      <c r="BP37" s="352">
        <f t="shared" si="145"/>
        <v>0</v>
      </c>
      <c r="BQ37" s="352">
        <f t="shared" si="273"/>
        <v>0</v>
      </c>
      <c r="BR37" s="376">
        <f t="shared" si="20"/>
        <v>0</v>
      </c>
    </row>
    <row r="38" spans="1:70" s="240" customFormat="1" ht="15" customHeight="1" x14ac:dyDescent="0.25">
      <c r="A38" s="240" t="s">
        <v>132</v>
      </c>
      <c r="B38" s="313"/>
      <c r="C38" s="350"/>
      <c r="D38" s="447">
        <v>1800</v>
      </c>
      <c r="E38" s="350" t="s">
        <v>178</v>
      </c>
      <c r="F38" s="351"/>
      <c r="G38" s="351"/>
      <c r="H38" s="351">
        <v>0</v>
      </c>
      <c r="I38" s="351"/>
      <c r="J38" s="351"/>
      <c r="K38" s="351"/>
      <c r="L38" s="351">
        <v>1</v>
      </c>
      <c r="M38" s="351">
        <v>0</v>
      </c>
      <c r="N38" s="351"/>
      <c r="O38" s="450"/>
      <c r="P38" s="450"/>
      <c r="Q38" s="351"/>
      <c r="R38" s="351"/>
      <c r="S38" s="351"/>
      <c r="T38" s="351"/>
      <c r="U38" s="351"/>
      <c r="V38" s="351"/>
      <c r="W38" s="351"/>
      <c r="X38" s="351"/>
      <c r="Y38" s="351"/>
      <c r="Z38" s="449">
        <f t="shared" si="290"/>
        <v>1</v>
      </c>
      <c r="AA38" s="350"/>
      <c r="AB38" s="350"/>
      <c r="AC38" s="352">
        <f t="shared" si="291"/>
        <v>0</v>
      </c>
      <c r="AD38" s="352">
        <f t="shared" si="291"/>
        <v>0</v>
      </c>
      <c r="AE38" s="352">
        <f t="shared" si="291"/>
        <v>0</v>
      </c>
      <c r="AF38" s="352">
        <f t="shared" si="291"/>
        <v>0</v>
      </c>
      <c r="AG38" s="352">
        <f t="shared" si="291"/>
        <v>0</v>
      </c>
      <c r="AH38" s="352">
        <f t="shared" si="291"/>
        <v>0</v>
      </c>
      <c r="AI38" s="447">
        <f t="shared" si="291"/>
        <v>1800</v>
      </c>
      <c r="AJ38" s="447">
        <f t="shared" si="291"/>
        <v>0</v>
      </c>
      <c r="AK38" s="447">
        <f t="shared" si="291"/>
        <v>0</v>
      </c>
      <c r="AL38" s="447">
        <f t="shared" si="291"/>
        <v>0</v>
      </c>
      <c r="AM38" s="447">
        <f t="shared" si="292"/>
        <v>0</v>
      </c>
      <c r="AN38" s="447">
        <f t="shared" si="292"/>
        <v>0</v>
      </c>
      <c r="AO38" s="447">
        <f t="shared" si="292"/>
        <v>0</v>
      </c>
      <c r="AP38" s="339">
        <f t="shared" si="292"/>
        <v>0</v>
      </c>
      <c r="AQ38" s="339">
        <f t="shared" si="292"/>
        <v>0</v>
      </c>
      <c r="AR38" s="339">
        <f t="shared" si="292"/>
        <v>0</v>
      </c>
      <c r="AS38" s="339">
        <f t="shared" si="292"/>
        <v>0</v>
      </c>
      <c r="AT38" s="339">
        <f t="shared" si="292"/>
        <v>0</v>
      </c>
      <c r="AU38" s="352">
        <f t="shared" si="292"/>
        <v>0</v>
      </c>
      <c r="AV38" s="352"/>
      <c r="AW38" s="352"/>
      <c r="AX38" s="352">
        <f t="shared" si="145"/>
        <v>0</v>
      </c>
      <c r="AY38" s="352">
        <f t="shared" si="145"/>
        <v>0</v>
      </c>
      <c r="AZ38" s="447">
        <f t="shared" si="145"/>
        <v>0</v>
      </c>
      <c r="BA38" s="352">
        <f t="shared" si="145"/>
        <v>0</v>
      </c>
      <c r="BB38" s="352">
        <f t="shared" si="145"/>
        <v>0</v>
      </c>
      <c r="BC38" s="352">
        <f t="shared" si="145"/>
        <v>0</v>
      </c>
      <c r="BD38" s="352">
        <f t="shared" si="145"/>
        <v>1800</v>
      </c>
      <c r="BE38" s="352">
        <f t="shared" si="145"/>
        <v>0</v>
      </c>
      <c r="BF38" s="352">
        <f t="shared" si="145"/>
        <v>0</v>
      </c>
      <c r="BG38" s="352">
        <f t="shared" si="145"/>
        <v>0</v>
      </c>
      <c r="BH38" s="352">
        <f t="shared" si="145"/>
        <v>0</v>
      </c>
      <c r="BI38" s="352">
        <f t="shared" si="145"/>
        <v>0</v>
      </c>
      <c r="BJ38" s="352">
        <f t="shared" si="145"/>
        <v>0</v>
      </c>
      <c r="BK38" s="352">
        <f t="shared" si="145"/>
        <v>0</v>
      </c>
      <c r="BL38" s="352">
        <f t="shared" si="145"/>
        <v>0</v>
      </c>
      <c r="BM38" s="352">
        <f t="shared" si="145"/>
        <v>0</v>
      </c>
      <c r="BN38" s="352">
        <f t="shared" si="145"/>
        <v>0</v>
      </c>
      <c r="BO38" s="352">
        <f t="shared" si="145"/>
        <v>0</v>
      </c>
      <c r="BP38" s="352">
        <f t="shared" si="145"/>
        <v>0</v>
      </c>
      <c r="BQ38" s="352">
        <f t="shared" si="273"/>
        <v>0</v>
      </c>
      <c r="BR38" s="376">
        <f t="shared" si="20"/>
        <v>0</v>
      </c>
    </row>
    <row r="39" spans="1:70" s="240" customFormat="1" ht="15" customHeight="1" x14ac:dyDescent="0.25">
      <c r="A39" s="240" t="s">
        <v>132</v>
      </c>
      <c r="B39" s="313"/>
      <c r="C39" s="350"/>
      <c r="D39" s="447">
        <v>111566.08</v>
      </c>
      <c r="E39" s="350" t="s">
        <v>178</v>
      </c>
      <c r="F39" s="351"/>
      <c r="G39" s="351"/>
      <c r="H39" s="454"/>
      <c r="I39" s="454"/>
      <c r="J39" s="454"/>
      <c r="K39" s="454"/>
      <c r="L39" s="351">
        <v>8.430232558139536E-2</v>
      </c>
      <c r="M39" s="457">
        <v>0.26744186046511637</v>
      </c>
      <c r="N39" s="351">
        <v>0.27616279069767452</v>
      </c>
      <c r="O39" s="351">
        <v>0.27034883720930242</v>
      </c>
      <c r="P39" s="351">
        <v>0.10174418604651164</v>
      </c>
      <c r="Q39" s="351"/>
      <c r="R39" s="351"/>
      <c r="S39" s="351"/>
      <c r="T39" s="351"/>
      <c r="U39" s="351"/>
      <c r="V39" s="351"/>
      <c r="W39" s="351"/>
      <c r="X39" s="351"/>
      <c r="Y39" s="351"/>
      <c r="Z39" s="449">
        <f t="shared" si="290"/>
        <v>1.0000000000000002</v>
      </c>
      <c r="AA39" s="350"/>
      <c r="AB39" s="350"/>
      <c r="AC39" s="352">
        <f t="shared" si="291"/>
        <v>0</v>
      </c>
      <c r="AD39" s="352">
        <f t="shared" si="291"/>
        <v>0</v>
      </c>
      <c r="AE39" s="352">
        <f t="shared" si="291"/>
        <v>0</v>
      </c>
      <c r="AF39" s="352">
        <f t="shared" si="291"/>
        <v>0</v>
      </c>
      <c r="AG39" s="352">
        <f t="shared" si="291"/>
        <v>0</v>
      </c>
      <c r="AH39" s="352">
        <f t="shared" si="291"/>
        <v>0</v>
      </c>
      <c r="AI39" s="447">
        <f t="shared" si="291"/>
        <v>9405.2800000000007</v>
      </c>
      <c r="AJ39" s="447">
        <f t="shared" si="291"/>
        <v>29837.44000000001</v>
      </c>
      <c r="AK39" s="447">
        <f t="shared" si="291"/>
        <v>30810.400000000012</v>
      </c>
      <c r="AL39" s="447">
        <f t="shared" si="291"/>
        <v>30161.760000000009</v>
      </c>
      <c r="AM39" s="447">
        <f t="shared" si="292"/>
        <v>11351.200000000003</v>
      </c>
      <c r="AN39" s="447">
        <f t="shared" si="292"/>
        <v>0</v>
      </c>
      <c r="AO39" s="447">
        <f t="shared" si="292"/>
        <v>0</v>
      </c>
      <c r="AP39" s="339">
        <f t="shared" si="292"/>
        <v>0</v>
      </c>
      <c r="AQ39" s="339">
        <f t="shared" si="292"/>
        <v>0</v>
      </c>
      <c r="AR39" s="339">
        <f t="shared" si="292"/>
        <v>0</v>
      </c>
      <c r="AS39" s="339">
        <f t="shared" si="292"/>
        <v>0</v>
      </c>
      <c r="AT39" s="339">
        <f t="shared" si="292"/>
        <v>0</v>
      </c>
      <c r="AU39" s="352">
        <f t="shared" si="292"/>
        <v>0</v>
      </c>
      <c r="AV39" s="352"/>
      <c r="AW39" s="352"/>
      <c r="AX39" s="352">
        <f t="shared" si="145"/>
        <v>0</v>
      </c>
      <c r="AY39" s="352">
        <f t="shared" si="145"/>
        <v>0</v>
      </c>
      <c r="AZ39" s="447">
        <f t="shared" si="145"/>
        <v>0</v>
      </c>
      <c r="BA39" s="352">
        <f t="shared" si="145"/>
        <v>0</v>
      </c>
      <c r="BB39" s="352">
        <f t="shared" si="145"/>
        <v>0</v>
      </c>
      <c r="BC39" s="352">
        <f t="shared" si="145"/>
        <v>0</v>
      </c>
      <c r="BD39" s="352">
        <f t="shared" si="145"/>
        <v>111566.08</v>
      </c>
      <c r="BE39" s="352">
        <f t="shared" si="145"/>
        <v>0</v>
      </c>
      <c r="BF39" s="352">
        <f t="shared" si="145"/>
        <v>0</v>
      </c>
      <c r="BG39" s="352">
        <f t="shared" si="145"/>
        <v>0</v>
      </c>
      <c r="BH39" s="352">
        <f t="shared" si="145"/>
        <v>0</v>
      </c>
      <c r="BI39" s="352">
        <f t="shared" si="145"/>
        <v>0</v>
      </c>
      <c r="BJ39" s="352">
        <f t="shared" si="145"/>
        <v>0</v>
      </c>
      <c r="BK39" s="352">
        <f t="shared" si="145"/>
        <v>0</v>
      </c>
      <c r="BL39" s="352">
        <f t="shared" si="145"/>
        <v>0</v>
      </c>
      <c r="BM39" s="352">
        <f t="shared" si="145"/>
        <v>0</v>
      </c>
      <c r="BN39" s="352">
        <f t="shared" si="145"/>
        <v>0</v>
      </c>
      <c r="BO39" s="352">
        <f t="shared" si="145"/>
        <v>0</v>
      </c>
      <c r="BP39" s="352">
        <f t="shared" si="145"/>
        <v>0</v>
      </c>
      <c r="BQ39" s="352">
        <f t="shared" si="273"/>
        <v>0</v>
      </c>
      <c r="BR39" s="376">
        <f t="shared" si="20"/>
        <v>0</v>
      </c>
    </row>
    <row r="40" spans="1:70" s="240" customFormat="1" ht="15" customHeight="1" x14ac:dyDescent="0.25">
      <c r="A40" s="240" t="s">
        <v>132</v>
      </c>
      <c r="B40" s="313"/>
      <c r="C40" s="350"/>
      <c r="D40" s="447">
        <v>7725.48</v>
      </c>
      <c r="E40" s="350" t="s">
        <v>178</v>
      </c>
      <c r="F40" s="351"/>
      <c r="G40" s="351"/>
      <c r="H40" s="351"/>
      <c r="I40" s="351"/>
      <c r="J40" s="351"/>
      <c r="K40" s="351">
        <v>0</v>
      </c>
      <c r="L40" s="351">
        <v>1</v>
      </c>
      <c r="M40" s="351">
        <v>0</v>
      </c>
      <c r="N40" s="351">
        <v>0</v>
      </c>
      <c r="O40" s="351">
        <v>0</v>
      </c>
      <c r="P40" s="351">
        <v>0</v>
      </c>
      <c r="Q40" s="351">
        <v>0</v>
      </c>
      <c r="R40" s="351">
        <v>0</v>
      </c>
      <c r="S40" s="351"/>
      <c r="T40" s="351"/>
      <c r="U40" s="351"/>
      <c r="V40" s="351"/>
      <c r="W40" s="351"/>
      <c r="X40" s="351"/>
      <c r="Y40" s="351"/>
      <c r="Z40" s="449">
        <f t="shared" si="290"/>
        <v>1</v>
      </c>
      <c r="AA40" s="350"/>
      <c r="AB40" s="350"/>
      <c r="AC40" s="352">
        <f t="shared" si="291"/>
        <v>0</v>
      </c>
      <c r="AD40" s="352">
        <f t="shared" si="291"/>
        <v>0</v>
      </c>
      <c r="AE40" s="352">
        <f t="shared" si="291"/>
        <v>0</v>
      </c>
      <c r="AF40" s="352">
        <f t="shared" si="291"/>
        <v>0</v>
      </c>
      <c r="AG40" s="352">
        <f t="shared" si="291"/>
        <v>0</v>
      </c>
      <c r="AH40" s="352">
        <f t="shared" si="291"/>
        <v>0</v>
      </c>
      <c r="AI40" s="447">
        <f t="shared" si="291"/>
        <v>7725.48</v>
      </c>
      <c r="AJ40" s="447">
        <f t="shared" si="291"/>
        <v>0</v>
      </c>
      <c r="AK40" s="447">
        <f t="shared" si="291"/>
        <v>0</v>
      </c>
      <c r="AL40" s="447">
        <f t="shared" si="291"/>
        <v>0</v>
      </c>
      <c r="AM40" s="447">
        <f t="shared" si="292"/>
        <v>0</v>
      </c>
      <c r="AN40" s="447">
        <f t="shared" si="292"/>
        <v>0</v>
      </c>
      <c r="AO40" s="447">
        <f t="shared" si="292"/>
        <v>0</v>
      </c>
      <c r="AP40" s="339">
        <f t="shared" si="292"/>
        <v>0</v>
      </c>
      <c r="AQ40" s="339">
        <f t="shared" si="292"/>
        <v>0</v>
      </c>
      <c r="AR40" s="339">
        <f t="shared" si="292"/>
        <v>0</v>
      </c>
      <c r="AS40" s="339">
        <f t="shared" si="292"/>
        <v>0</v>
      </c>
      <c r="AT40" s="339">
        <f t="shared" si="292"/>
        <v>0</v>
      </c>
      <c r="AU40" s="352">
        <f t="shared" si="292"/>
        <v>0</v>
      </c>
      <c r="AV40" s="352"/>
      <c r="AW40" s="352"/>
      <c r="AX40" s="352">
        <f t="shared" si="145"/>
        <v>0</v>
      </c>
      <c r="AY40" s="352">
        <f t="shared" si="145"/>
        <v>0</v>
      </c>
      <c r="AZ40" s="447">
        <f t="shared" si="145"/>
        <v>0</v>
      </c>
      <c r="BA40" s="352">
        <f t="shared" si="145"/>
        <v>0</v>
      </c>
      <c r="BB40" s="352">
        <f t="shared" si="145"/>
        <v>0</v>
      </c>
      <c r="BC40" s="352">
        <f t="shared" si="145"/>
        <v>0</v>
      </c>
      <c r="BD40" s="352">
        <f t="shared" si="145"/>
        <v>7725.48</v>
      </c>
      <c r="BE40" s="352">
        <f t="shared" si="145"/>
        <v>0</v>
      </c>
      <c r="BF40" s="352">
        <f t="shared" si="145"/>
        <v>0</v>
      </c>
      <c r="BG40" s="352">
        <f t="shared" si="145"/>
        <v>0</v>
      </c>
      <c r="BH40" s="352">
        <f t="shared" si="145"/>
        <v>0</v>
      </c>
      <c r="BI40" s="352">
        <f t="shared" si="145"/>
        <v>0</v>
      </c>
      <c r="BJ40" s="352">
        <f t="shared" si="145"/>
        <v>0</v>
      </c>
      <c r="BK40" s="352">
        <f t="shared" si="145"/>
        <v>0</v>
      </c>
      <c r="BL40" s="352">
        <f t="shared" si="145"/>
        <v>0</v>
      </c>
      <c r="BM40" s="352">
        <f t="shared" si="145"/>
        <v>0</v>
      </c>
      <c r="BN40" s="352">
        <f t="shared" si="145"/>
        <v>0</v>
      </c>
      <c r="BO40" s="352">
        <f t="shared" si="145"/>
        <v>0</v>
      </c>
      <c r="BP40" s="352">
        <f t="shared" si="145"/>
        <v>0</v>
      </c>
      <c r="BQ40" s="352">
        <f t="shared" si="273"/>
        <v>0</v>
      </c>
      <c r="BR40" s="376">
        <f t="shared" si="20"/>
        <v>0</v>
      </c>
    </row>
    <row r="41" spans="1:70" s="240" customFormat="1" ht="15" customHeight="1" x14ac:dyDescent="0.25">
      <c r="A41" s="240" t="s">
        <v>132</v>
      </c>
      <c r="B41" s="313"/>
      <c r="C41" s="350"/>
      <c r="D41" s="447">
        <v>1241.07</v>
      </c>
      <c r="E41" s="350" t="s">
        <v>216</v>
      </c>
      <c r="F41" s="351"/>
      <c r="G41" s="351"/>
      <c r="H41" s="351"/>
      <c r="I41" s="351"/>
      <c r="J41" s="351"/>
      <c r="K41" s="351">
        <v>0</v>
      </c>
      <c r="L41" s="351">
        <v>0</v>
      </c>
      <c r="M41" s="351">
        <v>1</v>
      </c>
      <c r="N41" s="351">
        <v>0</v>
      </c>
      <c r="O41" s="351">
        <v>0</v>
      </c>
      <c r="P41" s="351">
        <v>0</v>
      </c>
      <c r="Q41" s="351">
        <v>0</v>
      </c>
      <c r="R41" s="351">
        <v>0</v>
      </c>
      <c r="S41" s="351"/>
      <c r="T41" s="351"/>
      <c r="U41" s="351"/>
      <c r="V41" s="351"/>
      <c r="W41" s="351"/>
      <c r="X41" s="351"/>
      <c r="Y41" s="351"/>
      <c r="Z41" s="449">
        <f t="shared" si="290"/>
        <v>1</v>
      </c>
      <c r="AA41" s="350"/>
      <c r="AB41" s="350"/>
      <c r="AC41" s="352">
        <f t="shared" si="291"/>
        <v>0</v>
      </c>
      <c r="AD41" s="352">
        <f t="shared" si="291"/>
        <v>0</v>
      </c>
      <c r="AE41" s="352">
        <f t="shared" si="291"/>
        <v>0</v>
      </c>
      <c r="AF41" s="352">
        <f t="shared" si="291"/>
        <v>0</v>
      </c>
      <c r="AG41" s="352">
        <f t="shared" si="291"/>
        <v>0</v>
      </c>
      <c r="AH41" s="352">
        <f t="shared" si="291"/>
        <v>0</v>
      </c>
      <c r="AI41" s="447">
        <f t="shared" si="291"/>
        <v>0</v>
      </c>
      <c r="AJ41" s="447">
        <f t="shared" si="291"/>
        <v>1241.07</v>
      </c>
      <c r="AK41" s="447">
        <f t="shared" si="291"/>
        <v>0</v>
      </c>
      <c r="AL41" s="447">
        <f t="shared" si="291"/>
        <v>0</v>
      </c>
      <c r="AM41" s="447">
        <f t="shared" si="292"/>
        <v>0</v>
      </c>
      <c r="AN41" s="447">
        <f t="shared" si="292"/>
        <v>0</v>
      </c>
      <c r="AO41" s="447">
        <f t="shared" si="292"/>
        <v>0</v>
      </c>
      <c r="AP41" s="339">
        <f t="shared" si="292"/>
        <v>0</v>
      </c>
      <c r="AQ41" s="339">
        <f t="shared" si="292"/>
        <v>0</v>
      </c>
      <c r="AR41" s="339">
        <f t="shared" si="292"/>
        <v>0</v>
      </c>
      <c r="AS41" s="339">
        <f t="shared" si="292"/>
        <v>0</v>
      </c>
      <c r="AT41" s="339">
        <f t="shared" si="292"/>
        <v>0</v>
      </c>
      <c r="AU41" s="352">
        <f t="shared" si="292"/>
        <v>0</v>
      </c>
      <c r="AV41" s="352"/>
      <c r="AW41" s="352"/>
      <c r="AX41" s="352">
        <f t="shared" si="145"/>
        <v>0</v>
      </c>
      <c r="AY41" s="352">
        <f t="shared" si="145"/>
        <v>0</v>
      </c>
      <c r="AZ41" s="447">
        <f t="shared" si="145"/>
        <v>0</v>
      </c>
      <c r="BA41" s="352">
        <f t="shared" si="145"/>
        <v>0</v>
      </c>
      <c r="BB41" s="352">
        <f t="shared" si="145"/>
        <v>0</v>
      </c>
      <c r="BC41" s="352">
        <f t="shared" si="145"/>
        <v>0</v>
      </c>
      <c r="BD41" s="352">
        <f t="shared" si="145"/>
        <v>0</v>
      </c>
      <c r="BE41" s="352">
        <f t="shared" si="145"/>
        <v>1241.07</v>
      </c>
      <c r="BF41" s="352">
        <f t="shared" si="145"/>
        <v>0</v>
      </c>
      <c r="BG41" s="352">
        <f t="shared" si="145"/>
        <v>0</v>
      </c>
      <c r="BH41" s="352">
        <f t="shared" si="145"/>
        <v>0</v>
      </c>
      <c r="BI41" s="352">
        <f t="shared" si="145"/>
        <v>0</v>
      </c>
      <c r="BJ41" s="352">
        <f t="shared" si="145"/>
        <v>0</v>
      </c>
      <c r="BK41" s="352">
        <f t="shared" si="145"/>
        <v>0</v>
      </c>
      <c r="BL41" s="352">
        <f t="shared" si="145"/>
        <v>0</v>
      </c>
      <c r="BM41" s="352">
        <f t="shared" si="145"/>
        <v>0</v>
      </c>
      <c r="BN41" s="352">
        <f t="shared" si="145"/>
        <v>0</v>
      </c>
      <c r="BO41" s="352">
        <f t="shared" si="145"/>
        <v>0</v>
      </c>
      <c r="BP41" s="352">
        <f t="shared" si="145"/>
        <v>0</v>
      </c>
      <c r="BQ41" s="352">
        <f t="shared" si="273"/>
        <v>0</v>
      </c>
      <c r="BR41" s="376">
        <f t="shared" si="20"/>
        <v>0</v>
      </c>
    </row>
    <row r="42" spans="1:70" s="240" customFormat="1" ht="15" customHeight="1" x14ac:dyDescent="0.25">
      <c r="A42" s="240" t="s">
        <v>132</v>
      </c>
      <c r="B42" s="313"/>
      <c r="C42" s="350"/>
      <c r="D42" s="447">
        <v>167.23</v>
      </c>
      <c r="E42" s="350" t="s">
        <v>238</v>
      </c>
      <c r="F42" s="351"/>
      <c r="G42" s="351"/>
      <c r="H42" s="351"/>
      <c r="I42" s="351"/>
      <c r="J42" s="351"/>
      <c r="K42" s="351">
        <v>0</v>
      </c>
      <c r="L42" s="351">
        <v>0</v>
      </c>
      <c r="M42" s="351">
        <v>0</v>
      </c>
      <c r="N42" s="351">
        <v>1</v>
      </c>
      <c r="O42" s="351">
        <v>0</v>
      </c>
      <c r="P42" s="351">
        <v>0</v>
      </c>
      <c r="Q42" s="351">
        <v>0</v>
      </c>
      <c r="R42" s="351">
        <v>0</v>
      </c>
      <c r="S42" s="351"/>
      <c r="T42" s="351"/>
      <c r="U42" s="351"/>
      <c r="V42" s="351"/>
      <c r="W42" s="351"/>
      <c r="X42" s="351"/>
      <c r="Y42" s="351"/>
      <c r="Z42" s="449">
        <f t="shared" si="290"/>
        <v>1</v>
      </c>
      <c r="AA42" s="350"/>
      <c r="AB42" s="350"/>
      <c r="AC42" s="352">
        <f t="shared" si="291"/>
        <v>0</v>
      </c>
      <c r="AD42" s="352">
        <f t="shared" si="291"/>
        <v>0</v>
      </c>
      <c r="AE42" s="352">
        <f t="shared" si="291"/>
        <v>0</v>
      </c>
      <c r="AF42" s="352">
        <f t="shared" si="291"/>
        <v>0</v>
      </c>
      <c r="AG42" s="352">
        <f t="shared" si="291"/>
        <v>0</v>
      </c>
      <c r="AH42" s="352">
        <f t="shared" si="291"/>
        <v>0</v>
      </c>
      <c r="AI42" s="447">
        <f t="shared" si="291"/>
        <v>0</v>
      </c>
      <c r="AJ42" s="447">
        <f t="shared" si="291"/>
        <v>0</v>
      </c>
      <c r="AK42" s="447">
        <f t="shared" si="291"/>
        <v>167.23</v>
      </c>
      <c r="AL42" s="447">
        <f t="shared" si="291"/>
        <v>0</v>
      </c>
      <c r="AM42" s="447">
        <f t="shared" si="292"/>
        <v>0</v>
      </c>
      <c r="AN42" s="447">
        <f t="shared" si="292"/>
        <v>0</v>
      </c>
      <c r="AO42" s="447">
        <f t="shared" si="292"/>
        <v>0</v>
      </c>
      <c r="AP42" s="339">
        <f t="shared" si="292"/>
        <v>0</v>
      </c>
      <c r="AQ42" s="339">
        <f t="shared" si="292"/>
        <v>0</v>
      </c>
      <c r="AR42" s="339">
        <f t="shared" si="292"/>
        <v>0</v>
      </c>
      <c r="AS42" s="339">
        <f t="shared" si="292"/>
        <v>0</v>
      </c>
      <c r="AT42" s="339">
        <f t="shared" si="292"/>
        <v>0</v>
      </c>
      <c r="AU42" s="352">
        <f t="shared" si="292"/>
        <v>0</v>
      </c>
      <c r="AV42" s="352"/>
      <c r="AW42" s="352"/>
      <c r="AX42" s="352">
        <f t="shared" si="145"/>
        <v>0</v>
      </c>
      <c r="AY42" s="352">
        <f t="shared" si="145"/>
        <v>0</v>
      </c>
      <c r="AZ42" s="447">
        <f t="shared" si="145"/>
        <v>0</v>
      </c>
      <c r="BA42" s="352">
        <f t="shared" si="145"/>
        <v>0</v>
      </c>
      <c r="BB42" s="352">
        <f t="shared" si="145"/>
        <v>0</v>
      </c>
      <c r="BC42" s="352">
        <f t="shared" si="145"/>
        <v>0</v>
      </c>
      <c r="BD42" s="352">
        <f t="shared" si="145"/>
        <v>0</v>
      </c>
      <c r="BE42" s="352">
        <f t="shared" si="145"/>
        <v>0</v>
      </c>
      <c r="BF42" s="352">
        <f t="shared" si="145"/>
        <v>167.23</v>
      </c>
      <c r="BG42" s="352">
        <f t="shared" si="145"/>
        <v>0</v>
      </c>
      <c r="BH42" s="352">
        <f t="shared" si="145"/>
        <v>0</v>
      </c>
      <c r="BI42" s="352">
        <f t="shared" si="145"/>
        <v>0</v>
      </c>
      <c r="BJ42" s="352">
        <f t="shared" si="145"/>
        <v>0</v>
      </c>
      <c r="BK42" s="352">
        <f t="shared" si="145"/>
        <v>0</v>
      </c>
      <c r="BL42" s="352">
        <f t="shared" si="145"/>
        <v>0</v>
      </c>
      <c r="BM42" s="352">
        <f t="shared" si="145"/>
        <v>0</v>
      </c>
      <c r="BN42" s="352">
        <f t="shared" si="145"/>
        <v>0</v>
      </c>
      <c r="BO42" s="352">
        <f t="shared" si="145"/>
        <v>0</v>
      </c>
      <c r="BP42" s="352">
        <f t="shared" si="145"/>
        <v>0</v>
      </c>
      <c r="BQ42" s="352">
        <f t="shared" si="273"/>
        <v>0</v>
      </c>
      <c r="BR42" s="376">
        <f t="shared" si="20"/>
        <v>0</v>
      </c>
    </row>
    <row r="43" spans="1:70" s="240" customFormat="1" ht="15" customHeight="1" x14ac:dyDescent="0.25">
      <c r="A43" s="240" t="s">
        <v>132</v>
      </c>
      <c r="B43" s="313"/>
      <c r="C43" s="350"/>
      <c r="D43" s="447">
        <v>35745.919999999998</v>
      </c>
      <c r="E43" s="350" t="s">
        <v>255</v>
      </c>
      <c r="F43" s="351">
        <v>0</v>
      </c>
      <c r="G43" s="351"/>
      <c r="H43" s="351"/>
      <c r="I43" s="351"/>
      <c r="J43" s="351"/>
      <c r="K43" s="351"/>
      <c r="L43" s="351">
        <v>0</v>
      </c>
      <c r="M43" s="351">
        <v>0</v>
      </c>
      <c r="N43" s="351">
        <v>0</v>
      </c>
      <c r="O43" s="351">
        <v>0</v>
      </c>
      <c r="P43" s="351">
        <v>0</v>
      </c>
      <c r="Q43" s="351">
        <v>0.29207920792079206</v>
      </c>
      <c r="R43" s="351">
        <v>0.30693069306930698</v>
      </c>
      <c r="S43" s="351">
        <v>0.31188118811881188</v>
      </c>
      <c r="T43" s="351">
        <v>8.9108910891089119E-2</v>
      </c>
      <c r="U43" s="351"/>
      <c r="V43" s="351"/>
      <c r="W43" s="351"/>
      <c r="X43" s="351"/>
      <c r="Y43" s="351"/>
      <c r="Z43" s="449">
        <f t="shared" si="21"/>
        <v>1.0000000000000002</v>
      </c>
      <c r="AA43" s="350"/>
      <c r="AB43" s="350"/>
      <c r="AC43" s="352">
        <f t="shared" ref="AC43" si="294">F43*$D43</f>
        <v>0</v>
      </c>
      <c r="AD43" s="352">
        <f t="shared" ref="AD43" si="295">G43*$D43</f>
        <v>0</v>
      </c>
      <c r="AE43" s="352">
        <f t="shared" ref="AE43" si="296">H43*$D43</f>
        <v>0</v>
      </c>
      <c r="AF43" s="352">
        <f t="shared" ref="AF43" si="297">I43*$D43</f>
        <v>0</v>
      </c>
      <c r="AG43" s="352">
        <f t="shared" ref="AG43" si="298">J43*$D43</f>
        <v>0</v>
      </c>
      <c r="AH43" s="352">
        <f t="shared" ref="AH43" si="299">K43*$D43</f>
        <v>0</v>
      </c>
      <c r="AI43" s="447">
        <f t="shared" ref="AI43" si="300">L43*$D43</f>
        <v>0</v>
      </c>
      <c r="AJ43" s="447">
        <f t="shared" ref="AJ43" si="301">M43*$D43</f>
        <v>0</v>
      </c>
      <c r="AK43" s="447">
        <f t="shared" ref="AK43" si="302">N43*$D43</f>
        <v>0</v>
      </c>
      <c r="AL43" s="447">
        <f t="shared" ref="AL43" si="303">O43*$D43</f>
        <v>0</v>
      </c>
      <c r="AM43" s="447">
        <f t="shared" ref="AM43" si="304">P43*$D43</f>
        <v>0</v>
      </c>
      <c r="AN43" s="447">
        <f t="shared" ref="AN43" si="305">Q43*$D43</f>
        <v>10440.64</v>
      </c>
      <c r="AO43" s="447">
        <f t="shared" ref="AO43" si="306">R43*$D43</f>
        <v>10971.52</v>
      </c>
      <c r="AP43" s="339">
        <f t="shared" ref="AP43" si="307">S43*$D43</f>
        <v>11148.48</v>
      </c>
      <c r="AQ43" s="339">
        <f t="shared" ref="AQ43" si="308">T43*$D43</f>
        <v>3185.28</v>
      </c>
      <c r="AR43" s="339">
        <f t="shared" ref="AR43" si="309">U43*$D43</f>
        <v>0</v>
      </c>
      <c r="AS43" s="339">
        <f t="shared" ref="AS43" si="310">V43*$D43</f>
        <v>0</v>
      </c>
      <c r="AT43" s="339">
        <f t="shared" ref="AT43" si="311">W43*$D43</f>
        <v>0</v>
      </c>
      <c r="AU43" s="352">
        <f t="shared" ref="AU43" si="312">X43*$D43</f>
        <v>0</v>
      </c>
      <c r="AV43" s="352"/>
      <c r="AW43" s="352"/>
      <c r="AX43" s="352">
        <f t="shared" si="17"/>
        <v>0</v>
      </c>
      <c r="AY43" s="352">
        <f t="shared" si="17"/>
        <v>0</v>
      </c>
      <c r="AZ43" s="447">
        <f t="shared" si="17"/>
        <v>0</v>
      </c>
      <c r="BA43" s="352">
        <f t="shared" si="268"/>
        <v>0</v>
      </c>
      <c r="BB43" s="352">
        <f t="shared" si="17"/>
        <v>0</v>
      </c>
      <c r="BC43" s="352">
        <f t="shared" si="17"/>
        <v>0</v>
      </c>
      <c r="BD43" s="352">
        <f t="shared" si="289"/>
        <v>0</v>
      </c>
      <c r="BE43" s="352">
        <f t="shared" si="289"/>
        <v>0</v>
      </c>
      <c r="BF43" s="352">
        <f t="shared" si="289"/>
        <v>0</v>
      </c>
      <c r="BG43" s="352">
        <f t="shared" si="289"/>
        <v>0</v>
      </c>
      <c r="BH43" s="339">
        <v>35945</v>
      </c>
      <c r="BI43" s="352">
        <f t="shared" si="289"/>
        <v>0</v>
      </c>
      <c r="BJ43" s="352">
        <f t="shared" si="289"/>
        <v>0</v>
      </c>
      <c r="BK43" s="352">
        <f t="shared" si="289"/>
        <v>0</v>
      </c>
      <c r="BL43" s="352">
        <v>-199.08</v>
      </c>
      <c r="BM43" s="352">
        <f t="shared" si="166"/>
        <v>0</v>
      </c>
      <c r="BN43" s="352">
        <f t="shared" si="145"/>
        <v>0</v>
      </c>
      <c r="BO43" s="352">
        <f t="shared" si="145"/>
        <v>0</v>
      </c>
      <c r="BP43" s="352">
        <f t="shared" si="145"/>
        <v>0</v>
      </c>
      <c r="BQ43" s="352">
        <f t="shared" si="273"/>
        <v>0</v>
      </c>
      <c r="BR43" s="376">
        <f t="shared" si="20"/>
        <v>0</v>
      </c>
    </row>
    <row r="44" spans="1:70" s="240" customFormat="1" ht="15" customHeight="1" x14ac:dyDescent="0.25">
      <c r="A44" s="240" t="s">
        <v>132</v>
      </c>
      <c r="B44" s="313"/>
      <c r="C44" s="350"/>
      <c r="D44" s="447">
        <v>18662.8</v>
      </c>
      <c r="E44" s="350" t="s">
        <v>255</v>
      </c>
      <c r="F44" s="351"/>
      <c r="G44" s="351"/>
      <c r="H44" s="351"/>
      <c r="I44" s="351"/>
      <c r="J44" s="351"/>
      <c r="K44" s="351"/>
      <c r="L44" s="351">
        <v>0</v>
      </c>
      <c r="M44" s="351">
        <v>0</v>
      </c>
      <c r="N44" s="351">
        <v>0</v>
      </c>
      <c r="O44" s="351">
        <v>0</v>
      </c>
      <c r="P44" s="351">
        <v>0.17319587628865979</v>
      </c>
      <c r="Q44" s="351">
        <v>0.24948453608247423</v>
      </c>
      <c r="R44" s="351">
        <v>0.25567010309278349</v>
      </c>
      <c r="S44" s="351">
        <v>0.25979381443298966</v>
      </c>
      <c r="T44" s="351">
        <v>6.1855670103092793E-2</v>
      </c>
      <c r="U44" s="351"/>
      <c r="V44" s="351"/>
      <c r="W44" s="351"/>
      <c r="X44" s="351"/>
      <c r="Y44" s="351"/>
      <c r="Z44" s="449">
        <f t="shared" ref="Z44" si="313">SUM(F44:X44)</f>
        <v>1</v>
      </c>
      <c r="AA44" s="350"/>
      <c r="AB44" s="350"/>
      <c r="AC44" s="352">
        <f t="shared" ref="AC44" si="314">F44*$D44</f>
        <v>0</v>
      </c>
      <c r="AD44" s="352">
        <f t="shared" ref="AD44" si="315">G44*$D44</f>
        <v>0</v>
      </c>
      <c r="AE44" s="352">
        <f t="shared" ref="AE44" si="316">H44*$D44</f>
        <v>0</v>
      </c>
      <c r="AF44" s="352">
        <f t="shared" ref="AF44" si="317">I44*$D44</f>
        <v>0</v>
      </c>
      <c r="AG44" s="352">
        <f t="shared" ref="AG44" si="318">J44*$D44</f>
        <v>0</v>
      </c>
      <c r="AH44" s="352">
        <f t="shared" ref="AH44" si="319">K44*$D44</f>
        <v>0</v>
      </c>
      <c r="AI44" s="447">
        <f t="shared" ref="AI44" si="320">L44*$D44</f>
        <v>0</v>
      </c>
      <c r="AJ44" s="447">
        <f t="shared" ref="AJ44" si="321">M44*$D44</f>
        <v>0</v>
      </c>
      <c r="AK44" s="447">
        <f t="shared" ref="AK44" si="322">N44*$D44</f>
        <v>0</v>
      </c>
      <c r="AL44" s="447">
        <f t="shared" ref="AL44" si="323">O44*$D44</f>
        <v>0</v>
      </c>
      <c r="AM44" s="447">
        <f t="shared" ref="AM44" si="324">P44*$D44</f>
        <v>3232.3199999999997</v>
      </c>
      <c r="AN44" s="447">
        <f t="shared" ref="AN44" si="325">Q44*$D44</f>
        <v>4656.08</v>
      </c>
      <c r="AO44" s="447">
        <f t="shared" ref="AO44" si="326">R44*$D44</f>
        <v>4771.5199999999995</v>
      </c>
      <c r="AP44" s="339">
        <f t="shared" ref="AP44" si="327">S44*$D44</f>
        <v>4848.4799999999996</v>
      </c>
      <c r="AQ44" s="339">
        <f t="shared" ref="AQ44" si="328">T44*$D44</f>
        <v>1154.4000000000001</v>
      </c>
      <c r="AR44" s="339">
        <f t="shared" ref="AR44" si="329">U44*$D44</f>
        <v>0</v>
      </c>
      <c r="AS44" s="339">
        <f t="shared" ref="AS44" si="330">V44*$D44</f>
        <v>0</v>
      </c>
      <c r="AT44" s="339">
        <f t="shared" ref="AT44" si="331">W44*$D44</f>
        <v>0</v>
      </c>
      <c r="AU44" s="352">
        <f t="shared" ref="AU44" si="332">X44*$D44</f>
        <v>0</v>
      </c>
      <c r="AV44" s="352"/>
      <c r="AW44" s="352"/>
      <c r="AX44" s="352">
        <f t="shared" ref="AX44:BL44" si="333">IF(AX$3=$E44,$D44,0)</f>
        <v>0</v>
      </c>
      <c r="AY44" s="352">
        <f t="shared" si="333"/>
        <v>0</v>
      </c>
      <c r="AZ44" s="447">
        <f t="shared" si="333"/>
        <v>0</v>
      </c>
      <c r="BA44" s="352">
        <f t="shared" si="268"/>
        <v>0</v>
      </c>
      <c r="BB44" s="352">
        <f t="shared" si="333"/>
        <v>0</v>
      </c>
      <c r="BC44" s="352">
        <f t="shared" si="333"/>
        <v>0</v>
      </c>
      <c r="BD44" s="352">
        <f t="shared" si="333"/>
        <v>0</v>
      </c>
      <c r="BE44" s="352">
        <f t="shared" si="333"/>
        <v>0</v>
      </c>
      <c r="BF44" s="352">
        <f t="shared" si="333"/>
        <v>0</v>
      </c>
      <c r="BG44" s="352">
        <f t="shared" si="333"/>
        <v>0</v>
      </c>
      <c r="BH44" s="339">
        <v>18759</v>
      </c>
      <c r="BI44" s="339">
        <f t="shared" si="333"/>
        <v>0</v>
      </c>
      <c r="BJ44" s="339">
        <f t="shared" si="333"/>
        <v>0</v>
      </c>
      <c r="BK44" s="339">
        <v>-96.2</v>
      </c>
      <c r="BL44" s="352">
        <f t="shared" si="333"/>
        <v>0</v>
      </c>
      <c r="BM44" s="352">
        <f t="shared" si="166"/>
        <v>0</v>
      </c>
      <c r="BN44" s="352">
        <f t="shared" si="145"/>
        <v>0</v>
      </c>
      <c r="BO44" s="352">
        <f t="shared" si="145"/>
        <v>0</v>
      </c>
      <c r="BP44" s="352">
        <f t="shared" si="145"/>
        <v>0</v>
      </c>
      <c r="BQ44" s="352">
        <f t="shared" si="273"/>
        <v>0</v>
      </c>
      <c r="BR44" s="376">
        <f t="shared" si="20"/>
        <v>0</v>
      </c>
    </row>
    <row r="45" spans="1:70" s="240" customFormat="1" ht="15" customHeight="1" x14ac:dyDescent="0.25">
      <c r="A45" s="240" t="s">
        <v>132</v>
      </c>
      <c r="B45" s="313"/>
      <c r="C45" s="350"/>
      <c r="D45" s="447">
        <v>9982.7999999999993</v>
      </c>
      <c r="E45" s="350" t="s">
        <v>255</v>
      </c>
      <c r="F45" s="351"/>
      <c r="G45" s="351"/>
      <c r="H45" s="351"/>
      <c r="I45" s="351"/>
      <c r="J45" s="351"/>
      <c r="K45" s="351">
        <v>0</v>
      </c>
      <c r="L45" s="351">
        <v>0</v>
      </c>
      <c r="M45" s="351">
        <v>0</v>
      </c>
      <c r="N45" s="351">
        <v>0</v>
      </c>
      <c r="O45" s="351">
        <v>0</v>
      </c>
      <c r="P45" s="351">
        <v>0</v>
      </c>
      <c r="Q45" s="351">
        <v>1</v>
      </c>
      <c r="R45" s="351">
        <v>0</v>
      </c>
      <c r="S45" s="351">
        <v>0</v>
      </c>
      <c r="T45" s="351">
        <v>0</v>
      </c>
      <c r="U45" s="351"/>
      <c r="V45" s="351"/>
      <c r="W45" s="351"/>
      <c r="X45" s="351"/>
      <c r="Y45" s="351"/>
      <c r="Z45" s="449">
        <f t="shared" ref="Z45" si="334">SUM(F45:X45)</f>
        <v>1</v>
      </c>
      <c r="AA45" s="350"/>
      <c r="AB45" s="350"/>
      <c r="AC45" s="352">
        <f t="shared" ref="AC45" si="335">F45*$D45</f>
        <v>0</v>
      </c>
      <c r="AD45" s="352">
        <f t="shared" ref="AD45" si="336">G45*$D45</f>
        <v>0</v>
      </c>
      <c r="AE45" s="352">
        <f t="shared" ref="AE45" si="337">H45*$D45</f>
        <v>0</v>
      </c>
      <c r="AF45" s="352">
        <f t="shared" ref="AF45" si="338">I45*$D45</f>
        <v>0</v>
      </c>
      <c r="AG45" s="352">
        <f t="shared" ref="AG45" si="339">J45*$D45</f>
        <v>0</v>
      </c>
      <c r="AH45" s="352">
        <f t="shared" ref="AH45" si="340">K45*$D45</f>
        <v>0</v>
      </c>
      <c r="AI45" s="447">
        <f t="shared" ref="AI45" si="341">L45*$D45</f>
        <v>0</v>
      </c>
      <c r="AJ45" s="447">
        <f t="shared" ref="AJ45" si="342">M45*$D45</f>
        <v>0</v>
      </c>
      <c r="AK45" s="447">
        <f t="shared" ref="AK45" si="343">N45*$D45</f>
        <v>0</v>
      </c>
      <c r="AL45" s="447">
        <f t="shared" ref="AL45" si="344">O45*$D45</f>
        <v>0</v>
      </c>
      <c r="AM45" s="447">
        <f t="shared" ref="AM45" si="345">P45*$D45</f>
        <v>0</v>
      </c>
      <c r="AN45" s="447">
        <f t="shared" ref="AN45" si="346">Q45*$D45</f>
        <v>9982.7999999999993</v>
      </c>
      <c r="AO45" s="447">
        <f t="shared" ref="AO45" si="347">R45*$D45</f>
        <v>0</v>
      </c>
      <c r="AP45" s="339">
        <f t="shared" ref="AP45" si="348">S45*$D45</f>
        <v>0</v>
      </c>
      <c r="AQ45" s="339">
        <f t="shared" ref="AQ45" si="349">T45*$D45</f>
        <v>0</v>
      </c>
      <c r="AR45" s="339">
        <f t="shared" ref="AR45" si="350">U45*$D45</f>
        <v>0</v>
      </c>
      <c r="AS45" s="339">
        <f t="shared" ref="AS45" si="351">V45*$D45</f>
        <v>0</v>
      </c>
      <c r="AT45" s="339">
        <f t="shared" ref="AT45" si="352">W45*$D45</f>
        <v>0</v>
      </c>
      <c r="AU45" s="352">
        <f t="shared" ref="AU45" si="353">X45*$D45</f>
        <v>0</v>
      </c>
      <c r="AV45" s="352"/>
      <c r="AW45" s="352"/>
      <c r="AX45" s="352">
        <f t="shared" ref="AX45:BQ49" si="354">IF(AX$3=$E45,$D45,0)</f>
        <v>0</v>
      </c>
      <c r="AY45" s="352">
        <f t="shared" si="354"/>
        <v>0</v>
      </c>
      <c r="AZ45" s="447">
        <f t="shared" si="354"/>
        <v>0</v>
      </c>
      <c r="BA45" s="352">
        <f t="shared" si="268"/>
        <v>0</v>
      </c>
      <c r="BB45" s="352">
        <f t="shared" si="354"/>
        <v>0</v>
      </c>
      <c r="BC45" s="352">
        <f t="shared" si="354"/>
        <v>0</v>
      </c>
      <c r="BD45" s="352">
        <f t="shared" si="354"/>
        <v>0</v>
      </c>
      <c r="BE45" s="352">
        <f t="shared" si="354"/>
        <v>0</v>
      </c>
      <c r="BF45" s="352">
        <f t="shared" si="354"/>
        <v>0</v>
      </c>
      <c r="BG45" s="352">
        <f t="shared" si="354"/>
        <v>0</v>
      </c>
      <c r="BH45" s="339">
        <f t="shared" si="354"/>
        <v>9982.7999999999993</v>
      </c>
      <c r="BI45" s="352">
        <f t="shared" si="354"/>
        <v>0</v>
      </c>
      <c r="BJ45" s="352">
        <f t="shared" si="354"/>
        <v>0</v>
      </c>
      <c r="BK45" s="352">
        <f t="shared" si="354"/>
        <v>0</v>
      </c>
      <c r="BL45" s="352">
        <f t="shared" si="354"/>
        <v>0</v>
      </c>
      <c r="BM45" s="352">
        <f t="shared" si="354"/>
        <v>0</v>
      </c>
      <c r="BN45" s="352">
        <f t="shared" si="354"/>
        <v>0</v>
      </c>
      <c r="BO45" s="352">
        <f t="shared" si="354"/>
        <v>0</v>
      </c>
      <c r="BP45" s="352">
        <f t="shared" si="354"/>
        <v>0</v>
      </c>
      <c r="BQ45" s="352">
        <f t="shared" si="354"/>
        <v>0</v>
      </c>
      <c r="BR45" s="376">
        <f t="shared" si="20"/>
        <v>0</v>
      </c>
    </row>
    <row r="46" spans="1:70" s="240" customFormat="1" ht="15" customHeight="1" x14ac:dyDescent="0.25">
      <c r="A46" s="240" t="s">
        <v>132</v>
      </c>
      <c r="B46" s="313"/>
      <c r="C46" s="350"/>
      <c r="D46" s="447">
        <v>22746.57</v>
      </c>
      <c r="E46" s="350" t="s">
        <v>271</v>
      </c>
      <c r="F46" s="351"/>
      <c r="G46" s="351"/>
      <c r="H46" s="351"/>
      <c r="I46" s="351"/>
      <c r="J46" s="351"/>
      <c r="K46" s="351">
        <v>0</v>
      </c>
      <c r="L46" s="351">
        <v>0</v>
      </c>
      <c r="M46" s="351">
        <v>0</v>
      </c>
      <c r="N46" s="351">
        <v>0</v>
      </c>
      <c r="O46" s="351">
        <v>0</v>
      </c>
      <c r="P46" s="351">
        <v>0</v>
      </c>
      <c r="Q46" s="351">
        <v>0</v>
      </c>
      <c r="R46" s="351">
        <v>0</v>
      </c>
      <c r="S46" s="351">
        <v>0</v>
      </c>
      <c r="T46" s="351">
        <v>0</v>
      </c>
      <c r="U46" s="351">
        <v>0.2057787174066244</v>
      </c>
      <c r="V46" s="351">
        <v>0.36645525017618041</v>
      </c>
      <c r="W46" s="351">
        <v>0.36011275546159277</v>
      </c>
      <c r="X46" s="351">
        <v>6.7653276955602346E-2</v>
      </c>
      <c r="Y46" s="351"/>
      <c r="Z46" s="449">
        <f t="shared" ref="Z46" si="355">SUM(F46:X46)</f>
        <v>0.99999999999999989</v>
      </c>
      <c r="AA46" s="350"/>
      <c r="AB46" s="350"/>
      <c r="AC46" s="352">
        <f t="shared" ref="AC46" si="356">F46*$D46</f>
        <v>0</v>
      </c>
      <c r="AD46" s="352">
        <f t="shared" ref="AD46" si="357">G46*$D46</f>
        <v>0</v>
      </c>
      <c r="AE46" s="352">
        <f t="shared" ref="AE46" si="358">H46*$D46</f>
        <v>0</v>
      </c>
      <c r="AF46" s="352">
        <f t="shared" ref="AF46" si="359">I46*$D46</f>
        <v>0</v>
      </c>
      <c r="AG46" s="352">
        <f t="shared" ref="AG46" si="360">J46*$D46</f>
        <v>0</v>
      </c>
      <c r="AH46" s="352">
        <f t="shared" ref="AH46" si="361">K46*$D46</f>
        <v>0</v>
      </c>
      <c r="AI46" s="447">
        <f t="shared" ref="AI46" si="362">L46*$D46</f>
        <v>0</v>
      </c>
      <c r="AJ46" s="447">
        <f t="shared" ref="AJ46" si="363">M46*$D46</f>
        <v>0</v>
      </c>
      <c r="AK46" s="447">
        <f t="shared" ref="AK46" si="364">N46*$D46</f>
        <v>0</v>
      </c>
      <c r="AL46" s="447">
        <f t="shared" ref="AL46" si="365">O46*$D46</f>
        <v>0</v>
      </c>
      <c r="AM46" s="447">
        <f t="shared" ref="AM46" si="366">P46*$D46</f>
        <v>0</v>
      </c>
      <c r="AN46" s="447">
        <f t="shared" ref="AN46" si="367">Q46*$D46</f>
        <v>0</v>
      </c>
      <c r="AO46" s="447">
        <f t="shared" ref="AO46" si="368">R46*$D46</f>
        <v>0</v>
      </c>
      <c r="AP46" s="339">
        <f t="shared" ref="AP46" si="369">S46*$D46</f>
        <v>0</v>
      </c>
      <c r="AQ46" s="339">
        <f t="shared" ref="AQ46" si="370">T46*$D46</f>
        <v>0</v>
      </c>
      <c r="AR46" s="339">
        <f t="shared" ref="AR46" si="371">U46*$D46</f>
        <v>4680.76</v>
      </c>
      <c r="AS46" s="339">
        <f t="shared" ref="AS46" si="372">V46*$D46</f>
        <v>8335.6</v>
      </c>
      <c r="AT46" s="352">
        <f t="shared" ref="AT46" si="373">W46*$D46</f>
        <v>8191.3300000000017</v>
      </c>
      <c r="AU46" s="352">
        <f t="shared" ref="AU46" si="374">X46*$D46</f>
        <v>1538.8799999999956</v>
      </c>
      <c r="AV46" s="352"/>
      <c r="AW46" s="352"/>
      <c r="AX46" s="352">
        <f t="shared" si="354"/>
        <v>0</v>
      </c>
      <c r="AY46" s="352">
        <f t="shared" si="354"/>
        <v>0</v>
      </c>
      <c r="AZ46" s="447">
        <f t="shared" si="354"/>
        <v>0</v>
      </c>
      <c r="BA46" s="352">
        <f t="shared" si="268"/>
        <v>0</v>
      </c>
      <c r="BB46" s="352">
        <f t="shared" si="354"/>
        <v>0</v>
      </c>
      <c r="BC46" s="352">
        <f t="shared" si="354"/>
        <v>0</v>
      </c>
      <c r="BD46" s="352">
        <f t="shared" si="354"/>
        <v>0</v>
      </c>
      <c r="BE46" s="352">
        <f t="shared" si="354"/>
        <v>0</v>
      </c>
      <c r="BF46" s="352">
        <f t="shared" si="354"/>
        <v>0</v>
      </c>
      <c r="BG46" s="352">
        <f t="shared" si="354"/>
        <v>0</v>
      </c>
      <c r="BH46" s="352">
        <f t="shared" si="354"/>
        <v>0</v>
      </c>
      <c r="BI46" s="352">
        <f t="shared" si="354"/>
        <v>0</v>
      </c>
      <c r="BJ46" s="352">
        <f t="shared" si="354"/>
        <v>0</v>
      </c>
      <c r="BK46" s="339">
        <f t="shared" si="354"/>
        <v>0</v>
      </c>
      <c r="BL46" s="352">
        <f t="shared" si="354"/>
        <v>0</v>
      </c>
      <c r="BM46" s="352">
        <f t="shared" si="354"/>
        <v>22746.57</v>
      </c>
      <c r="BN46" s="352">
        <f t="shared" si="354"/>
        <v>0</v>
      </c>
      <c r="BO46" s="352">
        <f t="shared" si="354"/>
        <v>0</v>
      </c>
      <c r="BP46" s="352">
        <f t="shared" si="354"/>
        <v>0</v>
      </c>
      <c r="BQ46" s="352">
        <f t="shared" si="354"/>
        <v>0</v>
      </c>
      <c r="BR46" s="376">
        <f t="shared" si="20"/>
        <v>0</v>
      </c>
    </row>
    <row r="47" spans="1:70" s="240" customFormat="1" ht="15" customHeight="1" x14ac:dyDescent="0.25">
      <c r="A47" s="240" t="s">
        <v>132</v>
      </c>
      <c r="B47" s="313"/>
      <c r="C47" s="350"/>
      <c r="D47" s="447">
        <v>22746.57</v>
      </c>
      <c r="E47" s="350" t="s">
        <v>271</v>
      </c>
      <c r="F47" s="351"/>
      <c r="G47" s="351"/>
      <c r="H47" s="351"/>
      <c r="I47" s="351"/>
      <c r="J47" s="351"/>
      <c r="K47" s="351">
        <v>0</v>
      </c>
      <c r="L47" s="351">
        <v>0</v>
      </c>
      <c r="M47" s="351">
        <v>0</v>
      </c>
      <c r="N47" s="351">
        <v>0</v>
      </c>
      <c r="O47" s="351">
        <v>0</v>
      </c>
      <c r="P47" s="351">
        <v>0</v>
      </c>
      <c r="Q47" s="351">
        <v>0</v>
      </c>
      <c r="R47" s="351">
        <v>0</v>
      </c>
      <c r="S47" s="351">
        <v>0</v>
      </c>
      <c r="T47" s="351">
        <v>0</v>
      </c>
      <c r="U47" s="351">
        <v>0.2057787174066244</v>
      </c>
      <c r="V47" s="351">
        <v>0.36645525017618041</v>
      </c>
      <c r="W47" s="351">
        <v>0.36011275546159277</v>
      </c>
      <c r="X47" s="351">
        <v>6.7653276955602346E-2</v>
      </c>
      <c r="Y47" s="351"/>
      <c r="Z47" s="449">
        <f t="shared" ref="Z47:Z48" si="375">SUM(F47:X47)</f>
        <v>0.99999999999999989</v>
      </c>
      <c r="AA47" s="350"/>
      <c r="AB47" s="350"/>
      <c r="AC47" s="352">
        <f t="shared" ref="AC47:AC48" si="376">F47*$D47</f>
        <v>0</v>
      </c>
      <c r="AD47" s="352">
        <f t="shared" ref="AD47:AD48" si="377">G47*$D47</f>
        <v>0</v>
      </c>
      <c r="AE47" s="352">
        <f t="shared" ref="AE47:AE48" si="378">H47*$D47</f>
        <v>0</v>
      </c>
      <c r="AF47" s="352">
        <f t="shared" ref="AF47:AF48" si="379">I47*$D47</f>
        <v>0</v>
      </c>
      <c r="AG47" s="352">
        <f t="shared" ref="AG47:AG48" si="380">J47*$D47</f>
        <v>0</v>
      </c>
      <c r="AH47" s="352">
        <f t="shared" ref="AH47:AH48" si="381">K47*$D47</f>
        <v>0</v>
      </c>
      <c r="AI47" s="447">
        <f t="shared" ref="AI47:AI48" si="382">L47*$D47</f>
        <v>0</v>
      </c>
      <c r="AJ47" s="447">
        <f t="shared" ref="AJ47:AJ48" si="383">M47*$D47</f>
        <v>0</v>
      </c>
      <c r="AK47" s="447">
        <f t="shared" ref="AK47:AK48" si="384">N47*$D47</f>
        <v>0</v>
      </c>
      <c r="AL47" s="447">
        <f t="shared" ref="AL47:AL48" si="385">O47*$D47</f>
        <v>0</v>
      </c>
      <c r="AM47" s="447">
        <f t="shared" ref="AM47:AM48" si="386">P47*$D47</f>
        <v>0</v>
      </c>
      <c r="AN47" s="447">
        <f t="shared" ref="AN47:AN48" si="387">Q47*$D47</f>
        <v>0</v>
      </c>
      <c r="AO47" s="447">
        <f t="shared" ref="AO47:AO48" si="388">R47*$D47</f>
        <v>0</v>
      </c>
      <c r="AP47" s="339">
        <f t="shared" ref="AP47:AP48" si="389">S47*$D47</f>
        <v>0</v>
      </c>
      <c r="AQ47" s="339">
        <f t="shared" ref="AQ47:AQ48" si="390">T47*$D47</f>
        <v>0</v>
      </c>
      <c r="AR47" s="339">
        <f t="shared" ref="AR47:AR48" si="391">U47*$D47</f>
        <v>4680.76</v>
      </c>
      <c r="AS47" s="339">
        <f t="shared" ref="AS47:AS48" si="392">V47*$D47</f>
        <v>8335.6</v>
      </c>
      <c r="AT47" s="352">
        <f t="shared" ref="AT47:AT48" si="393">W47*$D47</f>
        <v>8191.3300000000017</v>
      </c>
      <c r="AU47" s="352">
        <f t="shared" ref="AU47:AU48" si="394">X47*$D47</f>
        <v>1538.8799999999956</v>
      </c>
      <c r="AV47" s="352"/>
      <c r="AW47" s="352"/>
      <c r="AX47" s="352">
        <f t="shared" si="354"/>
        <v>0</v>
      </c>
      <c r="AY47" s="352">
        <f t="shared" si="354"/>
        <v>0</v>
      </c>
      <c r="AZ47" s="447">
        <f t="shared" si="354"/>
        <v>0</v>
      </c>
      <c r="BA47" s="352">
        <f t="shared" si="268"/>
        <v>0</v>
      </c>
      <c r="BB47" s="352">
        <f t="shared" si="354"/>
        <v>0</v>
      </c>
      <c r="BC47" s="352">
        <f t="shared" si="354"/>
        <v>0</v>
      </c>
      <c r="BD47" s="352">
        <f t="shared" si="354"/>
        <v>0</v>
      </c>
      <c r="BE47" s="352">
        <f t="shared" si="354"/>
        <v>0</v>
      </c>
      <c r="BF47" s="352">
        <f t="shared" si="354"/>
        <v>0</v>
      </c>
      <c r="BG47" s="352">
        <f t="shared" si="354"/>
        <v>0</v>
      </c>
      <c r="BH47" s="352">
        <f t="shared" si="354"/>
        <v>0</v>
      </c>
      <c r="BI47" s="352">
        <f t="shared" si="354"/>
        <v>0</v>
      </c>
      <c r="BJ47" s="352">
        <f t="shared" si="354"/>
        <v>0</v>
      </c>
      <c r="BK47" s="339">
        <f t="shared" si="354"/>
        <v>0</v>
      </c>
      <c r="BL47" s="352">
        <f t="shared" si="354"/>
        <v>0</v>
      </c>
      <c r="BM47" s="352">
        <f t="shared" si="354"/>
        <v>22746.57</v>
      </c>
      <c r="BN47" s="352">
        <f t="shared" si="354"/>
        <v>0</v>
      </c>
      <c r="BO47" s="352">
        <f t="shared" si="354"/>
        <v>0</v>
      </c>
      <c r="BP47" s="352">
        <f t="shared" si="354"/>
        <v>0</v>
      </c>
      <c r="BQ47" s="352">
        <f t="shared" si="354"/>
        <v>0</v>
      </c>
      <c r="BR47" s="376">
        <f t="shared" si="20"/>
        <v>0</v>
      </c>
    </row>
    <row r="48" spans="1:70" s="240" customFormat="1" ht="15" customHeight="1" x14ac:dyDescent="0.25">
      <c r="A48" s="240" t="s">
        <v>132</v>
      </c>
      <c r="B48" s="313"/>
      <c r="C48" s="350"/>
      <c r="D48" s="447">
        <v>22169.49</v>
      </c>
      <c r="E48" s="350" t="s">
        <v>271</v>
      </c>
      <c r="F48" s="351"/>
      <c r="G48" s="351"/>
      <c r="H48" s="351"/>
      <c r="I48" s="351"/>
      <c r="J48" s="351"/>
      <c r="K48" s="351">
        <v>0</v>
      </c>
      <c r="L48" s="351">
        <v>0</v>
      </c>
      <c r="M48" s="351">
        <v>0</v>
      </c>
      <c r="N48" s="351">
        <v>0</v>
      </c>
      <c r="O48" s="351">
        <v>0</v>
      </c>
      <c r="P48" s="351">
        <v>0</v>
      </c>
      <c r="Q48" s="351">
        <v>0</v>
      </c>
      <c r="R48" s="351">
        <v>0</v>
      </c>
      <c r="S48" s="351">
        <v>0</v>
      </c>
      <c r="T48" s="351">
        <v>0</v>
      </c>
      <c r="U48" s="351">
        <v>0.18510484454085321</v>
      </c>
      <c r="V48" s="351">
        <v>0.37599421547360806</v>
      </c>
      <c r="W48" s="351">
        <v>0.36948662328271881</v>
      </c>
      <c r="X48" s="351">
        <v>6.9414316702819917E-2</v>
      </c>
      <c r="Y48" s="351"/>
      <c r="Z48" s="449">
        <f t="shared" si="375"/>
        <v>1</v>
      </c>
      <c r="AA48" s="350"/>
      <c r="AB48" s="350"/>
      <c r="AC48" s="352">
        <f t="shared" si="376"/>
        <v>0</v>
      </c>
      <c r="AD48" s="352">
        <f t="shared" si="377"/>
        <v>0</v>
      </c>
      <c r="AE48" s="352">
        <f t="shared" si="378"/>
        <v>0</v>
      </c>
      <c r="AF48" s="352">
        <f t="shared" si="379"/>
        <v>0</v>
      </c>
      <c r="AG48" s="352">
        <f t="shared" si="380"/>
        <v>0</v>
      </c>
      <c r="AH48" s="352">
        <f t="shared" si="381"/>
        <v>0</v>
      </c>
      <c r="AI48" s="447">
        <f t="shared" si="382"/>
        <v>0</v>
      </c>
      <c r="AJ48" s="447">
        <f t="shared" si="383"/>
        <v>0</v>
      </c>
      <c r="AK48" s="447">
        <f t="shared" si="384"/>
        <v>0</v>
      </c>
      <c r="AL48" s="447">
        <f t="shared" si="385"/>
        <v>0</v>
      </c>
      <c r="AM48" s="447">
        <f t="shared" si="386"/>
        <v>0</v>
      </c>
      <c r="AN48" s="447">
        <f t="shared" si="387"/>
        <v>0</v>
      </c>
      <c r="AO48" s="447">
        <f t="shared" si="388"/>
        <v>0</v>
      </c>
      <c r="AP48" s="339">
        <f t="shared" si="389"/>
        <v>0</v>
      </c>
      <c r="AQ48" s="339">
        <f t="shared" si="390"/>
        <v>0</v>
      </c>
      <c r="AR48" s="339">
        <f t="shared" si="391"/>
        <v>4103.68</v>
      </c>
      <c r="AS48" s="339">
        <f t="shared" si="392"/>
        <v>8335.6</v>
      </c>
      <c r="AT48" s="352">
        <f t="shared" si="393"/>
        <v>8191.3300000000027</v>
      </c>
      <c r="AU48" s="352">
        <f t="shared" si="394"/>
        <v>1538.8799999999992</v>
      </c>
      <c r="AV48" s="352"/>
      <c r="AW48" s="352"/>
      <c r="AX48" s="352">
        <f t="shared" si="354"/>
        <v>0</v>
      </c>
      <c r="AY48" s="352">
        <f t="shared" si="354"/>
        <v>0</v>
      </c>
      <c r="AZ48" s="447">
        <f t="shared" si="354"/>
        <v>0</v>
      </c>
      <c r="BA48" s="352">
        <f t="shared" si="268"/>
        <v>0</v>
      </c>
      <c r="BB48" s="352">
        <f t="shared" si="354"/>
        <v>0</v>
      </c>
      <c r="BC48" s="352">
        <f t="shared" si="354"/>
        <v>0</v>
      </c>
      <c r="BD48" s="352">
        <f t="shared" si="354"/>
        <v>0</v>
      </c>
      <c r="BE48" s="352">
        <f t="shared" si="354"/>
        <v>0</v>
      </c>
      <c r="BF48" s="352">
        <f t="shared" si="354"/>
        <v>0</v>
      </c>
      <c r="BG48" s="352">
        <f t="shared" si="354"/>
        <v>0</v>
      </c>
      <c r="BH48" s="352">
        <f t="shared" si="354"/>
        <v>0</v>
      </c>
      <c r="BI48" s="352">
        <f t="shared" si="354"/>
        <v>0</v>
      </c>
      <c r="BJ48" s="352">
        <f t="shared" si="354"/>
        <v>0</v>
      </c>
      <c r="BK48" s="339">
        <f t="shared" si="354"/>
        <v>0</v>
      </c>
      <c r="BL48" s="352">
        <f t="shared" si="354"/>
        <v>0</v>
      </c>
      <c r="BM48" s="352">
        <f t="shared" si="354"/>
        <v>22169.49</v>
      </c>
      <c r="BN48" s="352">
        <f t="shared" si="354"/>
        <v>0</v>
      </c>
      <c r="BO48" s="352">
        <f t="shared" si="354"/>
        <v>0</v>
      </c>
      <c r="BP48" s="352">
        <f t="shared" si="354"/>
        <v>0</v>
      </c>
      <c r="BQ48" s="352">
        <f t="shared" si="354"/>
        <v>0</v>
      </c>
      <c r="BR48" s="376">
        <f t="shared" ref="BR48:BR49" si="395">SUM(AC48:AV48)-SUM(AX48:BQ48)</f>
        <v>0</v>
      </c>
    </row>
    <row r="49" spans="1:70" s="240" customFormat="1" ht="15" customHeight="1" x14ac:dyDescent="0.25">
      <c r="A49" s="240" t="s">
        <v>132</v>
      </c>
      <c r="B49" s="313"/>
      <c r="C49" s="350"/>
      <c r="D49" s="447">
        <v>22169.49</v>
      </c>
      <c r="E49" s="350" t="s">
        <v>271</v>
      </c>
      <c r="F49" s="351"/>
      <c r="G49" s="351"/>
      <c r="H49" s="351"/>
      <c r="I49" s="351"/>
      <c r="J49" s="351"/>
      <c r="K49" s="351">
        <v>0</v>
      </c>
      <c r="L49" s="351">
        <v>0</v>
      </c>
      <c r="M49" s="351">
        <v>0</v>
      </c>
      <c r="N49" s="351">
        <v>0</v>
      </c>
      <c r="O49" s="351">
        <v>0</v>
      </c>
      <c r="P49" s="351">
        <v>0</v>
      </c>
      <c r="Q49" s="351">
        <v>0</v>
      </c>
      <c r="R49" s="351">
        <v>0</v>
      </c>
      <c r="S49" s="351">
        <v>0</v>
      </c>
      <c r="T49" s="351">
        <v>0</v>
      </c>
      <c r="U49" s="351">
        <v>0.18510484454085321</v>
      </c>
      <c r="V49" s="351">
        <v>0.37599421547360806</v>
      </c>
      <c r="W49" s="351">
        <v>0.36948662328271881</v>
      </c>
      <c r="X49" s="351">
        <v>6.9414316702819917E-2</v>
      </c>
      <c r="Y49" s="351"/>
      <c r="Z49" s="449">
        <f t="shared" ref="Z49" si="396">SUM(F49:X49)</f>
        <v>1</v>
      </c>
      <c r="AA49" s="350"/>
      <c r="AB49" s="350"/>
      <c r="AC49" s="352">
        <f t="shared" ref="AC49" si="397">F49*$D49</f>
        <v>0</v>
      </c>
      <c r="AD49" s="352">
        <f t="shared" ref="AD49" si="398">G49*$D49</f>
        <v>0</v>
      </c>
      <c r="AE49" s="352">
        <f t="shared" ref="AE49" si="399">H49*$D49</f>
        <v>0</v>
      </c>
      <c r="AF49" s="352">
        <f t="shared" ref="AF49" si="400">I49*$D49</f>
        <v>0</v>
      </c>
      <c r="AG49" s="352">
        <f t="shared" ref="AG49" si="401">J49*$D49</f>
        <v>0</v>
      </c>
      <c r="AH49" s="352">
        <f t="shared" ref="AH49" si="402">K49*$D49</f>
        <v>0</v>
      </c>
      <c r="AI49" s="447">
        <f t="shared" ref="AI49" si="403">L49*$D49</f>
        <v>0</v>
      </c>
      <c r="AJ49" s="447">
        <f t="shared" ref="AJ49" si="404">M49*$D49</f>
        <v>0</v>
      </c>
      <c r="AK49" s="447">
        <f t="shared" ref="AK49" si="405">N49*$D49</f>
        <v>0</v>
      </c>
      <c r="AL49" s="447">
        <f t="shared" ref="AL49" si="406">O49*$D49</f>
        <v>0</v>
      </c>
      <c r="AM49" s="447">
        <f t="shared" ref="AM49" si="407">P49*$D49</f>
        <v>0</v>
      </c>
      <c r="AN49" s="447">
        <f t="shared" ref="AN49" si="408">Q49*$D49</f>
        <v>0</v>
      </c>
      <c r="AO49" s="447">
        <f t="shared" ref="AO49" si="409">R49*$D49</f>
        <v>0</v>
      </c>
      <c r="AP49" s="339">
        <f t="shared" ref="AP49" si="410">S49*$D49</f>
        <v>0</v>
      </c>
      <c r="AQ49" s="339">
        <f t="shared" ref="AQ49" si="411">T49*$D49</f>
        <v>0</v>
      </c>
      <c r="AR49" s="339">
        <f t="shared" ref="AR49" si="412">U49*$D49</f>
        <v>4103.68</v>
      </c>
      <c r="AS49" s="339">
        <f t="shared" ref="AS49" si="413">V49*$D49</f>
        <v>8335.6</v>
      </c>
      <c r="AT49" s="352">
        <f t="shared" ref="AT49" si="414">W49*$D49</f>
        <v>8191.3300000000027</v>
      </c>
      <c r="AU49" s="352">
        <f t="shared" ref="AU49" si="415">X49*$D49</f>
        <v>1538.8799999999992</v>
      </c>
      <c r="AV49" s="352"/>
      <c r="AW49" s="352"/>
      <c r="AX49" s="352">
        <f t="shared" si="354"/>
        <v>0</v>
      </c>
      <c r="AY49" s="352">
        <f t="shared" si="354"/>
        <v>0</v>
      </c>
      <c r="AZ49" s="447">
        <f t="shared" si="354"/>
        <v>0</v>
      </c>
      <c r="BA49" s="352">
        <f t="shared" si="268"/>
        <v>0</v>
      </c>
      <c r="BB49" s="352">
        <f t="shared" si="354"/>
        <v>0</v>
      </c>
      <c r="BC49" s="352">
        <f t="shared" si="354"/>
        <v>0</v>
      </c>
      <c r="BD49" s="352">
        <f t="shared" si="354"/>
        <v>0</v>
      </c>
      <c r="BE49" s="352">
        <f t="shared" si="354"/>
        <v>0</v>
      </c>
      <c r="BF49" s="352">
        <f t="shared" si="354"/>
        <v>0</v>
      </c>
      <c r="BG49" s="352">
        <f t="shared" si="354"/>
        <v>0</v>
      </c>
      <c r="BH49" s="352">
        <f t="shared" si="354"/>
        <v>0</v>
      </c>
      <c r="BI49" s="352">
        <f t="shared" si="354"/>
        <v>0</v>
      </c>
      <c r="BJ49" s="352">
        <f t="shared" si="354"/>
        <v>0</v>
      </c>
      <c r="BK49" s="339">
        <f t="shared" si="354"/>
        <v>0</v>
      </c>
      <c r="BL49" s="352">
        <f t="shared" si="354"/>
        <v>0</v>
      </c>
      <c r="BM49" s="352">
        <f t="shared" si="354"/>
        <v>22169.49</v>
      </c>
      <c r="BN49" s="352">
        <f t="shared" si="354"/>
        <v>0</v>
      </c>
      <c r="BO49" s="352">
        <f t="shared" si="354"/>
        <v>0</v>
      </c>
      <c r="BP49" s="352">
        <f t="shared" si="354"/>
        <v>0</v>
      </c>
      <c r="BQ49" s="352">
        <f t="shared" si="354"/>
        <v>0</v>
      </c>
      <c r="BR49" s="376">
        <f t="shared" si="395"/>
        <v>0</v>
      </c>
    </row>
    <row r="50" spans="1:70" s="240" customFormat="1" ht="15" customHeight="1" x14ac:dyDescent="0.25">
      <c r="A50" s="240" t="s">
        <v>132</v>
      </c>
      <c r="B50" s="313"/>
      <c r="C50" s="350"/>
      <c r="D50" s="447">
        <v>29581.599999999999</v>
      </c>
      <c r="E50" s="350" t="s">
        <v>255</v>
      </c>
      <c r="F50" s="351"/>
      <c r="G50" s="351"/>
      <c r="H50" s="351"/>
      <c r="I50" s="351"/>
      <c r="J50" s="351"/>
      <c r="K50" s="351">
        <v>0</v>
      </c>
      <c r="L50" s="351">
        <v>0</v>
      </c>
      <c r="M50" s="351">
        <v>0</v>
      </c>
      <c r="N50" s="351">
        <v>0</v>
      </c>
      <c r="O50" s="351">
        <v>0</v>
      </c>
      <c r="P50" s="351">
        <v>0</v>
      </c>
      <c r="Q50" s="351">
        <v>0.3009708737864078</v>
      </c>
      <c r="R50" s="351">
        <v>0.30097087378640774</v>
      </c>
      <c r="S50" s="351">
        <v>0.30582524271844658</v>
      </c>
      <c r="T50" s="351">
        <v>9.2233009708737879E-2</v>
      </c>
      <c r="U50" s="351"/>
      <c r="V50" s="351"/>
      <c r="W50" s="351"/>
      <c r="X50" s="351"/>
      <c r="Y50" s="351"/>
      <c r="Z50" s="449">
        <f>SUM(F50:X50)</f>
        <v>1</v>
      </c>
      <c r="AA50" s="350"/>
      <c r="AB50" s="350"/>
      <c r="AC50" s="352">
        <f t="shared" ref="AC50:AL53" si="416">F50*$D50</f>
        <v>0</v>
      </c>
      <c r="AD50" s="352">
        <f t="shared" si="416"/>
        <v>0</v>
      </c>
      <c r="AE50" s="352">
        <f t="shared" si="416"/>
        <v>0</v>
      </c>
      <c r="AF50" s="352">
        <f t="shared" si="416"/>
        <v>0</v>
      </c>
      <c r="AG50" s="352">
        <f t="shared" si="416"/>
        <v>0</v>
      </c>
      <c r="AH50" s="352">
        <f t="shared" si="416"/>
        <v>0</v>
      </c>
      <c r="AI50" s="447">
        <f t="shared" si="416"/>
        <v>0</v>
      </c>
      <c r="AJ50" s="447">
        <f t="shared" si="416"/>
        <v>0</v>
      </c>
      <c r="AK50" s="447">
        <f t="shared" si="416"/>
        <v>0</v>
      </c>
      <c r="AL50" s="447">
        <f t="shared" si="416"/>
        <v>0</v>
      </c>
      <c r="AM50" s="447">
        <f t="shared" ref="AM50:AU53" si="417">P50*$D50</f>
        <v>0</v>
      </c>
      <c r="AN50" s="447">
        <f t="shared" si="417"/>
        <v>8903.2000000000007</v>
      </c>
      <c r="AO50" s="447">
        <f t="shared" si="417"/>
        <v>8903.1999999999989</v>
      </c>
      <c r="AP50" s="447">
        <f t="shared" si="417"/>
        <v>9046.7999999999993</v>
      </c>
      <c r="AQ50" s="339">
        <f t="shared" si="417"/>
        <v>2728.4</v>
      </c>
      <c r="AR50" s="352">
        <f t="shared" si="417"/>
        <v>0</v>
      </c>
      <c r="AS50" s="352">
        <f t="shared" si="417"/>
        <v>0</v>
      </c>
      <c r="AT50" s="352">
        <f t="shared" si="417"/>
        <v>0</v>
      </c>
      <c r="AU50" s="352">
        <f t="shared" si="417"/>
        <v>0</v>
      </c>
      <c r="AV50" s="352"/>
      <c r="AW50" s="352"/>
      <c r="AX50" s="352">
        <f t="shared" ref="AX50:BG51" si="418">IF(AX$3=$E50,$D50,0)</f>
        <v>0</v>
      </c>
      <c r="AY50" s="352">
        <f t="shared" si="418"/>
        <v>0</v>
      </c>
      <c r="AZ50" s="447">
        <f t="shared" si="418"/>
        <v>0</v>
      </c>
      <c r="BA50" s="352">
        <f t="shared" si="418"/>
        <v>0</v>
      </c>
      <c r="BB50" s="352">
        <f t="shared" si="418"/>
        <v>0</v>
      </c>
      <c r="BC50" s="352">
        <f t="shared" si="418"/>
        <v>0</v>
      </c>
      <c r="BD50" s="352">
        <f t="shared" si="418"/>
        <v>0</v>
      </c>
      <c r="BE50" s="352">
        <f t="shared" si="418"/>
        <v>0</v>
      </c>
      <c r="BF50" s="352">
        <f t="shared" si="418"/>
        <v>0</v>
      </c>
      <c r="BG50" s="352">
        <f t="shared" si="418"/>
        <v>0</v>
      </c>
      <c r="BH50" s="352">
        <v>35002.5</v>
      </c>
      <c r="BI50" s="352">
        <f t="shared" ref="BI50:BQ51" si="419">IF(BI$3=$E50,$D50,0)</f>
        <v>0</v>
      </c>
      <c r="BJ50" s="352">
        <f t="shared" si="419"/>
        <v>0</v>
      </c>
      <c r="BK50" s="352">
        <f t="shared" si="419"/>
        <v>0</v>
      </c>
      <c r="BL50" s="352">
        <v>-5420.9</v>
      </c>
      <c r="BM50" s="352">
        <f t="shared" si="419"/>
        <v>0</v>
      </c>
      <c r="BN50" s="352">
        <f t="shared" si="419"/>
        <v>0</v>
      </c>
      <c r="BO50" s="352">
        <f t="shared" si="419"/>
        <v>0</v>
      </c>
      <c r="BP50" s="352">
        <f t="shared" si="419"/>
        <v>0</v>
      </c>
      <c r="BQ50" s="352">
        <f t="shared" si="419"/>
        <v>0</v>
      </c>
      <c r="BR50" s="376">
        <f t="shared" si="20"/>
        <v>0</v>
      </c>
    </row>
    <row r="51" spans="1:70" s="240" customFormat="1" ht="15" customHeight="1" x14ac:dyDescent="0.25">
      <c r="A51" s="240" t="s">
        <v>132</v>
      </c>
      <c r="B51" s="313"/>
      <c r="C51" s="350"/>
      <c r="D51" s="447">
        <v>43134</v>
      </c>
      <c r="E51" s="350" t="s">
        <v>208</v>
      </c>
      <c r="F51" s="351"/>
      <c r="G51" s="351"/>
      <c r="H51" s="351"/>
      <c r="I51" s="351"/>
      <c r="J51" s="351"/>
      <c r="K51" s="351"/>
      <c r="L51" s="351">
        <v>0</v>
      </c>
      <c r="M51" s="351">
        <v>0</v>
      </c>
      <c r="N51" s="351">
        <v>0</v>
      </c>
      <c r="O51" s="351">
        <v>0</v>
      </c>
      <c r="P51" s="351">
        <v>0</v>
      </c>
      <c r="Q51" s="351">
        <v>0</v>
      </c>
      <c r="R51" s="351">
        <v>0</v>
      </c>
      <c r="S51" s="351">
        <v>0</v>
      </c>
      <c r="T51" s="351">
        <v>0.1723076923076923</v>
      </c>
      <c r="U51" s="351">
        <v>0.25025641025641027</v>
      </c>
      <c r="V51" s="351">
        <v>0.26666666666666672</v>
      </c>
      <c r="W51" s="351">
        <v>0.25846153846153852</v>
      </c>
      <c r="X51" s="351">
        <v>5.2307692307692166E-2</v>
      </c>
      <c r="Y51" s="351"/>
      <c r="Z51" s="449">
        <f t="shared" ref="Z51" si="420">SUM(F51:X51)</f>
        <v>1</v>
      </c>
      <c r="AA51" s="350"/>
      <c r="AB51" s="350"/>
      <c r="AC51" s="352">
        <f t="shared" si="416"/>
        <v>0</v>
      </c>
      <c r="AD51" s="352">
        <f t="shared" si="416"/>
        <v>0</v>
      </c>
      <c r="AE51" s="352">
        <f t="shared" si="416"/>
        <v>0</v>
      </c>
      <c r="AF51" s="352">
        <f t="shared" si="416"/>
        <v>0</v>
      </c>
      <c r="AG51" s="352">
        <f t="shared" si="416"/>
        <v>0</v>
      </c>
      <c r="AH51" s="352">
        <f t="shared" si="416"/>
        <v>0</v>
      </c>
      <c r="AI51" s="447">
        <f t="shared" si="416"/>
        <v>0</v>
      </c>
      <c r="AJ51" s="447">
        <f t="shared" si="416"/>
        <v>0</v>
      </c>
      <c r="AK51" s="447">
        <f t="shared" si="416"/>
        <v>0</v>
      </c>
      <c r="AL51" s="447">
        <f t="shared" si="416"/>
        <v>0</v>
      </c>
      <c r="AM51" s="447">
        <f t="shared" si="417"/>
        <v>0</v>
      </c>
      <c r="AN51" s="447">
        <f t="shared" si="417"/>
        <v>0</v>
      </c>
      <c r="AO51" s="447">
        <f t="shared" si="417"/>
        <v>0</v>
      </c>
      <c r="AP51" s="447">
        <f t="shared" si="417"/>
        <v>0</v>
      </c>
      <c r="AQ51" s="339">
        <f t="shared" si="417"/>
        <v>7432.32</v>
      </c>
      <c r="AR51" s="339">
        <f t="shared" si="417"/>
        <v>10794.560000000001</v>
      </c>
      <c r="AS51" s="339">
        <f t="shared" si="417"/>
        <v>11502.400000000001</v>
      </c>
      <c r="AT51" s="339">
        <f t="shared" si="417"/>
        <v>11148.480000000003</v>
      </c>
      <c r="AU51" s="339">
        <f t="shared" si="417"/>
        <v>2256.2399999999939</v>
      </c>
      <c r="AV51" s="352"/>
      <c r="AW51" s="352"/>
      <c r="AX51" s="352">
        <f t="shared" si="17"/>
        <v>0</v>
      </c>
      <c r="AY51" s="352">
        <f t="shared" si="17"/>
        <v>0</v>
      </c>
      <c r="AZ51" s="447">
        <f t="shared" si="17"/>
        <v>0</v>
      </c>
      <c r="BA51" s="352">
        <f t="shared" si="268"/>
        <v>0</v>
      </c>
      <c r="BB51" s="352">
        <f t="shared" si="17"/>
        <v>0</v>
      </c>
      <c r="BC51" s="352">
        <f t="shared" si="17"/>
        <v>0</v>
      </c>
      <c r="BD51" s="352">
        <f t="shared" si="418"/>
        <v>0</v>
      </c>
      <c r="BE51" s="352">
        <f t="shared" si="17"/>
        <v>0</v>
      </c>
      <c r="BF51" s="352">
        <f t="shared" si="17"/>
        <v>0</v>
      </c>
      <c r="BG51" s="352">
        <f t="shared" si="17"/>
        <v>0</v>
      </c>
      <c r="BH51" s="352">
        <f t="shared" si="17"/>
        <v>0</v>
      </c>
      <c r="BI51" s="352">
        <f t="shared" si="17"/>
        <v>0</v>
      </c>
      <c r="BJ51" s="352">
        <f t="shared" si="17"/>
        <v>0</v>
      </c>
      <c r="BK51" s="352">
        <f t="shared" si="17"/>
        <v>0</v>
      </c>
      <c r="BL51" s="352">
        <f t="shared" si="17"/>
        <v>43134</v>
      </c>
      <c r="BM51" s="352">
        <f t="shared" si="166"/>
        <v>0</v>
      </c>
      <c r="BN51" s="352">
        <f t="shared" si="419"/>
        <v>0</v>
      </c>
      <c r="BO51" s="352">
        <f t="shared" si="419"/>
        <v>0</v>
      </c>
      <c r="BP51" s="352">
        <f t="shared" si="419"/>
        <v>0</v>
      </c>
      <c r="BQ51" s="352">
        <f t="shared" si="419"/>
        <v>0</v>
      </c>
      <c r="BR51" s="376">
        <f t="shared" ref="BR51" si="421">SUM(AC51:AV51)-SUM(AX51:BQ51)</f>
        <v>0</v>
      </c>
    </row>
    <row r="52" spans="1:70" s="240" customFormat="1" ht="15" customHeight="1" x14ac:dyDescent="0.25">
      <c r="A52" s="240" t="s">
        <v>132</v>
      </c>
      <c r="B52" s="313"/>
      <c r="C52" s="350"/>
      <c r="D52" s="447">
        <v>71999.039999999994</v>
      </c>
      <c r="E52" s="350" t="s">
        <v>255</v>
      </c>
      <c r="F52" s="351"/>
      <c r="G52" s="351"/>
      <c r="H52" s="351"/>
      <c r="I52" s="351"/>
      <c r="J52" s="351"/>
      <c r="K52" s="351">
        <v>0</v>
      </c>
      <c r="L52" s="351">
        <v>0</v>
      </c>
      <c r="M52" s="351">
        <v>0</v>
      </c>
      <c r="N52" s="351">
        <v>0</v>
      </c>
      <c r="O52" s="351">
        <v>0</v>
      </c>
      <c r="P52" s="351">
        <v>9.00900900900901E-2</v>
      </c>
      <c r="Q52" s="351">
        <v>0.27927927927927931</v>
      </c>
      <c r="R52" s="351">
        <v>0.27927927927927931</v>
      </c>
      <c r="S52" s="351">
        <v>0.28378378378378383</v>
      </c>
      <c r="T52" s="351">
        <v>6.7567567567567571E-2</v>
      </c>
      <c r="U52" s="351"/>
      <c r="V52" s="351"/>
      <c r="W52" s="351"/>
      <c r="X52" s="351"/>
      <c r="Y52" s="351"/>
      <c r="Z52" s="449">
        <f t="shared" ref="Z52:Z53" si="422">SUM(F52:X52)</f>
        <v>1</v>
      </c>
      <c r="AA52" s="350"/>
      <c r="AB52" s="350"/>
      <c r="AC52" s="352">
        <f t="shared" si="416"/>
        <v>0</v>
      </c>
      <c r="AD52" s="352">
        <f t="shared" si="416"/>
        <v>0</v>
      </c>
      <c r="AE52" s="352">
        <f t="shared" si="416"/>
        <v>0</v>
      </c>
      <c r="AF52" s="352">
        <f t="shared" si="416"/>
        <v>0</v>
      </c>
      <c r="AG52" s="352">
        <f t="shared" si="416"/>
        <v>0</v>
      </c>
      <c r="AH52" s="352">
        <f t="shared" si="416"/>
        <v>0</v>
      </c>
      <c r="AI52" s="447">
        <f t="shared" si="416"/>
        <v>0</v>
      </c>
      <c r="AJ52" s="447">
        <f t="shared" si="416"/>
        <v>0</v>
      </c>
      <c r="AK52" s="447">
        <f t="shared" si="416"/>
        <v>0</v>
      </c>
      <c r="AL52" s="447">
        <f t="shared" si="416"/>
        <v>0</v>
      </c>
      <c r="AM52" s="447">
        <f t="shared" si="417"/>
        <v>6486.4000000000005</v>
      </c>
      <c r="AN52" s="447">
        <f t="shared" si="417"/>
        <v>20107.84</v>
      </c>
      <c r="AO52" s="447">
        <f t="shared" si="417"/>
        <v>20107.84</v>
      </c>
      <c r="AP52" s="447">
        <f t="shared" si="417"/>
        <v>20432.16</v>
      </c>
      <c r="AQ52" s="339">
        <f t="shared" si="417"/>
        <v>4864.8</v>
      </c>
      <c r="AR52" s="352">
        <f t="shared" si="417"/>
        <v>0</v>
      </c>
      <c r="AS52" s="352">
        <f t="shared" si="417"/>
        <v>0</v>
      </c>
      <c r="AT52" s="352">
        <f t="shared" si="417"/>
        <v>0</v>
      </c>
      <c r="AU52" s="352">
        <f t="shared" si="417"/>
        <v>0</v>
      </c>
      <c r="AV52" s="352"/>
      <c r="AW52" s="352"/>
      <c r="AX52" s="352">
        <f t="shared" si="17"/>
        <v>0</v>
      </c>
      <c r="AY52" s="352">
        <f t="shared" si="17"/>
        <v>0</v>
      </c>
      <c r="AZ52" s="447">
        <f t="shared" si="17"/>
        <v>0</v>
      </c>
      <c r="BA52" s="352">
        <f t="shared" si="268"/>
        <v>0</v>
      </c>
      <c r="BB52" s="352">
        <f t="shared" si="17"/>
        <v>0</v>
      </c>
      <c r="BC52" s="352">
        <f t="shared" si="17"/>
        <v>0</v>
      </c>
      <c r="BD52" s="352">
        <f t="shared" si="17"/>
        <v>0</v>
      </c>
      <c r="BE52" s="352">
        <f t="shared" si="17"/>
        <v>0</v>
      </c>
      <c r="BF52" s="352">
        <f t="shared" si="17"/>
        <v>0</v>
      </c>
      <c r="BG52" s="352">
        <f t="shared" si="17"/>
        <v>0</v>
      </c>
      <c r="BH52" s="352">
        <v>72465.259999999995</v>
      </c>
      <c r="BI52" s="352">
        <f t="shared" si="17"/>
        <v>0</v>
      </c>
      <c r="BJ52" s="352">
        <f t="shared" si="17"/>
        <v>0</v>
      </c>
      <c r="BK52" s="352">
        <v>-466.22</v>
      </c>
      <c r="BL52" s="352">
        <f t="shared" si="17"/>
        <v>0</v>
      </c>
      <c r="BM52" s="352">
        <f t="shared" si="166"/>
        <v>0</v>
      </c>
      <c r="BN52" s="352">
        <f t="shared" ref="BN52:BQ75" si="423">IF(BN$3=$E52,$D52,0)</f>
        <v>0</v>
      </c>
      <c r="BO52" s="352">
        <f t="shared" si="423"/>
        <v>0</v>
      </c>
      <c r="BP52" s="352">
        <f t="shared" si="423"/>
        <v>0</v>
      </c>
      <c r="BQ52" s="352">
        <f t="shared" si="423"/>
        <v>0</v>
      </c>
      <c r="BR52" s="376">
        <f t="shared" ref="BR52" si="424">SUM(AC52:AV52)-SUM(AX52:BQ52)</f>
        <v>0</v>
      </c>
    </row>
    <row r="53" spans="1:70" s="240" customFormat="1" ht="15" customHeight="1" x14ac:dyDescent="0.25">
      <c r="A53" s="240" t="s">
        <v>132</v>
      </c>
      <c r="B53" s="313"/>
      <c r="C53" s="350"/>
      <c r="D53" s="447">
        <v>39526.5</v>
      </c>
      <c r="E53" s="350" t="s">
        <v>208</v>
      </c>
      <c r="F53" s="351"/>
      <c r="G53" s="351"/>
      <c r="H53" s="351"/>
      <c r="I53" s="351"/>
      <c r="J53" s="351"/>
      <c r="K53" s="351">
        <v>0</v>
      </c>
      <c r="L53" s="351">
        <v>0</v>
      </c>
      <c r="M53" s="351">
        <v>0</v>
      </c>
      <c r="N53" s="351">
        <v>0</v>
      </c>
      <c r="O53" s="351">
        <v>0</v>
      </c>
      <c r="P53" s="351">
        <v>0</v>
      </c>
      <c r="Q53" s="351">
        <v>0</v>
      </c>
      <c r="R53" s="351">
        <v>0</v>
      </c>
      <c r="S53" s="351">
        <v>0</v>
      </c>
      <c r="T53" s="451">
        <v>0.12307692307692308</v>
      </c>
      <c r="U53" s="451">
        <v>0.25025641025641021</v>
      </c>
      <c r="V53" s="451">
        <v>0.26666666666666666</v>
      </c>
      <c r="W53" s="451">
        <v>0.25846153846153846</v>
      </c>
      <c r="X53" s="451">
        <v>0.10153846153846141</v>
      </c>
      <c r="Y53" s="351"/>
      <c r="Z53" s="449">
        <f t="shared" si="422"/>
        <v>0.99999999999999978</v>
      </c>
      <c r="AA53" s="350"/>
      <c r="AB53" s="350"/>
      <c r="AC53" s="352">
        <f t="shared" si="416"/>
        <v>0</v>
      </c>
      <c r="AD53" s="352">
        <f t="shared" si="416"/>
        <v>0</v>
      </c>
      <c r="AE53" s="352">
        <f t="shared" si="416"/>
        <v>0</v>
      </c>
      <c r="AF53" s="352">
        <f t="shared" si="416"/>
        <v>0</v>
      </c>
      <c r="AG53" s="352">
        <f t="shared" si="416"/>
        <v>0</v>
      </c>
      <c r="AH53" s="352">
        <f t="shared" si="416"/>
        <v>0</v>
      </c>
      <c r="AI53" s="447">
        <f t="shared" si="416"/>
        <v>0</v>
      </c>
      <c r="AJ53" s="447">
        <f t="shared" si="416"/>
        <v>0</v>
      </c>
      <c r="AK53" s="447">
        <f t="shared" si="416"/>
        <v>0</v>
      </c>
      <c r="AL53" s="447">
        <f t="shared" si="416"/>
        <v>0</v>
      </c>
      <c r="AM53" s="447">
        <f t="shared" si="417"/>
        <v>0</v>
      </c>
      <c r="AN53" s="447">
        <f t="shared" si="417"/>
        <v>0</v>
      </c>
      <c r="AO53" s="447">
        <f t="shared" si="417"/>
        <v>0</v>
      </c>
      <c r="AP53" s="447">
        <f t="shared" si="417"/>
        <v>0</v>
      </c>
      <c r="AQ53" s="339">
        <f t="shared" si="417"/>
        <v>4864.8</v>
      </c>
      <c r="AR53" s="339">
        <f t="shared" si="417"/>
        <v>9891.7599999999984</v>
      </c>
      <c r="AS53" s="339">
        <f t="shared" si="417"/>
        <v>10540.4</v>
      </c>
      <c r="AT53" s="339">
        <f t="shared" si="417"/>
        <v>10216.08</v>
      </c>
      <c r="AU53" s="339">
        <f t="shared" si="417"/>
        <v>4013.459999999995</v>
      </c>
      <c r="AV53" s="352"/>
      <c r="AW53" s="352"/>
      <c r="AX53" s="352">
        <f t="shared" si="17"/>
        <v>0</v>
      </c>
      <c r="AY53" s="352">
        <f t="shared" si="17"/>
        <v>0</v>
      </c>
      <c r="AZ53" s="447">
        <f t="shared" si="17"/>
        <v>0</v>
      </c>
      <c r="BA53" s="352">
        <f t="shared" si="268"/>
        <v>0</v>
      </c>
      <c r="BB53" s="352">
        <f t="shared" si="17"/>
        <v>0</v>
      </c>
      <c r="BC53" s="352">
        <f t="shared" si="17"/>
        <v>0</v>
      </c>
      <c r="BD53" s="352">
        <f t="shared" si="17"/>
        <v>0</v>
      </c>
      <c r="BE53" s="352">
        <f t="shared" si="17"/>
        <v>0</v>
      </c>
      <c r="BF53" s="352">
        <f t="shared" si="17"/>
        <v>0</v>
      </c>
      <c r="BG53" s="352">
        <f t="shared" si="17"/>
        <v>0</v>
      </c>
      <c r="BH53" s="352">
        <f t="shared" si="17"/>
        <v>0</v>
      </c>
      <c r="BI53" s="352">
        <f t="shared" si="17"/>
        <v>0</v>
      </c>
      <c r="BJ53" s="352">
        <f t="shared" si="17"/>
        <v>0</v>
      </c>
      <c r="BK53" s="352">
        <f t="shared" si="17"/>
        <v>0</v>
      </c>
      <c r="BL53" s="352">
        <f t="shared" si="17"/>
        <v>39526.5</v>
      </c>
      <c r="BM53" s="352">
        <f t="shared" si="166"/>
        <v>0</v>
      </c>
      <c r="BN53" s="352">
        <f t="shared" si="423"/>
        <v>0</v>
      </c>
      <c r="BO53" s="352">
        <f t="shared" si="423"/>
        <v>0</v>
      </c>
      <c r="BP53" s="352">
        <f t="shared" si="423"/>
        <v>0</v>
      </c>
      <c r="BQ53" s="352">
        <f t="shared" si="423"/>
        <v>0</v>
      </c>
      <c r="BR53" s="376">
        <f t="shared" ref="BR53" si="425">SUM(AC53:AV53)-SUM(AX53:BQ53)</f>
        <v>0</v>
      </c>
    </row>
    <row r="54" spans="1:70" s="240" customFormat="1" ht="15" customHeight="1" x14ac:dyDescent="0.25">
      <c r="A54" s="240" t="s">
        <v>132</v>
      </c>
      <c r="B54" s="313"/>
      <c r="C54" s="350"/>
      <c r="D54" s="447">
        <v>39526.5</v>
      </c>
      <c r="E54" s="350" t="s">
        <v>208</v>
      </c>
      <c r="F54" s="351"/>
      <c r="G54" s="351"/>
      <c r="H54" s="351"/>
      <c r="I54" s="351"/>
      <c r="J54" s="351"/>
      <c r="K54" s="351">
        <v>0</v>
      </c>
      <c r="L54" s="351">
        <v>0</v>
      </c>
      <c r="M54" s="351">
        <v>0</v>
      </c>
      <c r="N54" s="351">
        <v>0</v>
      </c>
      <c r="O54" s="351">
        <v>0</v>
      </c>
      <c r="P54" s="351">
        <v>0</v>
      </c>
      <c r="Q54" s="351">
        <v>0</v>
      </c>
      <c r="R54" s="351">
        <v>0</v>
      </c>
      <c r="S54" s="351">
        <v>0</v>
      </c>
      <c r="T54" s="451">
        <v>0.12307692307692308</v>
      </c>
      <c r="U54" s="451">
        <v>0.25025641025641021</v>
      </c>
      <c r="V54" s="451">
        <v>0.26666666666666666</v>
      </c>
      <c r="W54" s="451">
        <v>0.25846153846153846</v>
      </c>
      <c r="X54" s="451">
        <v>0.10153846153846141</v>
      </c>
      <c r="Y54" s="351"/>
      <c r="Z54" s="449">
        <f t="shared" ref="Z54:Z62" si="426">SUM(F54:X54)</f>
        <v>0.99999999999999978</v>
      </c>
      <c r="AA54" s="350"/>
      <c r="AB54" s="350"/>
      <c r="AC54" s="352">
        <f t="shared" ref="AC54:AC62" si="427">F54*$D54</f>
        <v>0</v>
      </c>
      <c r="AD54" s="352">
        <f t="shared" ref="AD54:AD62" si="428">G54*$D54</f>
        <v>0</v>
      </c>
      <c r="AE54" s="352">
        <f t="shared" ref="AE54:AE62" si="429">H54*$D54</f>
        <v>0</v>
      </c>
      <c r="AF54" s="352">
        <f t="shared" ref="AF54:AF62" si="430">I54*$D54</f>
        <v>0</v>
      </c>
      <c r="AG54" s="352">
        <f t="shared" ref="AG54:AG62" si="431">J54*$D54</f>
        <v>0</v>
      </c>
      <c r="AH54" s="352">
        <f t="shared" ref="AH54:AH62" si="432">K54*$D54</f>
        <v>0</v>
      </c>
      <c r="AI54" s="447">
        <f t="shared" ref="AI54:AI62" si="433">L54*$D54</f>
        <v>0</v>
      </c>
      <c r="AJ54" s="447">
        <f t="shared" ref="AJ54:AJ62" si="434">M54*$D54</f>
        <v>0</v>
      </c>
      <c r="AK54" s="447">
        <f t="shared" ref="AK54:AK62" si="435">N54*$D54</f>
        <v>0</v>
      </c>
      <c r="AL54" s="447">
        <f t="shared" ref="AL54:AL62" si="436">O54*$D54</f>
        <v>0</v>
      </c>
      <c r="AM54" s="447">
        <f t="shared" ref="AM54:AM62" si="437">P54*$D54</f>
        <v>0</v>
      </c>
      <c r="AN54" s="447">
        <f t="shared" ref="AN54:AN62" si="438">Q54*$D54</f>
        <v>0</v>
      </c>
      <c r="AO54" s="447">
        <f t="shared" ref="AO54:AO62" si="439">R54*$D54</f>
        <v>0</v>
      </c>
      <c r="AP54" s="447">
        <f t="shared" ref="AP54:AP62" si="440">S54*$D54</f>
        <v>0</v>
      </c>
      <c r="AQ54" s="339">
        <f t="shared" ref="AQ54:AQ62" si="441">T54*$D54</f>
        <v>4864.8</v>
      </c>
      <c r="AR54" s="339">
        <f t="shared" ref="AR54:AR62" si="442">U54*$D54</f>
        <v>9891.7599999999984</v>
      </c>
      <c r="AS54" s="339">
        <f t="shared" ref="AS54:AS62" si="443">V54*$D54</f>
        <v>10540.4</v>
      </c>
      <c r="AT54" s="339">
        <f t="shared" ref="AT54:AT62" si="444">W54*$D54</f>
        <v>10216.08</v>
      </c>
      <c r="AU54" s="339">
        <f t="shared" ref="AU54:AU62" si="445">X54*$D54</f>
        <v>4013.459999999995</v>
      </c>
      <c r="AV54" s="352"/>
      <c r="AW54" s="352"/>
      <c r="AX54" s="352">
        <f t="shared" si="17"/>
        <v>0</v>
      </c>
      <c r="AY54" s="352">
        <f t="shared" si="17"/>
        <v>0</v>
      </c>
      <c r="AZ54" s="447">
        <f t="shared" si="17"/>
        <v>0</v>
      </c>
      <c r="BA54" s="352">
        <f t="shared" si="268"/>
        <v>0</v>
      </c>
      <c r="BB54" s="352">
        <f t="shared" si="17"/>
        <v>0</v>
      </c>
      <c r="BC54" s="352">
        <f t="shared" si="17"/>
        <v>0</v>
      </c>
      <c r="BD54" s="352">
        <f t="shared" si="17"/>
        <v>0</v>
      </c>
      <c r="BE54" s="352">
        <f t="shared" si="17"/>
        <v>0</v>
      </c>
      <c r="BF54" s="352">
        <f t="shared" si="17"/>
        <v>0</v>
      </c>
      <c r="BG54" s="352">
        <f t="shared" si="17"/>
        <v>0</v>
      </c>
      <c r="BH54" s="352">
        <f t="shared" si="17"/>
        <v>0</v>
      </c>
      <c r="BI54" s="352">
        <f t="shared" si="17"/>
        <v>0</v>
      </c>
      <c r="BJ54" s="352">
        <f t="shared" si="17"/>
        <v>0</v>
      </c>
      <c r="BK54" s="352">
        <f t="shared" si="17"/>
        <v>0</v>
      </c>
      <c r="BL54" s="352">
        <f t="shared" si="17"/>
        <v>39526.5</v>
      </c>
      <c r="BM54" s="352">
        <f t="shared" si="166"/>
        <v>0</v>
      </c>
      <c r="BN54" s="352">
        <f t="shared" si="423"/>
        <v>0</v>
      </c>
      <c r="BO54" s="352">
        <f t="shared" si="423"/>
        <v>0</v>
      </c>
      <c r="BP54" s="352">
        <f t="shared" si="423"/>
        <v>0</v>
      </c>
      <c r="BQ54" s="352">
        <f t="shared" si="423"/>
        <v>0</v>
      </c>
      <c r="BR54" s="376">
        <f t="shared" ref="BR54:BR62" si="446">SUM(AC54:AV54)-SUM(AX54:BQ54)</f>
        <v>0</v>
      </c>
    </row>
    <row r="55" spans="1:70" s="240" customFormat="1" ht="15" customHeight="1" x14ac:dyDescent="0.25">
      <c r="A55" s="458" t="s">
        <v>132</v>
      </c>
      <c r="B55" s="313"/>
      <c r="C55" s="350"/>
      <c r="D55" s="447">
        <v>93600</v>
      </c>
      <c r="E55" s="350" t="s">
        <v>208</v>
      </c>
      <c r="F55" s="351"/>
      <c r="G55" s="351"/>
      <c r="H55" s="351"/>
      <c r="I55" s="351"/>
      <c r="J55" s="351"/>
      <c r="K55" s="351">
        <v>0</v>
      </c>
      <c r="L55" s="351">
        <v>0</v>
      </c>
      <c r="M55" s="351">
        <v>0</v>
      </c>
      <c r="N55" s="351">
        <v>0</v>
      </c>
      <c r="O55" s="351">
        <v>0</v>
      </c>
      <c r="P55" s="351">
        <v>0</v>
      </c>
      <c r="Q55" s="351">
        <v>0</v>
      </c>
      <c r="R55" s="351">
        <v>0</v>
      </c>
      <c r="S55" s="351">
        <v>0</v>
      </c>
      <c r="T55" s="451">
        <v>0</v>
      </c>
      <c r="U55" s="451">
        <v>0.22222222222222221</v>
      </c>
      <c r="V55" s="451">
        <v>0.33333333333333331</v>
      </c>
      <c r="W55" s="451">
        <v>0.33333333333333331</v>
      </c>
      <c r="X55" s="451">
        <v>0.1111111111111111</v>
      </c>
      <c r="Y55" s="351"/>
      <c r="Z55" s="449">
        <f t="shared" ref="Z55:Z58" si="447">SUM(F55:X55)</f>
        <v>1</v>
      </c>
      <c r="AA55" s="350"/>
      <c r="AB55" s="350"/>
      <c r="AC55" s="352">
        <f t="shared" ref="AC55:AC58" si="448">F55*$D55</f>
        <v>0</v>
      </c>
      <c r="AD55" s="352">
        <f t="shared" ref="AD55:AD58" si="449">G55*$D55</f>
        <v>0</v>
      </c>
      <c r="AE55" s="352">
        <f t="shared" ref="AE55:AE58" si="450">H55*$D55</f>
        <v>0</v>
      </c>
      <c r="AF55" s="352">
        <f t="shared" ref="AF55:AF58" si="451">I55*$D55</f>
        <v>0</v>
      </c>
      <c r="AG55" s="352">
        <f t="shared" ref="AG55:AG58" si="452">J55*$D55</f>
        <v>0</v>
      </c>
      <c r="AH55" s="352">
        <f t="shared" ref="AH55:AH58" si="453">K55*$D55</f>
        <v>0</v>
      </c>
      <c r="AI55" s="447">
        <f t="shared" ref="AI55:AI58" si="454">L55*$D55</f>
        <v>0</v>
      </c>
      <c r="AJ55" s="447">
        <f t="shared" ref="AJ55:AJ58" si="455">M55*$D55</f>
        <v>0</v>
      </c>
      <c r="AK55" s="447">
        <f t="shared" ref="AK55:AK58" si="456">N55*$D55</f>
        <v>0</v>
      </c>
      <c r="AL55" s="447">
        <f t="shared" ref="AL55:AL58" si="457">O55*$D55</f>
        <v>0</v>
      </c>
      <c r="AM55" s="447">
        <f t="shared" ref="AM55:AM58" si="458">P55*$D55</f>
        <v>0</v>
      </c>
      <c r="AN55" s="447">
        <f t="shared" ref="AN55:AN58" si="459">Q55*$D55</f>
        <v>0</v>
      </c>
      <c r="AO55" s="447">
        <f t="shared" ref="AO55:AO58" si="460">R55*$D55</f>
        <v>0</v>
      </c>
      <c r="AP55" s="447">
        <f t="shared" ref="AP55:AP58" si="461">S55*$D55</f>
        <v>0</v>
      </c>
      <c r="AQ55" s="339">
        <f t="shared" ref="AQ55:AQ58" si="462">T55*$D55</f>
        <v>0</v>
      </c>
      <c r="AR55" s="339">
        <f t="shared" ref="AR55:AR58" si="463">U55*$D55</f>
        <v>20800</v>
      </c>
      <c r="AS55" s="339">
        <f t="shared" ref="AS55:AS58" si="464">V55*$D55</f>
        <v>31200</v>
      </c>
      <c r="AT55" s="339">
        <f t="shared" ref="AT55:AT58" si="465">W55*$D55</f>
        <v>31200</v>
      </c>
      <c r="AU55" s="339">
        <f t="shared" ref="AU55:AU58" si="466">X55*$D55</f>
        <v>10400</v>
      </c>
      <c r="AV55" s="352"/>
      <c r="AW55" s="352"/>
      <c r="AX55" s="352">
        <f t="shared" ref="AX55:BL61" si="467">IF(AX$3=$E55,$D55,0)</f>
        <v>0</v>
      </c>
      <c r="AY55" s="352">
        <f t="shared" si="467"/>
        <v>0</v>
      </c>
      <c r="AZ55" s="447">
        <f t="shared" si="467"/>
        <v>0</v>
      </c>
      <c r="BA55" s="352">
        <f t="shared" si="268"/>
        <v>0</v>
      </c>
      <c r="BB55" s="352">
        <f t="shared" si="467"/>
        <v>0</v>
      </c>
      <c r="BC55" s="352">
        <f t="shared" si="467"/>
        <v>0</v>
      </c>
      <c r="BD55" s="352">
        <f t="shared" si="467"/>
        <v>0</v>
      </c>
      <c r="BE55" s="352">
        <f t="shared" si="467"/>
        <v>0</v>
      </c>
      <c r="BF55" s="352">
        <f t="shared" si="467"/>
        <v>0</v>
      </c>
      <c r="BG55" s="352">
        <f t="shared" si="467"/>
        <v>0</v>
      </c>
      <c r="BH55" s="352">
        <f t="shared" si="467"/>
        <v>0</v>
      </c>
      <c r="BI55" s="352">
        <f t="shared" si="467"/>
        <v>0</v>
      </c>
      <c r="BJ55" s="352">
        <f t="shared" si="467"/>
        <v>0</v>
      </c>
      <c r="BK55" s="352">
        <f t="shared" si="467"/>
        <v>0</v>
      </c>
      <c r="BL55" s="352">
        <f t="shared" si="467"/>
        <v>93600</v>
      </c>
      <c r="BM55" s="352">
        <f t="shared" si="166"/>
        <v>0</v>
      </c>
      <c r="BN55" s="352">
        <f t="shared" si="423"/>
        <v>0</v>
      </c>
      <c r="BO55" s="352">
        <f t="shared" si="423"/>
        <v>0</v>
      </c>
      <c r="BP55" s="352">
        <f t="shared" si="423"/>
        <v>0</v>
      </c>
      <c r="BQ55" s="352">
        <f t="shared" si="423"/>
        <v>0</v>
      </c>
      <c r="BR55" s="376">
        <f t="shared" ref="BR55:BR58" si="468">SUM(AC55:AV55)-SUM(AX55:BQ55)</f>
        <v>0</v>
      </c>
    </row>
    <row r="56" spans="1:70" s="240" customFormat="1" ht="15" customHeight="1" x14ac:dyDescent="0.25">
      <c r="A56" s="458" t="s">
        <v>132</v>
      </c>
      <c r="B56" s="313"/>
      <c r="C56" s="350"/>
      <c r="D56" s="447">
        <v>81000</v>
      </c>
      <c r="E56" s="350" t="s">
        <v>208</v>
      </c>
      <c r="F56" s="351"/>
      <c r="G56" s="351"/>
      <c r="H56" s="351"/>
      <c r="I56" s="351"/>
      <c r="J56" s="351"/>
      <c r="K56" s="351">
        <v>0</v>
      </c>
      <c r="L56" s="351">
        <v>0</v>
      </c>
      <c r="M56" s="351">
        <v>0</v>
      </c>
      <c r="N56" s="351">
        <v>0</v>
      </c>
      <c r="O56" s="351">
        <v>0</v>
      </c>
      <c r="P56" s="351">
        <v>0</v>
      </c>
      <c r="Q56" s="351">
        <v>0</v>
      </c>
      <c r="R56" s="351">
        <v>0</v>
      </c>
      <c r="S56" s="351">
        <v>0</v>
      </c>
      <c r="T56" s="451">
        <v>0</v>
      </c>
      <c r="U56" s="451">
        <v>0.22222222222222221</v>
      </c>
      <c r="V56" s="451">
        <v>0.33333333333333331</v>
      </c>
      <c r="W56" s="451">
        <v>0.33333333333333331</v>
      </c>
      <c r="X56" s="451">
        <v>0.1111111111111111</v>
      </c>
      <c r="Y56" s="351"/>
      <c r="Z56" s="449">
        <f t="shared" si="447"/>
        <v>1</v>
      </c>
      <c r="AA56" s="350"/>
      <c r="AB56" s="350"/>
      <c r="AC56" s="352">
        <f t="shared" si="448"/>
        <v>0</v>
      </c>
      <c r="AD56" s="352">
        <f t="shared" si="449"/>
        <v>0</v>
      </c>
      <c r="AE56" s="352">
        <f t="shared" si="450"/>
        <v>0</v>
      </c>
      <c r="AF56" s="352">
        <f t="shared" si="451"/>
        <v>0</v>
      </c>
      <c r="AG56" s="352">
        <f t="shared" si="452"/>
        <v>0</v>
      </c>
      <c r="AH56" s="352">
        <f t="shared" si="453"/>
        <v>0</v>
      </c>
      <c r="AI56" s="447">
        <f t="shared" si="454"/>
        <v>0</v>
      </c>
      <c r="AJ56" s="447">
        <f t="shared" si="455"/>
        <v>0</v>
      </c>
      <c r="AK56" s="447">
        <f t="shared" si="456"/>
        <v>0</v>
      </c>
      <c r="AL56" s="447">
        <f t="shared" si="457"/>
        <v>0</v>
      </c>
      <c r="AM56" s="447">
        <f t="shared" si="458"/>
        <v>0</v>
      </c>
      <c r="AN56" s="447">
        <f t="shared" si="459"/>
        <v>0</v>
      </c>
      <c r="AO56" s="447">
        <f t="shared" si="460"/>
        <v>0</v>
      </c>
      <c r="AP56" s="447">
        <f t="shared" si="461"/>
        <v>0</v>
      </c>
      <c r="AQ56" s="339">
        <f t="shared" si="462"/>
        <v>0</v>
      </c>
      <c r="AR56" s="339">
        <f t="shared" si="463"/>
        <v>18000</v>
      </c>
      <c r="AS56" s="339">
        <f t="shared" si="464"/>
        <v>27000</v>
      </c>
      <c r="AT56" s="339">
        <f t="shared" si="465"/>
        <v>27000</v>
      </c>
      <c r="AU56" s="339">
        <f t="shared" si="466"/>
        <v>9000</v>
      </c>
      <c r="AV56" s="352"/>
      <c r="AW56" s="352"/>
      <c r="AX56" s="352">
        <f t="shared" si="467"/>
        <v>0</v>
      </c>
      <c r="AY56" s="352">
        <f t="shared" si="467"/>
        <v>0</v>
      </c>
      <c r="AZ56" s="447">
        <f t="shared" si="467"/>
        <v>0</v>
      </c>
      <c r="BA56" s="352">
        <f t="shared" si="268"/>
        <v>0</v>
      </c>
      <c r="BB56" s="352">
        <f t="shared" si="467"/>
        <v>0</v>
      </c>
      <c r="BC56" s="352">
        <f t="shared" si="467"/>
        <v>0</v>
      </c>
      <c r="BD56" s="352">
        <f t="shared" si="467"/>
        <v>0</v>
      </c>
      <c r="BE56" s="352">
        <f t="shared" si="467"/>
        <v>0</v>
      </c>
      <c r="BF56" s="352">
        <f t="shared" si="467"/>
        <v>0</v>
      </c>
      <c r="BG56" s="352">
        <f t="shared" si="467"/>
        <v>0</v>
      </c>
      <c r="BH56" s="352">
        <f t="shared" si="467"/>
        <v>0</v>
      </c>
      <c r="BI56" s="352">
        <f t="shared" si="467"/>
        <v>0</v>
      </c>
      <c r="BJ56" s="352">
        <f t="shared" si="467"/>
        <v>0</v>
      </c>
      <c r="BK56" s="352">
        <f t="shared" si="467"/>
        <v>0</v>
      </c>
      <c r="BL56" s="352">
        <f t="shared" si="467"/>
        <v>81000</v>
      </c>
      <c r="BM56" s="352">
        <f t="shared" si="166"/>
        <v>0</v>
      </c>
      <c r="BN56" s="352">
        <f t="shared" si="423"/>
        <v>0</v>
      </c>
      <c r="BO56" s="352">
        <f t="shared" si="423"/>
        <v>0</v>
      </c>
      <c r="BP56" s="352">
        <f t="shared" si="423"/>
        <v>0</v>
      </c>
      <c r="BQ56" s="352">
        <f t="shared" si="423"/>
        <v>0</v>
      </c>
      <c r="BR56" s="376">
        <f t="shared" si="468"/>
        <v>0</v>
      </c>
    </row>
    <row r="57" spans="1:70" s="240" customFormat="1" ht="15" customHeight="1" x14ac:dyDescent="0.25">
      <c r="A57" s="458" t="s">
        <v>132</v>
      </c>
      <c r="B57" s="313"/>
      <c r="C57" s="453"/>
      <c r="D57" s="447">
        <f>200000-D49-D48</f>
        <v>155661.02000000002</v>
      </c>
      <c r="E57" s="350" t="s">
        <v>260</v>
      </c>
      <c r="F57" s="351"/>
      <c r="G57" s="351"/>
      <c r="H57" s="351"/>
      <c r="I57" s="351"/>
      <c r="J57" s="351"/>
      <c r="K57" s="351">
        <v>0</v>
      </c>
      <c r="L57" s="351">
        <v>0</v>
      </c>
      <c r="M57" s="351">
        <v>0</v>
      </c>
      <c r="N57" s="351">
        <v>0</v>
      </c>
      <c r="O57" s="351">
        <v>0</v>
      </c>
      <c r="P57" s="351">
        <v>0</v>
      </c>
      <c r="Q57" s="351">
        <v>0</v>
      </c>
      <c r="R57" s="351">
        <v>0</v>
      </c>
      <c r="S57" s="351">
        <v>0</v>
      </c>
      <c r="T57" s="451">
        <v>0</v>
      </c>
      <c r="U57" s="451">
        <v>0</v>
      </c>
      <c r="V57" s="451">
        <v>0.33</v>
      </c>
      <c r="W57" s="451">
        <v>0.33</v>
      </c>
      <c r="X57" s="451">
        <v>0.34</v>
      </c>
      <c r="Y57" s="351"/>
      <c r="Z57" s="449">
        <f t="shared" si="447"/>
        <v>1</v>
      </c>
      <c r="AA57" s="350"/>
      <c r="AB57" s="350"/>
      <c r="AC57" s="352">
        <f t="shared" si="448"/>
        <v>0</v>
      </c>
      <c r="AD57" s="352">
        <f t="shared" si="449"/>
        <v>0</v>
      </c>
      <c r="AE57" s="352">
        <f t="shared" si="450"/>
        <v>0</v>
      </c>
      <c r="AF57" s="352">
        <f t="shared" si="451"/>
        <v>0</v>
      </c>
      <c r="AG57" s="352">
        <f t="shared" si="452"/>
        <v>0</v>
      </c>
      <c r="AH57" s="352">
        <f t="shared" si="453"/>
        <v>0</v>
      </c>
      <c r="AI57" s="447">
        <f t="shared" si="454"/>
        <v>0</v>
      </c>
      <c r="AJ57" s="447">
        <f t="shared" si="455"/>
        <v>0</v>
      </c>
      <c r="AK57" s="447">
        <f t="shared" si="456"/>
        <v>0</v>
      </c>
      <c r="AL57" s="447">
        <f t="shared" si="457"/>
        <v>0</v>
      </c>
      <c r="AM57" s="447">
        <f t="shared" si="458"/>
        <v>0</v>
      </c>
      <c r="AN57" s="447">
        <f t="shared" si="459"/>
        <v>0</v>
      </c>
      <c r="AO57" s="447">
        <f t="shared" si="460"/>
        <v>0</v>
      </c>
      <c r="AP57" s="447">
        <f t="shared" si="461"/>
        <v>0</v>
      </c>
      <c r="AQ57" s="339">
        <f t="shared" si="462"/>
        <v>0</v>
      </c>
      <c r="AR57" s="339">
        <f t="shared" si="463"/>
        <v>0</v>
      </c>
      <c r="AS57" s="339">
        <f t="shared" si="464"/>
        <v>51368.136600000005</v>
      </c>
      <c r="AT57" s="339">
        <f t="shared" si="465"/>
        <v>51368.136600000005</v>
      </c>
      <c r="AU57" s="339">
        <f t="shared" si="466"/>
        <v>52924.746800000008</v>
      </c>
      <c r="AV57" s="352"/>
      <c r="AW57" s="352"/>
      <c r="AX57" s="352">
        <f t="shared" si="467"/>
        <v>0</v>
      </c>
      <c r="AY57" s="352">
        <f t="shared" si="467"/>
        <v>0</v>
      </c>
      <c r="AZ57" s="447">
        <f t="shared" si="467"/>
        <v>0</v>
      </c>
      <c r="BA57" s="352">
        <f t="shared" si="268"/>
        <v>0</v>
      </c>
      <c r="BB57" s="352">
        <f t="shared" si="467"/>
        <v>0</v>
      </c>
      <c r="BC57" s="352">
        <f t="shared" si="467"/>
        <v>0</v>
      </c>
      <c r="BD57" s="352">
        <f t="shared" si="467"/>
        <v>0</v>
      </c>
      <c r="BE57" s="352">
        <f t="shared" si="467"/>
        <v>0</v>
      </c>
      <c r="BF57" s="352">
        <f t="shared" si="467"/>
        <v>0</v>
      </c>
      <c r="BG57" s="352">
        <f t="shared" si="467"/>
        <v>0</v>
      </c>
      <c r="BH57" s="352">
        <f t="shared" si="467"/>
        <v>0</v>
      </c>
      <c r="BI57" s="352">
        <f t="shared" si="467"/>
        <v>0</v>
      </c>
      <c r="BJ57" s="352">
        <f t="shared" si="467"/>
        <v>0</v>
      </c>
      <c r="BK57" s="352">
        <f t="shared" si="467"/>
        <v>0</v>
      </c>
      <c r="BL57" s="352">
        <f t="shared" si="467"/>
        <v>0</v>
      </c>
      <c r="BM57" s="352">
        <f t="shared" si="166"/>
        <v>0</v>
      </c>
      <c r="BN57" s="352">
        <f t="shared" si="423"/>
        <v>155661.02000000002</v>
      </c>
      <c r="BO57" s="352">
        <f t="shared" si="423"/>
        <v>0</v>
      </c>
      <c r="BP57" s="352">
        <f t="shared" si="423"/>
        <v>0</v>
      </c>
      <c r="BQ57" s="352">
        <f t="shared" si="423"/>
        <v>0</v>
      </c>
      <c r="BR57" s="376">
        <f t="shared" si="468"/>
        <v>0</v>
      </c>
    </row>
    <row r="58" spans="1:70" s="240" customFormat="1" ht="15" customHeight="1" x14ac:dyDescent="0.25">
      <c r="A58" s="458" t="s">
        <v>132</v>
      </c>
      <c r="B58" s="313"/>
      <c r="C58" s="350"/>
      <c r="D58" s="447">
        <v>39526.5</v>
      </c>
      <c r="E58" s="350" t="s">
        <v>260</v>
      </c>
      <c r="F58" s="351"/>
      <c r="G58" s="351"/>
      <c r="H58" s="351"/>
      <c r="I58" s="351"/>
      <c r="J58" s="351"/>
      <c r="K58" s="351">
        <v>0</v>
      </c>
      <c r="L58" s="351">
        <v>0</v>
      </c>
      <c r="M58" s="351">
        <v>0</v>
      </c>
      <c r="N58" s="351">
        <v>0</v>
      </c>
      <c r="O58" s="351">
        <v>0</v>
      </c>
      <c r="P58" s="351">
        <v>0</v>
      </c>
      <c r="Q58" s="351">
        <v>0</v>
      </c>
      <c r="R58" s="351">
        <v>0</v>
      </c>
      <c r="S58" s="351">
        <v>0</v>
      </c>
      <c r="T58" s="451">
        <v>0</v>
      </c>
      <c r="U58" s="451">
        <v>0</v>
      </c>
      <c r="V58" s="451">
        <v>0.33</v>
      </c>
      <c r="W58" s="451">
        <v>0.33</v>
      </c>
      <c r="X58" s="451">
        <v>0.34</v>
      </c>
      <c r="Y58" s="351"/>
      <c r="Z58" s="449">
        <f t="shared" si="447"/>
        <v>1</v>
      </c>
      <c r="AA58" s="350"/>
      <c r="AB58" s="350"/>
      <c r="AC58" s="352">
        <f t="shared" si="448"/>
        <v>0</v>
      </c>
      <c r="AD58" s="352">
        <f t="shared" si="449"/>
        <v>0</v>
      </c>
      <c r="AE58" s="352">
        <f t="shared" si="450"/>
        <v>0</v>
      </c>
      <c r="AF58" s="352">
        <f t="shared" si="451"/>
        <v>0</v>
      </c>
      <c r="AG58" s="352">
        <f t="shared" si="452"/>
        <v>0</v>
      </c>
      <c r="AH58" s="352">
        <f t="shared" si="453"/>
        <v>0</v>
      </c>
      <c r="AI58" s="447">
        <f t="shared" si="454"/>
        <v>0</v>
      </c>
      <c r="AJ58" s="447">
        <f t="shared" si="455"/>
        <v>0</v>
      </c>
      <c r="AK58" s="447">
        <f t="shared" si="456"/>
        <v>0</v>
      </c>
      <c r="AL58" s="447">
        <f t="shared" si="457"/>
        <v>0</v>
      </c>
      <c r="AM58" s="447">
        <f t="shared" si="458"/>
        <v>0</v>
      </c>
      <c r="AN58" s="447">
        <f t="shared" si="459"/>
        <v>0</v>
      </c>
      <c r="AO58" s="447">
        <f t="shared" si="460"/>
        <v>0</v>
      </c>
      <c r="AP58" s="447">
        <f t="shared" si="461"/>
        <v>0</v>
      </c>
      <c r="AQ58" s="339">
        <f t="shared" si="462"/>
        <v>0</v>
      </c>
      <c r="AR58" s="339">
        <f t="shared" si="463"/>
        <v>0</v>
      </c>
      <c r="AS58" s="339">
        <f t="shared" si="464"/>
        <v>13043.745000000001</v>
      </c>
      <c r="AT58" s="339">
        <f t="shared" si="465"/>
        <v>13043.745000000001</v>
      </c>
      <c r="AU58" s="339">
        <f t="shared" si="466"/>
        <v>13439.01</v>
      </c>
      <c r="AV58" s="352"/>
      <c r="AW58" s="352"/>
      <c r="AX58" s="352">
        <f t="shared" si="467"/>
        <v>0</v>
      </c>
      <c r="AY58" s="352">
        <f t="shared" si="467"/>
        <v>0</v>
      </c>
      <c r="AZ58" s="447">
        <f t="shared" si="467"/>
        <v>0</v>
      </c>
      <c r="BA58" s="352">
        <f t="shared" si="268"/>
        <v>0</v>
      </c>
      <c r="BB58" s="352">
        <f t="shared" si="467"/>
        <v>0</v>
      </c>
      <c r="BC58" s="352">
        <f t="shared" si="467"/>
        <v>0</v>
      </c>
      <c r="BD58" s="352">
        <f t="shared" si="467"/>
        <v>0</v>
      </c>
      <c r="BE58" s="352">
        <f t="shared" si="467"/>
        <v>0</v>
      </c>
      <c r="BF58" s="352">
        <f t="shared" si="467"/>
        <v>0</v>
      </c>
      <c r="BG58" s="352">
        <f t="shared" si="467"/>
        <v>0</v>
      </c>
      <c r="BH58" s="352">
        <f t="shared" si="467"/>
        <v>0</v>
      </c>
      <c r="BI58" s="352">
        <f t="shared" si="467"/>
        <v>0</v>
      </c>
      <c r="BJ58" s="352">
        <f t="shared" si="467"/>
        <v>0</v>
      </c>
      <c r="BK58" s="352">
        <f t="shared" si="467"/>
        <v>0</v>
      </c>
      <c r="BL58" s="352">
        <f t="shared" si="467"/>
        <v>0</v>
      </c>
      <c r="BM58" s="352">
        <f t="shared" si="166"/>
        <v>0</v>
      </c>
      <c r="BN58" s="352">
        <f t="shared" si="423"/>
        <v>39526.5</v>
      </c>
      <c r="BO58" s="352">
        <f t="shared" si="423"/>
        <v>0</v>
      </c>
      <c r="BP58" s="352">
        <f t="shared" si="423"/>
        <v>0</v>
      </c>
      <c r="BQ58" s="352">
        <f t="shared" si="423"/>
        <v>0</v>
      </c>
      <c r="BR58" s="376">
        <f t="shared" si="468"/>
        <v>0</v>
      </c>
    </row>
    <row r="59" spans="1:70" s="240" customFormat="1" ht="15" customHeight="1" x14ac:dyDescent="0.25">
      <c r="A59" s="458" t="s">
        <v>132</v>
      </c>
      <c r="B59" s="313"/>
      <c r="C59" s="350"/>
      <c r="D59" s="447">
        <v>30000</v>
      </c>
      <c r="E59" s="350" t="s">
        <v>271</v>
      </c>
      <c r="F59" s="351"/>
      <c r="G59" s="351"/>
      <c r="H59" s="351"/>
      <c r="I59" s="351"/>
      <c r="J59" s="351"/>
      <c r="K59" s="351">
        <v>0</v>
      </c>
      <c r="L59" s="351">
        <v>0</v>
      </c>
      <c r="M59" s="351">
        <v>0</v>
      </c>
      <c r="N59" s="351">
        <v>0</v>
      </c>
      <c r="O59" s="351">
        <v>0</v>
      </c>
      <c r="P59" s="351">
        <v>0</v>
      </c>
      <c r="Q59" s="351">
        <v>0</v>
      </c>
      <c r="R59" s="351">
        <v>0</v>
      </c>
      <c r="S59" s="351">
        <v>0</v>
      </c>
      <c r="T59" s="451">
        <v>0</v>
      </c>
      <c r="U59" s="451">
        <v>0.18181818181818185</v>
      </c>
      <c r="V59" s="451">
        <v>0.27272727272727276</v>
      </c>
      <c r="W59" s="451">
        <v>0.27272727272727276</v>
      </c>
      <c r="X59" s="451">
        <v>0.27272727272727276</v>
      </c>
      <c r="Y59" s="351"/>
      <c r="Z59" s="449">
        <f t="shared" ref="Z59" si="469">SUM(F59:X59)</f>
        <v>1</v>
      </c>
      <c r="AA59" s="350"/>
      <c r="AB59" s="350"/>
      <c r="AC59" s="352">
        <f t="shared" ref="AC59" si="470">F59*$D59</f>
        <v>0</v>
      </c>
      <c r="AD59" s="352">
        <f t="shared" ref="AD59" si="471">G59*$D59</f>
        <v>0</v>
      </c>
      <c r="AE59" s="352">
        <f t="shared" ref="AE59" si="472">H59*$D59</f>
        <v>0</v>
      </c>
      <c r="AF59" s="352">
        <f t="shared" ref="AF59" si="473">I59*$D59</f>
        <v>0</v>
      </c>
      <c r="AG59" s="352">
        <f t="shared" ref="AG59" si="474">J59*$D59</f>
        <v>0</v>
      </c>
      <c r="AH59" s="352">
        <f t="shared" ref="AH59" si="475">K59*$D59</f>
        <v>0</v>
      </c>
      <c r="AI59" s="447">
        <f t="shared" ref="AI59" si="476">L59*$D59</f>
        <v>0</v>
      </c>
      <c r="AJ59" s="447">
        <f t="shared" ref="AJ59" si="477">M59*$D59</f>
        <v>0</v>
      </c>
      <c r="AK59" s="447">
        <f t="shared" ref="AK59" si="478">N59*$D59</f>
        <v>0</v>
      </c>
      <c r="AL59" s="447">
        <f t="shared" ref="AL59" si="479">O59*$D59</f>
        <v>0</v>
      </c>
      <c r="AM59" s="447">
        <f t="shared" ref="AM59" si="480">P59*$D59</f>
        <v>0</v>
      </c>
      <c r="AN59" s="447">
        <f t="shared" ref="AN59" si="481">Q59*$D59</f>
        <v>0</v>
      </c>
      <c r="AO59" s="447">
        <f t="shared" ref="AO59" si="482">R59*$D59</f>
        <v>0</v>
      </c>
      <c r="AP59" s="447">
        <f t="shared" ref="AP59" si="483">S59*$D59</f>
        <v>0</v>
      </c>
      <c r="AQ59" s="339">
        <f t="shared" ref="AQ59" si="484">T59*$D59</f>
        <v>0</v>
      </c>
      <c r="AR59" s="339">
        <f t="shared" ref="AR59" si="485">U59*$D59</f>
        <v>5454.5454545454559</v>
      </c>
      <c r="AS59" s="339">
        <f t="shared" ref="AS59" si="486">V59*$D59</f>
        <v>8181.8181818181829</v>
      </c>
      <c r="AT59" s="339">
        <f t="shared" ref="AT59" si="487">W59*$D59</f>
        <v>8181.8181818181829</v>
      </c>
      <c r="AU59" s="339">
        <f t="shared" ref="AU59" si="488">X59*$D59</f>
        <v>8181.8181818181829</v>
      </c>
      <c r="AV59" s="352"/>
      <c r="AW59" s="352"/>
      <c r="AX59" s="352">
        <f t="shared" si="467"/>
        <v>0</v>
      </c>
      <c r="AY59" s="352">
        <f t="shared" si="467"/>
        <v>0</v>
      </c>
      <c r="AZ59" s="447">
        <f t="shared" si="467"/>
        <v>0</v>
      </c>
      <c r="BA59" s="352">
        <f t="shared" si="268"/>
        <v>0</v>
      </c>
      <c r="BB59" s="352">
        <f t="shared" si="467"/>
        <v>0</v>
      </c>
      <c r="BC59" s="352">
        <f t="shared" si="467"/>
        <v>0</v>
      </c>
      <c r="BD59" s="352">
        <f t="shared" si="467"/>
        <v>0</v>
      </c>
      <c r="BE59" s="352">
        <f t="shared" si="467"/>
        <v>0</v>
      </c>
      <c r="BF59" s="352">
        <f t="shared" si="467"/>
        <v>0</v>
      </c>
      <c r="BG59" s="352">
        <f t="shared" si="467"/>
        <v>0</v>
      </c>
      <c r="BH59" s="352">
        <f t="shared" si="467"/>
        <v>0</v>
      </c>
      <c r="BI59" s="352">
        <f t="shared" si="467"/>
        <v>0</v>
      </c>
      <c r="BJ59" s="352">
        <f t="shared" si="467"/>
        <v>0</v>
      </c>
      <c r="BK59" s="352">
        <f t="shared" si="467"/>
        <v>0</v>
      </c>
      <c r="BL59" s="352">
        <f t="shared" si="467"/>
        <v>0</v>
      </c>
      <c r="BM59" s="352">
        <f t="shared" si="166"/>
        <v>30000</v>
      </c>
      <c r="BN59" s="352">
        <f t="shared" si="423"/>
        <v>0</v>
      </c>
      <c r="BO59" s="352">
        <f t="shared" si="423"/>
        <v>0</v>
      </c>
      <c r="BP59" s="352">
        <f t="shared" si="423"/>
        <v>0</v>
      </c>
      <c r="BQ59" s="352">
        <f t="shared" si="423"/>
        <v>0</v>
      </c>
      <c r="BR59" s="376">
        <f t="shared" ref="BR59" si="489">SUM(AC59:AV59)-SUM(AX59:BQ59)</f>
        <v>0</v>
      </c>
    </row>
    <row r="60" spans="1:70" s="240" customFormat="1" ht="15" customHeight="1" x14ac:dyDescent="0.25">
      <c r="A60" s="458" t="s">
        <v>132</v>
      </c>
      <c r="B60" s="313"/>
      <c r="C60" s="350"/>
      <c r="D60" s="447">
        <v>50000</v>
      </c>
      <c r="E60" s="350" t="s">
        <v>271</v>
      </c>
      <c r="F60" s="351"/>
      <c r="G60" s="351"/>
      <c r="H60" s="351"/>
      <c r="I60" s="351"/>
      <c r="J60" s="351"/>
      <c r="K60" s="351">
        <v>0</v>
      </c>
      <c r="L60" s="351">
        <v>0</v>
      </c>
      <c r="M60" s="351">
        <v>0</v>
      </c>
      <c r="N60" s="351">
        <v>0</v>
      </c>
      <c r="O60" s="351">
        <v>0</v>
      </c>
      <c r="P60" s="351">
        <v>0</v>
      </c>
      <c r="Q60" s="351">
        <v>0</v>
      </c>
      <c r="R60" s="351">
        <v>0</v>
      </c>
      <c r="S60" s="351">
        <v>0</v>
      </c>
      <c r="T60" s="451">
        <v>0</v>
      </c>
      <c r="U60" s="451">
        <v>0.18181818181818185</v>
      </c>
      <c r="V60" s="451">
        <v>0.27272727272727276</v>
      </c>
      <c r="W60" s="451">
        <v>0.27272727272727276</v>
      </c>
      <c r="X60" s="451">
        <v>0.27272727272727276</v>
      </c>
      <c r="Y60" s="351"/>
      <c r="Z60" s="449">
        <f t="shared" ref="Z60" si="490">SUM(F60:X60)</f>
        <v>1</v>
      </c>
      <c r="AA60" s="350"/>
      <c r="AB60" s="350"/>
      <c r="AC60" s="352">
        <f t="shared" ref="AC60" si="491">F60*$D60</f>
        <v>0</v>
      </c>
      <c r="AD60" s="352">
        <f t="shared" ref="AD60" si="492">G60*$D60</f>
        <v>0</v>
      </c>
      <c r="AE60" s="352">
        <f t="shared" ref="AE60" si="493">H60*$D60</f>
        <v>0</v>
      </c>
      <c r="AF60" s="352">
        <f t="shared" ref="AF60" si="494">I60*$D60</f>
        <v>0</v>
      </c>
      <c r="AG60" s="352">
        <f t="shared" ref="AG60" si="495">J60*$D60</f>
        <v>0</v>
      </c>
      <c r="AH60" s="352">
        <f t="shared" ref="AH60" si="496">K60*$D60</f>
        <v>0</v>
      </c>
      <c r="AI60" s="447">
        <f t="shared" ref="AI60" si="497">L60*$D60</f>
        <v>0</v>
      </c>
      <c r="AJ60" s="447">
        <f t="shared" ref="AJ60" si="498">M60*$D60</f>
        <v>0</v>
      </c>
      <c r="AK60" s="447">
        <f t="shared" ref="AK60" si="499">N60*$D60</f>
        <v>0</v>
      </c>
      <c r="AL60" s="447">
        <f t="shared" ref="AL60" si="500">O60*$D60</f>
        <v>0</v>
      </c>
      <c r="AM60" s="447">
        <f t="shared" ref="AM60" si="501">P60*$D60</f>
        <v>0</v>
      </c>
      <c r="AN60" s="447">
        <f t="shared" ref="AN60" si="502">Q60*$D60</f>
        <v>0</v>
      </c>
      <c r="AO60" s="447">
        <f t="shared" ref="AO60" si="503">R60*$D60</f>
        <v>0</v>
      </c>
      <c r="AP60" s="447">
        <f t="shared" ref="AP60" si="504">S60*$D60</f>
        <v>0</v>
      </c>
      <c r="AQ60" s="339">
        <f t="shared" ref="AQ60" si="505">T60*$D60</f>
        <v>0</v>
      </c>
      <c r="AR60" s="339">
        <f t="shared" ref="AR60" si="506">U60*$D60</f>
        <v>9090.9090909090919</v>
      </c>
      <c r="AS60" s="339">
        <f t="shared" ref="AS60" si="507">V60*$D60</f>
        <v>13636.363636363638</v>
      </c>
      <c r="AT60" s="339">
        <f t="shared" ref="AT60" si="508">W60*$D60</f>
        <v>13636.363636363638</v>
      </c>
      <c r="AU60" s="339">
        <f t="shared" ref="AU60" si="509">X60*$D60</f>
        <v>13636.363636363638</v>
      </c>
      <c r="AV60" s="352"/>
      <c r="AW60" s="352"/>
      <c r="AX60" s="352">
        <f t="shared" si="467"/>
        <v>0</v>
      </c>
      <c r="AY60" s="352">
        <f t="shared" si="467"/>
        <v>0</v>
      </c>
      <c r="AZ60" s="447">
        <f t="shared" si="467"/>
        <v>0</v>
      </c>
      <c r="BA60" s="352">
        <f t="shared" si="268"/>
        <v>0</v>
      </c>
      <c r="BB60" s="352">
        <f t="shared" si="467"/>
        <v>0</v>
      </c>
      <c r="BC60" s="352">
        <f t="shared" si="467"/>
        <v>0</v>
      </c>
      <c r="BD60" s="352">
        <f t="shared" si="467"/>
        <v>0</v>
      </c>
      <c r="BE60" s="352">
        <f t="shared" si="467"/>
        <v>0</v>
      </c>
      <c r="BF60" s="352">
        <f t="shared" si="467"/>
        <v>0</v>
      </c>
      <c r="BG60" s="352">
        <f t="shared" si="467"/>
        <v>0</v>
      </c>
      <c r="BH60" s="352">
        <f t="shared" si="467"/>
        <v>0</v>
      </c>
      <c r="BI60" s="352">
        <f t="shared" si="467"/>
        <v>0</v>
      </c>
      <c r="BJ60" s="352">
        <f t="shared" si="467"/>
        <v>0</v>
      </c>
      <c r="BK60" s="352">
        <f t="shared" si="467"/>
        <v>0</v>
      </c>
      <c r="BL60" s="352">
        <f t="shared" si="467"/>
        <v>0</v>
      </c>
      <c r="BM60" s="352">
        <f t="shared" si="166"/>
        <v>50000</v>
      </c>
      <c r="BN60" s="352">
        <f t="shared" si="423"/>
        <v>0</v>
      </c>
      <c r="BO60" s="352">
        <f t="shared" si="423"/>
        <v>0</v>
      </c>
      <c r="BP60" s="352">
        <f t="shared" si="423"/>
        <v>0</v>
      </c>
      <c r="BQ60" s="352">
        <f t="shared" si="423"/>
        <v>0</v>
      </c>
      <c r="BR60" s="376">
        <f t="shared" ref="BR60" si="510">SUM(AC60:AV60)-SUM(AX60:BQ60)</f>
        <v>0</v>
      </c>
    </row>
    <row r="61" spans="1:70" s="240" customFormat="1" ht="15" customHeight="1" x14ac:dyDescent="0.25">
      <c r="A61" s="458" t="s">
        <v>132</v>
      </c>
      <c r="B61" s="313"/>
      <c r="C61" s="350"/>
      <c r="D61" s="447">
        <v>15000</v>
      </c>
      <c r="E61" s="350" t="s">
        <v>271</v>
      </c>
      <c r="F61" s="351"/>
      <c r="G61" s="351"/>
      <c r="H61" s="351"/>
      <c r="I61" s="351"/>
      <c r="J61" s="351"/>
      <c r="K61" s="351">
        <v>0</v>
      </c>
      <c r="L61" s="351">
        <v>0</v>
      </c>
      <c r="M61" s="351">
        <v>0</v>
      </c>
      <c r="N61" s="351">
        <v>0</v>
      </c>
      <c r="O61" s="351">
        <v>0</v>
      </c>
      <c r="P61" s="351">
        <v>0</v>
      </c>
      <c r="Q61" s="351">
        <v>0</v>
      </c>
      <c r="R61" s="351">
        <v>0</v>
      </c>
      <c r="S61" s="351">
        <v>0</v>
      </c>
      <c r="T61" s="451">
        <v>0</v>
      </c>
      <c r="U61" s="451">
        <v>1</v>
      </c>
      <c r="V61" s="451">
        <v>0</v>
      </c>
      <c r="W61" s="451">
        <v>0</v>
      </c>
      <c r="X61" s="451">
        <v>0</v>
      </c>
      <c r="Y61" s="351">
        <v>0</v>
      </c>
      <c r="Z61" s="449">
        <f>SUM(F61:Y61)</f>
        <v>1</v>
      </c>
      <c r="AA61" s="350"/>
      <c r="AB61" s="350"/>
      <c r="AC61" s="352">
        <f t="shared" ref="AC61" si="511">F61*$D61</f>
        <v>0</v>
      </c>
      <c r="AD61" s="352">
        <f t="shared" ref="AD61" si="512">G61*$D61</f>
        <v>0</v>
      </c>
      <c r="AE61" s="352">
        <f t="shared" ref="AE61" si="513">H61*$D61</f>
        <v>0</v>
      </c>
      <c r="AF61" s="352">
        <f t="shared" ref="AF61" si="514">I61*$D61</f>
        <v>0</v>
      </c>
      <c r="AG61" s="352">
        <f t="shared" ref="AG61" si="515">J61*$D61</f>
        <v>0</v>
      </c>
      <c r="AH61" s="352">
        <f t="shared" ref="AH61" si="516">K61*$D61</f>
        <v>0</v>
      </c>
      <c r="AI61" s="447">
        <f t="shared" ref="AI61" si="517">L61*$D61</f>
        <v>0</v>
      </c>
      <c r="AJ61" s="447">
        <f t="shared" ref="AJ61" si="518">M61*$D61</f>
        <v>0</v>
      </c>
      <c r="AK61" s="447">
        <f t="shared" ref="AK61" si="519">N61*$D61</f>
        <v>0</v>
      </c>
      <c r="AL61" s="447">
        <f t="shared" ref="AL61" si="520">O61*$D61</f>
        <v>0</v>
      </c>
      <c r="AM61" s="447">
        <f t="shared" ref="AM61" si="521">P61*$D61</f>
        <v>0</v>
      </c>
      <c r="AN61" s="447">
        <f t="shared" ref="AN61" si="522">Q61*$D61</f>
        <v>0</v>
      </c>
      <c r="AO61" s="447">
        <f t="shared" ref="AO61" si="523">R61*$D61</f>
        <v>0</v>
      </c>
      <c r="AP61" s="447">
        <f t="shared" ref="AP61" si="524">S61*$D61</f>
        <v>0</v>
      </c>
      <c r="AQ61" s="339">
        <f t="shared" ref="AQ61" si="525">T61*$D61</f>
        <v>0</v>
      </c>
      <c r="AR61" s="339">
        <f t="shared" ref="AR61" si="526">U61*$D61</f>
        <v>15000</v>
      </c>
      <c r="AS61" s="339">
        <f t="shared" ref="AS61" si="527">V61*$D61</f>
        <v>0</v>
      </c>
      <c r="AT61" s="339">
        <f t="shared" ref="AT61" si="528">W61*$D61</f>
        <v>0</v>
      </c>
      <c r="AU61" s="339">
        <f t="shared" ref="AU61" si="529">X61*$D61</f>
        <v>0</v>
      </c>
      <c r="AV61" s="352"/>
      <c r="AW61" s="352"/>
      <c r="AX61" s="352">
        <f t="shared" si="467"/>
        <v>0</v>
      </c>
      <c r="AY61" s="352">
        <f t="shared" si="467"/>
        <v>0</v>
      </c>
      <c r="AZ61" s="447">
        <f t="shared" si="467"/>
        <v>0</v>
      </c>
      <c r="BA61" s="352">
        <f t="shared" si="268"/>
        <v>0</v>
      </c>
      <c r="BB61" s="352">
        <f t="shared" si="467"/>
        <v>0</v>
      </c>
      <c r="BC61" s="352">
        <f t="shared" si="467"/>
        <v>0</v>
      </c>
      <c r="BD61" s="352">
        <f t="shared" si="467"/>
        <v>0</v>
      </c>
      <c r="BE61" s="352">
        <f t="shared" si="467"/>
        <v>0</v>
      </c>
      <c r="BF61" s="352">
        <f t="shared" si="467"/>
        <v>0</v>
      </c>
      <c r="BG61" s="352">
        <f t="shared" si="467"/>
        <v>0</v>
      </c>
      <c r="BH61" s="352">
        <f t="shared" si="467"/>
        <v>0</v>
      </c>
      <c r="BI61" s="352">
        <f t="shared" si="467"/>
        <v>0</v>
      </c>
      <c r="BJ61" s="352">
        <f t="shared" si="467"/>
        <v>0</v>
      </c>
      <c r="BK61" s="352">
        <f t="shared" si="467"/>
        <v>0</v>
      </c>
      <c r="BL61" s="352">
        <f t="shared" si="467"/>
        <v>0</v>
      </c>
      <c r="BM61" s="352">
        <f t="shared" si="166"/>
        <v>15000</v>
      </c>
      <c r="BN61" s="352">
        <f t="shared" si="423"/>
        <v>0</v>
      </c>
      <c r="BO61" s="352">
        <f t="shared" si="423"/>
        <v>0</v>
      </c>
      <c r="BP61" s="352">
        <f t="shared" si="423"/>
        <v>0</v>
      </c>
      <c r="BQ61" s="352">
        <f t="shared" si="423"/>
        <v>0</v>
      </c>
      <c r="BR61" s="376">
        <f t="shared" ref="BR61" si="530">SUM(AC61:AV61)-SUM(AX61:BQ61)</f>
        <v>0</v>
      </c>
    </row>
    <row r="62" spans="1:70" s="240" customFormat="1" ht="15" customHeight="1" x14ac:dyDescent="0.25">
      <c r="A62" s="240" t="s">
        <v>132</v>
      </c>
      <c r="B62" s="313"/>
      <c r="C62" s="350"/>
      <c r="D62" s="447">
        <v>35002.5</v>
      </c>
      <c r="E62" s="350" t="s">
        <v>208</v>
      </c>
      <c r="F62" s="351"/>
      <c r="G62" s="351"/>
      <c r="H62" s="351"/>
      <c r="I62" s="351"/>
      <c r="J62" s="351"/>
      <c r="K62" s="351">
        <v>0</v>
      </c>
      <c r="L62" s="351">
        <v>0</v>
      </c>
      <c r="M62" s="351">
        <v>0</v>
      </c>
      <c r="N62" s="351">
        <v>0</v>
      </c>
      <c r="O62" s="351">
        <v>0</v>
      </c>
      <c r="P62" s="351">
        <v>0</v>
      </c>
      <c r="Q62" s="351">
        <v>0</v>
      </c>
      <c r="R62" s="351">
        <v>0</v>
      </c>
      <c r="S62" s="351">
        <v>0</v>
      </c>
      <c r="T62" s="451">
        <v>0.16</v>
      </c>
      <c r="U62" s="451">
        <v>0.25025641025641027</v>
      </c>
      <c r="V62" s="451">
        <v>0.26666666666666666</v>
      </c>
      <c r="W62" s="451">
        <v>0.25846153846153846</v>
      </c>
      <c r="X62" s="451">
        <v>6.461538461538463E-2</v>
      </c>
      <c r="Y62" s="351"/>
      <c r="Z62" s="449">
        <f t="shared" si="426"/>
        <v>1</v>
      </c>
      <c r="AA62" s="350"/>
      <c r="AB62" s="350"/>
      <c r="AC62" s="352">
        <f t="shared" si="427"/>
        <v>0</v>
      </c>
      <c r="AD62" s="352">
        <f t="shared" si="428"/>
        <v>0</v>
      </c>
      <c r="AE62" s="352">
        <f t="shared" si="429"/>
        <v>0</v>
      </c>
      <c r="AF62" s="352">
        <f t="shared" si="430"/>
        <v>0</v>
      </c>
      <c r="AG62" s="352">
        <f t="shared" si="431"/>
        <v>0</v>
      </c>
      <c r="AH62" s="352">
        <f t="shared" si="432"/>
        <v>0</v>
      </c>
      <c r="AI62" s="447">
        <f t="shared" si="433"/>
        <v>0</v>
      </c>
      <c r="AJ62" s="447">
        <f t="shared" si="434"/>
        <v>0</v>
      </c>
      <c r="AK62" s="447">
        <f t="shared" si="435"/>
        <v>0</v>
      </c>
      <c r="AL62" s="447">
        <f t="shared" si="436"/>
        <v>0</v>
      </c>
      <c r="AM62" s="447">
        <f t="shared" si="437"/>
        <v>0</v>
      </c>
      <c r="AN62" s="447">
        <f t="shared" si="438"/>
        <v>0</v>
      </c>
      <c r="AO62" s="447">
        <f t="shared" si="439"/>
        <v>0</v>
      </c>
      <c r="AP62" s="447">
        <f t="shared" si="440"/>
        <v>0</v>
      </c>
      <c r="AQ62" s="339">
        <f t="shared" si="441"/>
        <v>5600.4000000000005</v>
      </c>
      <c r="AR62" s="339">
        <f t="shared" si="442"/>
        <v>8759.6</v>
      </c>
      <c r="AS62" s="339">
        <f t="shared" si="443"/>
        <v>9334</v>
      </c>
      <c r="AT62" s="339">
        <f t="shared" si="444"/>
        <v>9046.7999999999993</v>
      </c>
      <c r="AU62" s="339">
        <f t="shared" si="445"/>
        <v>2261.7000000000007</v>
      </c>
      <c r="AV62" s="352"/>
      <c r="AW62" s="352"/>
      <c r="AX62" s="352">
        <f t="shared" si="17"/>
        <v>0</v>
      </c>
      <c r="AY62" s="352">
        <f t="shared" si="17"/>
        <v>0</v>
      </c>
      <c r="AZ62" s="447">
        <f t="shared" si="17"/>
        <v>0</v>
      </c>
      <c r="BA62" s="352">
        <f t="shared" si="268"/>
        <v>0</v>
      </c>
      <c r="BB62" s="352">
        <f t="shared" si="17"/>
        <v>0</v>
      </c>
      <c r="BC62" s="352">
        <f t="shared" si="17"/>
        <v>0</v>
      </c>
      <c r="BD62" s="352">
        <f t="shared" si="17"/>
        <v>0</v>
      </c>
      <c r="BE62" s="352">
        <f t="shared" si="17"/>
        <v>0</v>
      </c>
      <c r="BF62" s="352">
        <f t="shared" si="17"/>
        <v>0</v>
      </c>
      <c r="BG62" s="352">
        <f t="shared" si="17"/>
        <v>0</v>
      </c>
      <c r="BH62" s="352">
        <f t="shared" si="17"/>
        <v>0</v>
      </c>
      <c r="BI62" s="352">
        <f t="shared" si="17"/>
        <v>0</v>
      </c>
      <c r="BJ62" s="352">
        <f t="shared" si="17"/>
        <v>0</v>
      </c>
      <c r="BK62" s="352">
        <f t="shared" si="17"/>
        <v>0</v>
      </c>
      <c r="BL62" s="352">
        <f t="shared" si="17"/>
        <v>35002.5</v>
      </c>
      <c r="BM62" s="352">
        <f t="shared" si="166"/>
        <v>0</v>
      </c>
      <c r="BN62" s="352">
        <f t="shared" si="423"/>
        <v>0</v>
      </c>
      <c r="BO62" s="352">
        <f t="shared" si="423"/>
        <v>0</v>
      </c>
      <c r="BP62" s="352">
        <f t="shared" si="423"/>
        <v>0</v>
      </c>
      <c r="BQ62" s="352">
        <f t="shared" si="423"/>
        <v>0</v>
      </c>
      <c r="BR62" s="376">
        <f t="shared" si="446"/>
        <v>0</v>
      </c>
    </row>
    <row r="63" spans="1:70" s="240" customFormat="1" ht="15" customHeight="1" x14ac:dyDescent="0.25">
      <c r="A63" s="240" t="s">
        <v>133</v>
      </c>
      <c r="B63" s="353"/>
      <c r="C63" s="350"/>
      <c r="D63" s="457">
        <v>61250</v>
      </c>
      <c r="E63" s="450" t="s">
        <v>192</v>
      </c>
      <c r="F63" s="351"/>
      <c r="G63" s="351">
        <v>0</v>
      </c>
      <c r="H63" s="351">
        <v>0.4</v>
      </c>
      <c r="I63" s="351">
        <v>0.6</v>
      </c>
      <c r="J63" s="351">
        <v>0</v>
      </c>
      <c r="K63" s="351"/>
      <c r="L63" s="351"/>
      <c r="M63" s="351"/>
      <c r="N63" s="351"/>
      <c r="O63" s="351"/>
      <c r="P63" s="351"/>
      <c r="Q63" s="351"/>
      <c r="R63" s="450"/>
      <c r="S63" s="450"/>
      <c r="T63" s="450"/>
      <c r="U63" s="450"/>
      <c r="V63" s="450"/>
      <c r="W63" s="450"/>
      <c r="X63" s="450"/>
      <c r="Y63" s="450"/>
      <c r="Z63" s="449">
        <f>SUM(F63:X63)</f>
        <v>1</v>
      </c>
      <c r="AA63" s="350"/>
      <c r="AB63" s="350"/>
      <c r="AC63" s="447">
        <f t="shared" ref="AC63:AF64" si="531">F63*$D63</f>
        <v>0</v>
      </c>
      <c r="AD63" s="447">
        <f t="shared" si="531"/>
        <v>0</v>
      </c>
      <c r="AE63" s="447">
        <f t="shared" si="531"/>
        <v>24500</v>
      </c>
      <c r="AF63" s="447">
        <f t="shared" si="531"/>
        <v>36750</v>
      </c>
      <c r="AG63" s="447">
        <f t="shared" ref="AG63:AH64" si="532">J63*$D63</f>
        <v>0</v>
      </c>
      <c r="AH63" s="447">
        <f t="shared" si="532"/>
        <v>0</v>
      </c>
      <c r="AI63" s="447">
        <f>L63*$D63</f>
        <v>0</v>
      </c>
      <c r="AJ63" s="447">
        <f>M63*$D63</f>
        <v>0</v>
      </c>
      <c r="AK63" s="447">
        <f t="shared" ref="AK63:AK74" si="533">N63*$D63</f>
        <v>0</v>
      </c>
      <c r="AL63" s="447">
        <f>O63*$D63</f>
        <v>0</v>
      </c>
      <c r="AM63" s="459">
        <f t="shared" si="8"/>
        <v>0</v>
      </c>
      <c r="AN63" s="352">
        <f t="shared" si="9"/>
        <v>0</v>
      </c>
      <c r="AO63" s="352">
        <f t="shared" si="10"/>
        <v>0</v>
      </c>
      <c r="AP63" s="352">
        <f t="shared" si="11"/>
        <v>0</v>
      </c>
      <c r="AQ63" s="352">
        <f t="shared" si="12"/>
        <v>0</v>
      </c>
      <c r="AR63" s="352">
        <f t="shared" si="13"/>
        <v>0</v>
      </c>
      <c r="AS63" s="352">
        <f t="shared" si="14"/>
        <v>0</v>
      </c>
      <c r="AT63" s="352">
        <f t="shared" si="15"/>
        <v>0</v>
      </c>
      <c r="AU63" s="352">
        <f t="shared" si="16"/>
        <v>0</v>
      </c>
      <c r="AV63" s="352"/>
      <c r="AW63" s="352"/>
      <c r="AX63" s="352">
        <f t="shared" ref="AX63:BG64" si="534">IF(AX$3=$E63,$D63,0)</f>
        <v>0</v>
      </c>
      <c r="AY63" s="352">
        <f t="shared" si="534"/>
        <v>61250</v>
      </c>
      <c r="AZ63" s="352">
        <f t="shared" si="534"/>
        <v>0</v>
      </c>
      <c r="BA63" s="352">
        <f t="shared" si="534"/>
        <v>0</v>
      </c>
      <c r="BB63" s="352">
        <f t="shared" si="534"/>
        <v>0</v>
      </c>
      <c r="BC63" s="352">
        <f t="shared" si="534"/>
        <v>0</v>
      </c>
      <c r="BD63" s="352">
        <f t="shared" si="534"/>
        <v>0</v>
      </c>
      <c r="BE63" s="352">
        <f t="shared" si="534"/>
        <v>0</v>
      </c>
      <c r="BF63" s="352">
        <f t="shared" si="534"/>
        <v>0</v>
      </c>
      <c r="BG63" s="352">
        <f t="shared" si="534"/>
        <v>0</v>
      </c>
      <c r="BH63" s="352">
        <f t="shared" ref="BH63:BQ64" si="535">IF(BH$3=$E63,$D63,0)</f>
        <v>0</v>
      </c>
      <c r="BI63" s="352">
        <f t="shared" si="535"/>
        <v>0</v>
      </c>
      <c r="BJ63" s="352">
        <f t="shared" si="535"/>
        <v>0</v>
      </c>
      <c r="BK63" s="352">
        <f t="shared" si="535"/>
        <v>0</v>
      </c>
      <c r="BL63" s="352">
        <f t="shared" si="535"/>
        <v>0</v>
      </c>
      <c r="BM63" s="352">
        <f t="shared" si="535"/>
        <v>0</v>
      </c>
      <c r="BN63" s="352">
        <f t="shared" si="535"/>
        <v>0</v>
      </c>
      <c r="BO63" s="352">
        <f t="shared" si="535"/>
        <v>0</v>
      </c>
      <c r="BP63" s="352">
        <f t="shared" si="535"/>
        <v>0</v>
      </c>
      <c r="BQ63" s="352">
        <f t="shared" si="535"/>
        <v>0</v>
      </c>
      <c r="BR63" s="376">
        <f t="shared" si="20"/>
        <v>0</v>
      </c>
    </row>
    <row r="64" spans="1:70" s="240" customFormat="1" ht="15" customHeight="1" x14ac:dyDescent="0.25">
      <c r="A64" s="240" t="s">
        <v>133</v>
      </c>
      <c r="B64" s="353"/>
      <c r="C64" s="350"/>
      <c r="D64" s="447">
        <v>121200</v>
      </c>
      <c r="E64" s="350" t="s">
        <v>164</v>
      </c>
      <c r="F64" s="351"/>
      <c r="G64" s="351"/>
      <c r="H64" s="351"/>
      <c r="I64" s="351">
        <v>0.33333332999999998</v>
      </c>
      <c r="J64" s="351">
        <v>0.16666665999999999</v>
      </c>
      <c r="K64" s="351">
        <v>0.33333332999999998</v>
      </c>
      <c r="L64" s="351">
        <v>0.16666668000000007</v>
      </c>
      <c r="M64" s="351"/>
      <c r="N64" s="351"/>
      <c r="O64" s="351"/>
      <c r="P64" s="351"/>
      <c r="Q64" s="351"/>
      <c r="R64" s="450"/>
      <c r="S64" s="450"/>
      <c r="T64" s="450"/>
      <c r="U64" s="450"/>
      <c r="V64" s="450"/>
      <c r="W64" s="450"/>
      <c r="X64" s="450"/>
      <c r="Y64" s="450"/>
      <c r="Z64" s="449">
        <f>SUM(F64:X64)</f>
        <v>1</v>
      </c>
      <c r="AA64" s="350"/>
      <c r="AB64" s="350"/>
      <c r="AC64" s="447">
        <f t="shared" si="531"/>
        <v>0</v>
      </c>
      <c r="AD64" s="447">
        <f t="shared" si="531"/>
        <v>0</v>
      </c>
      <c r="AE64" s="447">
        <f t="shared" si="531"/>
        <v>0</v>
      </c>
      <c r="AF64" s="447">
        <f t="shared" si="531"/>
        <v>40399.999596000001</v>
      </c>
      <c r="AG64" s="447">
        <f t="shared" si="532"/>
        <v>20199.999191999999</v>
      </c>
      <c r="AH64" s="447">
        <f t="shared" si="532"/>
        <v>40399.999596000001</v>
      </c>
      <c r="AI64" s="447">
        <f>L64*$D64</f>
        <v>20200.001616000009</v>
      </c>
      <c r="AJ64" s="447">
        <f>M64*$D64</f>
        <v>0</v>
      </c>
      <c r="AK64" s="447">
        <f t="shared" si="533"/>
        <v>0</v>
      </c>
      <c r="AL64" s="447">
        <f>O64*$D64</f>
        <v>0</v>
      </c>
      <c r="AM64" s="459">
        <f t="shared" si="8"/>
        <v>0</v>
      </c>
      <c r="AN64" s="352">
        <f t="shared" si="9"/>
        <v>0</v>
      </c>
      <c r="AO64" s="352">
        <f t="shared" si="10"/>
        <v>0</v>
      </c>
      <c r="AP64" s="352">
        <f t="shared" si="11"/>
        <v>0</v>
      </c>
      <c r="AQ64" s="352">
        <f t="shared" si="12"/>
        <v>0</v>
      </c>
      <c r="AR64" s="352">
        <f t="shared" si="13"/>
        <v>0</v>
      </c>
      <c r="AS64" s="352">
        <f t="shared" si="14"/>
        <v>0</v>
      </c>
      <c r="AT64" s="352">
        <f t="shared" si="15"/>
        <v>0</v>
      </c>
      <c r="AU64" s="352">
        <f t="shared" si="16"/>
        <v>0</v>
      </c>
      <c r="AV64" s="352"/>
      <c r="AW64" s="352"/>
      <c r="AX64" s="352">
        <f t="shared" si="534"/>
        <v>0</v>
      </c>
      <c r="AY64" s="352">
        <f t="shared" si="534"/>
        <v>0</v>
      </c>
      <c r="AZ64" s="352">
        <f t="shared" si="534"/>
        <v>121200</v>
      </c>
      <c r="BA64" s="352">
        <f t="shared" si="534"/>
        <v>0</v>
      </c>
      <c r="BB64" s="352">
        <f t="shared" si="534"/>
        <v>0</v>
      </c>
      <c r="BC64" s="352">
        <f t="shared" si="534"/>
        <v>0</v>
      </c>
      <c r="BD64" s="352">
        <f t="shared" si="534"/>
        <v>0</v>
      </c>
      <c r="BE64" s="352">
        <f t="shared" si="534"/>
        <v>0</v>
      </c>
      <c r="BF64" s="352">
        <f t="shared" si="534"/>
        <v>0</v>
      </c>
      <c r="BG64" s="352">
        <f t="shared" si="534"/>
        <v>0</v>
      </c>
      <c r="BH64" s="352">
        <f t="shared" si="535"/>
        <v>0</v>
      </c>
      <c r="BI64" s="352">
        <f t="shared" si="535"/>
        <v>0</v>
      </c>
      <c r="BJ64" s="352">
        <f t="shared" si="535"/>
        <v>0</v>
      </c>
      <c r="BK64" s="352">
        <f t="shared" si="535"/>
        <v>0</v>
      </c>
      <c r="BL64" s="352">
        <f t="shared" si="535"/>
        <v>0</v>
      </c>
      <c r="BM64" s="352">
        <f t="shared" si="535"/>
        <v>0</v>
      </c>
      <c r="BN64" s="352">
        <f t="shared" si="535"/>
        <v>0</v>
      </c>
      <c r="BO64" s="352">
        <f t="shared" si="535"/>
        <v>0</v>
      </c>
      <c r="BP64" s="352">
        <f t="shared" si="535"/>
        <v>0</v>
      </c>
      <c r="BQ64" s="352">
        <f t="shared" si="535"/>
        <v>0</v>
      </c>
      <c r="BR64" s="376">
        <f t="shared" si="20"/>
        <v>0</v>
      </c>
    </row>
    <row r="65" spans="1:70" s="240" customFormat="1" ht="15" customHeight="1" x14ac:dyDescent="0.25">
      <c r="A65" s="240" t="s">
        <v>133</v>
      </c>
      <c r="B65" s="353"/>
      <c r="C65" s="350"/>
      <c r="D65" s="447">
        <v>124265.64</v>
      </c>
      <c r="E65" s="350" t="s">
        <v>196</v>
      </c>
      <c r="F65" s="351"/>
      <c r="G65" s="351"/>
      <c r="H65" s="351"/>
      <c r="I65" s="351"/>
      <c r="J65" s="351">
        <v>0</v>
      </c>
      <c r="K65" s="351">
        <v>0.33765158252916899</v>
      </c>
      <c r="L65" s="449">
        <v>7.5439679061726148E-2</v>
      </c>
      <c r="M65" s="460">
        <v>5.7940392855177013E-2</v>
      </c>
      <c r="N65" s="351">
        <v>4.9891023777771555E-2</v>
      </c>
      <c r="O65" s="351">
        <v>4.1721669803495155E-2</v>
      </c>
      <c r="P65" s="351">
        <v>5.2252336204923575E-2</v>
      </c>
      <c r="Q65" s="351">
        <v>4.512172471811194E-2</v>
      </c>
      <c r="R65" s="351">
        <v>0</v>
      </c>
      <c r="S65" s="351">
        <v>6.4401229495136381E-2</v>
      </c>
      <c r="T65" s="351">
        <v>0</v>
      </c>
      <c r="U65" s="351">
        <v>0.1368037053525013</v>
      </c>
      <c r="V65" s="451">
        <v>0.13877665620198804</v>
      </c>
      <c r="W65" s="450"/>
      <c r="X65" s="450"/>
      <c r="Y65" s="450"/>
      <c r="Z65" s="449">
        <f t="shared" si="21"/>
        <v>1</v>
      </c>
      <c r="AA65" s="350"/>
      <c r="AB65" s="350"/>
      <c r="AC65" s="447">
        <f t="shared" si="0"/>
        <v>0</v>
      </c>
      <c r="AD65" s="447">
        <f t="shared" si="1"/>
        <v>0</v>
      </c>
      <c r="AE65" s="447">
        <f t="shared" si="2"/>
        <v>0</v>
      </c>
      <c r="AF65" s="447">
        <f t="shared" si="3"/>
        <v>0</v>
      </c>
      <c r="AG65" s="447">
        <f t="shared" ref="AG65:AG74" si="536">J65*$D65</f>
        <v>0</v>
      </c>
      <c r="AH65" s="447">
        <f t="shared" si="22"/>
        <v>41958.490000000005</v>
      </c>
      <c r="AI65" s="447">
        <f t="shared" si="23"/>
        <v>9374.56</v>
      </c>
      <c r="AJ65" s="447">
        <f t="shared" si="24"/>
        <v>7199.9999999999991</v>
      </c>
      <c r="AK65" s="447">
        <f t="shared" si="533"/>
        <v>6199.74</v>
      </c>
      <c r="AL65" s="447">
        <f t="shared" si="19"/>
        <v>5184.57</v>
      </c>
      <c r="AM65" s="459">
        <f t="shared" si="8"/>
        <v>6493.1699999999992</v>
      </c>
      <c r="AN65" s="447">
        <f t="shared" si="9"/>
        <v>5607.08</v>
      </c>
      <c r="AO65" s="352">
        <f t="shared" si="10"/>
        <v>0</v>
      </c>
      <c r="AP65" s="339">
        <f t="shared" si="11"/>
        <v>8002.8599999999988</v>
      </c>
      <c r="AQ65" s="339">
        <f t="shared" si="12"/>
        <v>0</v>
      </c>
      <c r="AR65" s="339">
        <f t="shared" si="13"/>
        <v>17000</v>
      </c>
      <c r="AS65" s="352">
        <f t="shared" si="14"/>
        <v>17245.170000000013</v>
      </c>
      <c r="AT65" s="352">
        <f t="shared" si="15"/>
        <v>0</v>
      </c>
      <c r="AU65" s="352">
        <f t="shared" si="16"/>
        <v>0</v>
      </c>
      <c r="AV65" s="352"/>
      <c r="AW65" s="352"/>
      <c r="AX65" s="352">
        <f t="shared" ref="AX65:BN86" si="537">IF(AX$3=$E65,$D65,0)</f>
        <v>0</v>
      </c>
      <c r="AY65" s="352">
        <f t="shared" si="537"/>
        <v>0</v>
      </c>
      <c r="AZ65" s="352">
        <f t="shared" si="537"/>
        <v>0</v>
      </c>
      <c r="BA65" s="352">
        <f t="shared" si="537"/>
        <v>124265.64</v>
      </c>
      <c r="BB65" s="352">
        <f t="shared" si="537"/>
        <v>0</v>
      </c>
      <c r="BC65" s="352">
        <f t="shared" si="537"/>
        <v>0</v>
      </c>
      <c r="BD65" s="352">
        <f t="shared" si="537"/>
        <v>0</v>
      </c>
      <c r="BE65" s="352">
        <f t="shared" si="537"/>
        <v>0</v>
      </c>
      <c r="BF65" s="352">
        <f t="shared" si="537"/>
        <v>0</v>
      </c>
      <c r="BG65" s="352">
        <f t="shared" si="537"/>
        <v>0</v>
      </c>
      <c r="BH65" s="352">
        <f t="shared" si="537"/>
        <v>0</v>
      </c>
      <c r="BI65" s="352">
        <f t="shared" si="537"/>
        <v>0</v>
      </c>
      <c r="BJ65" s="352">
        <f t="shared" si="537"/>
        <v>0</v>
      </c>
      <c r="BK65" s="352">
        <f t="shared" si="537"/>
        <v>0</v>
      </c>
      <c r="BL65" s="352">
        <f t="shared" si="537"/>
        <v>0</v>
      </c>
      <c r="BM65" s="352">
        <f t="shared" si="537"/>
        <v>0</v>
      </c>
      <c r="BN65" s="352">
        <f t="shared" si="537"/>
        <v>0</v>
      </c>
      <c r="BO65" s="352">
        <f t="shared" si="423"/>
        <v>0</v>
      </c>
      <c r="BP65" s="352">
        <f t="shared" si="423"/>
        <v>0</v>
      </c>
      <c r="BQ65" s="352">
        <f t="shared" si="423"/>
        <v>0</v>
      </c>
      <c r="BR65" s="376">
        <f t="shared" si="20"/>
        <v>0</v>
      </c>
    </row>
    <row r="66" spans="1:70" s="240" customFormat="1" ht="15" customHeight="1" x14ac:dyDescent="0.25">
      <c r="A66" s="240" t="s">
        <v>135</v>
      </c>
      <c r="B66" s="353"/>
      <c r="C66" s="350"/>
      <c r="D66" s="447">
        <v>5000</v>
      </c>
      <c r="E66" s="350" t="s">
        <v>196</v>
      </c>
      <c r="F66" s="450"/>
      <c r="G66" s="450"/>
      <c r="H66" s="450"/>
      <c r="I66" s="351">
        <v>1</v>
      </c>
      <c r="J66" s="351"/>
      <c r="K66" s="351"/>
      <c r="L66" s="351"/>
      <c r="M66" s="351"/>
      <c r="N66" s="450"/>
      <c r="O66" s="450"/>
      <c r="P66" s="450"/>
      <c r="Q66" s="450"/>
      <c r="R66" s="450"/>
      <c r="S66" s="450"/>
      <c r="T66" s="450"/>
      <c r="U66" s="450"/>
      <c r="V66" s="450"/>
      <c r="W66" s="450"/>
      <c r="X66" s="450"/>
      <c r="Y66" s="450"/>
      <c r="Z66" s="449">
        <f>SUM(F66:X66)</f>
        <v>1</v>
      </c>
      <c r="AA66" s="350"/>
      <c r="AB66" s="350"/>
      <c r="AC66" s="447">
        <f>F66*$D66</f>
        <v>0</v>
      </c>
      <c r="AD66" s="447">
        <f>G66*$D66</f>
        <v>0</v>
      </c>
      <c r="AE66" s="447">
        <f>H66*$D66</f>
        <v>0</v>
      </c>
      <c r="AF66" s="447">
        <f>I66*$D66</f>
        <v>5000</v>
      </c>
      <c r="AG66" s="447">
        <f t="shared" si="536"/>
        <v>0</v>
      </c>
      <c r="AH66" s="447">
        <f>K66*$D66</f>
        <v>0</v>
      </c>
      <c r="AI66" s="447">
        <f>L66*$D66</f>
        <v>0</v>
      </c>
      <c r="AJ66" s="447">
        <f>M66*$D66</f>
        <v>0</v>
      </c>
      <c r="AK66" s="447">
        <f t="shared" si="533"/>
        <v>0</v>
      </c>
      <c r="AL66" s="447">
        <f t="shared" ref="AL66:AU66" si="538">O66*$D66</f>
        <v>0</v>
      </c>
      <c r="AM66" s="459">
        <f t="shared" si="538"/>
        <v>0</v>
      </c>
      <c r="AN66" s="352">
        <f t="shared" si="538"/>
        <v>0</v>
      </c>
      <c r="AO66" s="352">
        <f t="shared" si="538"/>
        <v>0</v>
      </c>
      <c r="AP66" s="352">
        <f t="shared" si="538"/>
        <v>0</v>
      </c>
      <c r="AQ66" s="352">
        <f t="shared" si="538"/>
        <v>0</v>
      </c>
      <c r="AR66" s="352">
        <f t="shared" si="538"/>
        <v>0</v>
      </c>
      <c r="AS66" s="352">
        <f t="shared" si="538"/>
        <v>0</v>
      </c>
      <c r="AT66" s="352">
        <f t="shared" si="538"/>
        <v>0</v>
      </c>
      <c r="AU66" s="352">
        <f t="shared" si="538"/>
        <v>0</v>
      </c>
      <c r="AV66" s="352"/>
      <c r="AW66" s="352"/>
      <c r="AX66" s="352">
        <f t="shared" ref="AX66:BQ66" si="539">IF(AX$3=$E66,$D66,0)</f>
        <v>0</v>
      </c>
      <c r="AY66" s="352">
        <f t="shared" si="539"/>
        <v>0</v>
      </c>
      <c r="AZ66" s="352">
        <f t="shared" si="539"/>
        <v>0</v>
      </c>
      <c r="BA66" s="352">
        <f t="shared" si="539"/>
        <v>5000</v>
      </c>
      <c r="BB66" s="352">
        <f t="shared" si="539"/>
        <v>0</v>
      </c>
      <c r="BC66" s="352">
        <f t="shared" si="539"/>
        <v>0</v>
      </c>
      <c r="BD66" s="352">
        <f t="shared" si="539"/>
        <v>0</v>
      </c>
      <c r="BE66" s="352">
        <f t="shared" si="539"/>
        <v>0</v>
      </c>
      <c r="BF66" s="352">
        <f t="shared" si="539"/>
        <v>0</v>
      </c>
      <c r="BG66" s="352">
        <f t="shared" si="539"/>
        <v>0</v>
      </c>
      <c r="BH66" s="352">
        <f t="shared" si="539"/>
        <v>0</v>
      </c>
      <c r="BI66" s="352">
        <f t="shared" si="539"/>
        <v>0</v>
      </c>
      <c r="BJ66" s="352">
        <f t="shared" si="539"/>
        <v>0</v>
      </c>
      <c r="BK66" s="352">
        <f t="shared" si="539"/>
        <v>0</v>
      </c>
      <c r="BL66" s="352">
        <f t="shared" si="539"/>
        <v>0</v>
      </c>
      <c r="BM66" s="352">
        <f t="shared" si="539"/>
        <v>0</v>
      </c>
      <c r="BN66" s="352">
        <f t="shared" si="539"/>
        <v>0</v>
      </c>
      <c r="BO66" s="352">
        <f t="shared" si="539"/>
        <v>0</v>
      </c>
      <c r="BP66" s="352">
        <f t="shared" si="539"/>
        <v>0</v>
      </c>
      <c r="BQ66" s="352">
        <f t="shared" si="539"/>
        <v>0</v>
      </c>
      <c r="BR66" s="376">
        <f t="shared" si="20"/>
        <v>0</v>
      </c>
    </row>
    <row r="67" spans="1:70" s="240" customFormat="1" ht="15" customHeight="1" x14ac:dyDescent="0.25">
      <c r="A67" s="240" t="s">
        <v>133</v>
      </c>
      <c r="B67" s="353"/>
      <c r="C67" s="350"/>
      <c r="D67" s="447">
        <v>57832.03</v>
      </c>
      <c r="E67" s="350" t="s">
        <v>193</v>
      </c>
      <c r="F67" s="450"/>
      <c r="G67" s="450"/>
      <c r="H67" s="450"/>
      <c r="I67" s="450"/>
      <c r="J67" s="461">
        <v>0.33333344860970643</v>
      </c>
      <c r="K67" s="461">
        <v>0.44444436759352907</v>
      </c>
      <c r="L67" s="461">
        <v>0.22222218379676453</v>
      </c>
      <c r="M67" s="351"/>
      <c r="N67" s="351"/>
      <c r="O67" s="450"/>
      <c r="P67" s="450"/>
      <c r="Q67" s="450"/>
      <c r="R67" s="450"/>
      <c r="S67" s="351">
        <f>1-R67-P67-O67-N67-L67-K67-M67-J67</f>
        <v>0</v>
      </c>
      <c r="T67" s="450"/>
      <c r="U67" s="450"/>
      <c r="V67" s="450"/>
      <c r="W67" s="450"/>
      <c r="X67" s="450"/>
      <c r="Y67" s="450"/>
      <c r="Z67" s="449">
        <f t="shared" si="21"/>
        <v>1</v>
      </c>
      <c r="AA67" s="350"/>
      <c r="AB67" s="350"/>
      <c r="AC67" s="447">
        <f t="shared" si="0"/>
        <v>0</v>
      </c>
      <c r="AD67" s="447">
        <f t="shared" si="1"/>
        <v>0</v>
      </c>
      <c r="AE67" s="447">
        <f t="shared" si="2"/>
        <v>0</v>
      </c>
      <c r="AF67" s="447">
        <f t="shared" si="3"/>
        <v>0</v>
      </c>
      <c r="AG67" s="447">
        <f t="shared" si="536"/>
        <v>19277.349999999999</v>
      </c>
      <c r="AH67" s="447">
        <f t="shared" si="22"/>
        <v>25703.119999999999</v>
      </c>
      <c r="AI67" s="447">
        <f t="shared" si="23"/>
        <v>12851.56</v>
      </c>
      <c r="AJ67" s="447">
        <f t="shared" si="24"/>
        <v>0</v>
      </c>
      <c r="AK67" s="447">
        <f t="shared" si="533"/>
        <v>0</v>
      </c>
      <c r="AL67" s="447">
        <f t="shared" si="19"/>
        <v>0</v>
      </c>
      <c r="AM67" s="459">
        <f t="shared" si="8"/>
        <v>0</v>
      </c>
      <c r="AN67" s="352">
        <f t="shared" si="9"/>
        <v>0</v>
      </c>
      <c r="AO67" s="352">
        <f t="shared" si="10"/>
        <v>0</v>
      </c>
      <c r="AP67" s="352">
        <f t="shared" si="11"/>
        <v>0</v>
      </c>
      <c r="AQ67" s="352">
        <f t="shared" si="12"/>
        <v>0</v>
      </c>
      <c r="AR67" s="352">
        <f t="shared" si="13"/>
        <v>0</v>
      </c>
      <c r="AS67" s="352">
        <f t="shared" si="14"/>
        <v>0</v>
      </c>
      <c r="AT67" s="352">
        <f t="shared" si="15"/>
        <v>0</v>
      </c>
      <c r="AU67" s="352">
        <f t="shared" si="16"/>
        <v>0</v>
      </c>
      <c r="AV67" s="352"/>
      <c r="AW67" s="352"/>
      <c r="AX67" s="352">
        <f t="shared" si="537"/>
        <v>0</v>
      </c>
      <c r="AY67" s="352">
        <f t="shared" si="537"/>
        <v>0</v>
      </c>
      <c r="AZ67" s="352">
        <f t="shared" si="537"/>
        <v>0</v>
      </c>
      <c r="BA67" s="352">
        <f t="shared" si="537"/>
        <v>0</v>
      </c>
      <c r="BB67" s="447">
        <f t="shared" si="537"/>
        <v>57832.03</v>
      </c>
      <c r="BC67" s="352">
        <f t="shared" si="537"/>
        <v>0</v>
      </c>
      <c r="BD67" s="352">
        <f t="shared" si="537"/>
        <v>0</v>
      </c>
      <c r="BE67" s="352">
        <f t="shared" si="537"/>
        <v>0</v>
      </c>
      <c r="BF67" s="352">
        <f t="shared" si="537"/>
        <v>0</v>
      </c>
      <c r="BG67" s="352">
        <f t="shared" si="537"/>
        <v>0</v>
      </c>
      <c r="BH67" s="352">
        <f t="shared" si="537"/>
        <v>0</v>
      </c>
      <c r="BI67" s="352">
        <f t="shared" si="537"/>
        <v>0</v>
      </c>
      <c r="BJ67" s="352">
        <f t="shared" si="537"/>
        <v>0</v>
      </c>
      <c r="BK67" s="352">
        <f t="shared" si="537"/>
        <v>0</v>
      </c>
      <c r="BL67" s="352">
        <f t="shared" si="537"/>
        <v>0</v>
      </c>
      <c r="BM67" s="352">
        <f t="shared" si="537"/>
        <v>0</v>
      </c>
      <c r="BN67" s="352">
        <f t="shared" si="423"/>
        <v>0</v>
      </c>
      <c r="BO67" s="352">
        <f t="shared" si="423"/>
        <v>0</v>
      </c>
      <c r="BP67" s="352">
        <f t="shared" si="423"/>
        <v>0</v>
      </c>
      <c r="BQ67" s="352">
        <f t="shared" si="423"/>
        <v>0</v>
      </c>
      <c r="BR67" s="376">
        <f t="shared" si="20"/>
        <v>0</v>
      </c>
    </row>
    <row r="68" spans="1:70" s="240" customFormat="1" ht="15" customHeight="1" x14ac:dyDescent="0.25">
      <c r="A68" s="240" t="s">
        <v>133</v>
      </c>
      <c r="B68" s="353"/>
      <c r="C68" s="350"/>
      <c r="D68" s="457">
        <f>12250*12</f>
        <v>147000</v>
      </c>
      <c r="E68" s="450" t="s">
        <v>193</v>
      </c>
      <c r="F68" s="351"/>
      <c r="G68" s="351"/>
      <c r="H68" s="351"/>
      <c r="I68" s="351"/>
      <c r="J68" s="351">
        <v>8.3333333333333301E-2</v>
      </c>
      <c r="K68" s="351">
        <v>0.16666666666666599</v>
      </c>
      <c r="L68" s="351">
        <v>0.25</v>
      </c>
      <c r="M68" s="351">
        <v>0.33333333333333331</v>
      </c>
      <c r="N68" s="351">
        <v>0.16666666666666669</v>
      </c>
      <c r="O68" s="351">
        <v>0</v>
      </c>
      <c r="P68" s="351"/>
      <c r="Q68" s="351"/>
      <c r="R68" s="450"/>
      <c r="S68" s="450"/>
      <c r="T68" s="450"/>
      <c r="U68" s="450"/>
      <c r="V68" s="450"/>
      <c r="W68" s="450"/>
      <c r="X68" s="450"/>
      <c r="Y68" s="450"/>
      <c r="Z68" s="449">
        <f>SUM(F68:X68)</f>
        <v>0.99999999999999933</v>
      </c>
      <c r="AA68" s="350"/>
      <c r="AB68" s="350"/>
      <c r="AC68" s="447">
        <f t="shared" ref="AC68:AF74" si="540">F68*$D68</f>
        <v>0</v>
      </c>
      <c r="AD68" s="447">
        <f t="shared" si="540"/>
        <v>0</v>
      </c>
      <c r="AE68" s="447">
        <f t="shared" si="540"/>
        <v>0</v>
      </c>
      <c r="AF68" s="447">
        <f t="shared" si="540"/>
        <v>0</v>
      </c>
      <c r="AG68" s="447">
        <f t="shared" si="536"/>
        <v>12249.999999999995</v>
      </c>
      <c r="AH68" s="447">
        <f t="shared" ref="AH68:AJ74" si="541">K68*$D68</f>
        <v>24499.999999999902</v>
      </c>
      <c r="AI68" s="447">
        <f t="shared" si="541"/>
        <v>36750</v>
      </c>
      <c r="AJ68" s="447">
        <f t="shared" si="541"/>
        <v>49000</v>
      </c>
      <c r="AK68" s="447">
        <f t="shared" si="533"/>
        <v>24500.000000000004</v>
      </c>
      <c r="AL68" s="447">
        <f t="shared" ref="AL68:AU74" si="542">O68*$D68</f>
        <v>0</v>
      </c>
      <c r="AM68" s="459">
        <f t="shared" si="542"/>
        <v>0</v>
      </c>
      <c r="AN68" s="352">
        <f t="shared" si="542"/>
        <v>0</v>
      </c>
      <c r="AO68" s="352">
        <f t="shared" si="542"/>
        <v>0</v>
      </c>
      <c r="AP68" s="352">
        <f t="shared" si="542"/>
        <v>0</v>
      </c>
      <c r="AQ68" s="352">
        <f t="shared" si="542"/>
        <v>0</v>
      </c>
      <c r="AR68" s="352">
        <f t="shared" si="542"/>
        <v>0</v>
      </c>
      <c r="AS68" s="352">
        <f t="shared" si="542"/>
        <v>0</v>
      </c>
      <c r="AT68" s="352">
        <f t="shared" si="542"/>
        <v>0</v>
      </c>
      <c r="AU68" s="352">
        <f t="shared" si="542"/>
        <v>0</v>
      </c>
      <c r="AV68" s="352"/>
      <c r="AW68" s="352"/>
      <c r="AX68" s="352">
        <f t="shared" ref="AX68:BG74" si="543">IF(AX$3=$E68,$D68,0)</f>
        <v>0</v>
      </c>
      <c r="AY68" s="352">
        <f t="shared" si="543"/>
        <v>0</v>
      </c>
      <c r="AZ68" s="352">
        <f t="shared" si="543"/>
        <v>0</v>
      </c>
      <c r="BA68" s="352">
        <f t="shared" si="543"/>
        <v>0</v>
      </c>
      <c r="BB68" s="352">
        <f t="shared" si="543"/>
        <v>147000</v>
      </c>
      <c r="BC68" s="352">
        <f t="shared" si="543"/>
        <v>0</v>
      </c>
      <c r="BD68" s="352">
        <f t="shared" si="543"/>
        <v>0</v>
      </c>
      <c r="BE68" s="352">
        <f t="shared" si="543"/>
        <v>0</v>
      </c>
      <c r="BF68" s="352">
        <f t="shared" si="543"/>
        <v>0</v>
      </c>
      <c r="BG68" s="352">
        <f t="shared" si="543"/>
        <v>0</v>
      </c>
      <c r="BH68" s="352">
        <f t="shared" si="537"/>
        <v>0</v>
      </c>
      <c r="BI68" s="352">
        <f t="shared" si="537"/>
        <v>0</v>
      </c>
      <c r="BJ68" s="352">
        <f t="shared" si="537"/>
        <v>0</v>
      </c>
      <c r="BK68" s="352">
        <f t="shared" si="537"/>
        <v>0</v>
      </c>
      <c r="BL68" s="352">
        <f t="shared" si="537"/>
        <v>0</v>
      </c>
      <c r="BM68" s="352">
        <f t="shared" si="537"/>
        <v>0</v>
      </c>
      <c r="BN68" s="352">
        <f t="shared" si="537"/>
        <v>0</v>
      </c>
      <c r="BO68" s="352">
        <f t="shared" si="423"/>
        <v>0</v>
      </c>
      <c r="BP68" s="352">
        <f t="shared" si="423"/>
        <v>0</v>
      </c>
      <c r="BQ68" s="352">
        <f t="shared" si="423"/>
        <v>0</v>
      </c>
      <c r="BR68" s="376">
        <f t="shared" si="20"/>
        <v>0</v>
      </c>
    </row>
    <row r="69" spans="1:70" s="240" customFormat="1" ht="15" customHeight="1" x14ac:dyDescent="0.25">
      <c r="A69" s="240" t="s">
        <v>135</v>
      </c>
      <c r="B69" s="353"/>
      <c r="C69" s="350"/>
      <c r="D69" s="447">
        <v>961.64</v>
      </c>
      <c r="E69" s="350" t="s">
        <v>193</v>
      </c>
      <c r="F69" s="450"/>
      <c r="G69" s="450"/>
      <c r="H69" s="450"/>
      <c r="I69" s="351"/>
      <c r="J69" s="351">
        <v>1</v>
      </c>
      <c r="K69" s="351"/>
      <c r="L69" s="351"/>
      <c r="M69" s="351"/>
      <c r="N69" s="450"/>
      <c r="O69" s="450"/>
      <c r="P69" s="450"/>
      <c r="Q69" s="450"/>
      <c r="R69" s="450"/>
      <c r="S69" s="450"/>
      <c r="T69" s="450"/>
      <c r="U69" s="450"/>
      <c r="V69" s="450"/>
      <c r="W69" s="450"/>
      <c r="X69" s="450"/>
      <c r="Y69" s="450"/>
      <c r="Z69" s="449">
        <f t="shared" ref="Z69" si="544">SUM(F69:X69)</f>
        <v>1</v>
      </c>
      <c r="AA69" s="350"/>
      <c r="AB69" s="350"/>
      <c r="AC69" s="447">
        <f t="shared" si="540"/>
        <v>0</v>
      </c>
      <c r="AD69" s="447">
        <f t="shared" si="540"/>
        <v>0</v>
      </c>
      <c r="AE69" s="447">
        <f t="shared" si="540"/>
        <v>0</v>
      </c>
      <c r="AF69" s="447">
        <f t="shared" si="540"/>
        <v>0</v>
      </c>
      <c r="AG69" s="447">
        <f t="shared" si="536"/>
        <v>961.64</v>
      </c>
      <c r="AH69" s="447">
        <f t="shared" si="541"/>
        <v>0</v>
      </c>
      <c r="AI69" s="447">
        <f t="shared" si="541"/>
        <v>0</v>
      </c>
      <c r="AJ69" s="447">
        <f t="shared" si="541"/>
        <v>0</v>
      </c>
      <c r="AK69" s="447">
        <f t="shared" si="533"/>
        <v>0</v>
      </c>
      <c r="AL69" s="447">
        <f t="shared" si="542"/>
        <v>0</v>
      </c>
      <c r="AM69" s="459">
        <f t="shared" si="542"/>
        <v>0</v>
      </c>
      <c r="AN69" s="352">
        <f t="shared" si="542"/>
        <v>0</v>
      </c>
      <c r="AO69" s="352">
        <f t="shared" si="542"/>
        <v>0</v>
      </c>
      <c r="AP69" s="352">
        <f t="shared" si="542"/>
        <v>0</v>
      </c>
      <c r="AQ69" s="352">
        <f t="shared" si="542"/>
        <v>0</v>
      </c>
      <c r="AR69" s="352">
        <f t="shared" si="542"/>
        <v>0</v>
      </c>
      <c r="AS69" s="352">
        <f t="shared" si="542"/>
        <v>0</v>
      </c>
      <c r="AT69" s="352">
        <f t="shared" si="542"/>
        <v>0</v>
      </c>
      <c r="AU69" s="352">
        <f t="shared" si="542"/>
        <v>0</v>
      </c>
      <c r="AV69" s="352"/>
      <c r="AW69" s="352"/>
      <c r="AX69" s="352">
        <f t="shared" si="543"/>
        <v>0</v>
      </c>
      <c r="AY69" s="352">
        <f t="shared" si="543"/>
        <v>0</v>
      </c>
      <c r="AZ69" s="352">
        <f t="shared" si="543"/>
        <v>0</v>
      </c>
      <c r="BA69" s="352">
        <f t="shared" si="543"/>
        <v>0</v>
      </c>
      <c r="BB69" s="352">
        <f t="shared" si="543"/>
        <v>961.64</v>
      </c>
      <c r="BC69" s="352">
        <f t="shared" si="543"/>
        <v>0</v>
      </c>
      <c r="BD69" s="352">
        <f t="shared" si="543"/>
        <v>0</v>
      </c>
      <c r="BE69" s="352">
        <f t="shared" si="543"/>
        <v>0</v>
      </c>
      <c r="BF69" s="352">
        <f t="shared" si="543"/>
        <v>0</v>
      </c>
      <c r="BG69" s="352">
        <f t="shared" si="543"/>
        <v>0</v>
      </c>
      <c r="BH69" s="352">
        <f t="shared" si="537"/>
        <v>0</v>
      </c>
      <c r="BI69" s="352">
        <f t="shared" si="537"/>
        <v>0</v>
      </c>
      <c r="BJ69" s="352">
        <f t="shared" si="537"/>
        <v>0</v>
      </c>
      <c r="BK69" s="352">
        <f t="shared" si="537"/>
        <v>0</v>
      </c>
      <c r="BL69" s="352">
        <f t="shared" si="537"/>
        <v>0</v>
      </c>
      <c r="BM69" s="352">
        <f t="shared" si="537"/>
        <v>0</v>
      </c>
      <c r="BN69" s="352">
        <f t="shared" si="537"/>
        <v>0</v>
      </c>
      <c r="BO69" s="352">
        <f t="shared" si="423"/>
        <v>0</v>
      </c>
      <c r="BP69" s="352">
        <f t="shared" si="423"/>
        <v>0</v>
      </c>
      <c r="BQ69" s="352">
        <f t="shared" si="423"/>
        <v>0</v>
      </c>
      <c r="BR69" s="376">
        <f t="shared" si="20"/>
        <v>0</v>
      </c>
    </row>
    <row r="70" spans="1:70" s="240" customFormat="1" ht="15" customHeight="1" x14ac:dyDescent="0.25">
      <c r="A70" s="240" t="s">
        <v>134</v>
      </c>
      <c r="B70" s="353"/>
      <c r="C70" s="350"/>
      <c r="D70" s="447">
        <v>1030229</v>
      </c>
      <c r="E70" s="350" t="s">
        <v>166</v>
      </c>
      <c r="F70" s="351"/>
      <c r="G70" s="351"/>
      <c r="H70" s="351"/>
      <c r="I70" s="351"/>
      <c r="J70" s="351"/>
      <c r="K70" s="351">
        <v>0</v>
      </c>
      <c r="L70" s="351">
        <v>0.1</v>
      </c>
      <c r="M70" s="351">
        <v>0</v>
      </c>
      <c r="N70" s="351">
        <v>0</v>
      </c>
      <c r="O70" s="351">
        <v>0.30002038381757845</v>
      </c>
      <c r="P70" s="351">
        <v>0</v>
      </c>
      <c r="Q70" s="351">
        <v>0.19997961618242158</v>
      </c>
      <c r="R70" s="351">
        <f>1-(Q70+P70+O70+N70+M70+L70)</f>
        <v>0.4</v>
      </c>
      <c r="S70" s="450"/>
      <c r="T70" s="450"/>
      <c r="U70" s="450"/>
      <c r="V70" s="450"/>
      <c r="W70" s="450"/>
      <c r="X70" s="450"/>
      <c r="Y70" s="450"/>
      <c r="Z70" s="449">
        <f>SUM(F70:X70)</f>
        <v>1</v>
      </c>
      <c r="AA70" s="350"/>
      <c r="AB70" s="350"/>
      <c r="AC70" s="447">
        <f t="shared" si="540"/>
        <v>0</v>
      </c>
      <c r="AD70" s="447">
        <f t="shared" si="540"/>
        <v>0</v>
      </c>
      <c r="AE70" s="447">
        <f t="shared" si="540"/>
        <v>0</v>
      </c>
      <c r="AF70" s="447">
        <f t="shared" si="540"/>
        <v>0</v>
      </c>
      <c r="AG70" s="447">
        <f t="shared" si="536"/>
        <v>0</v>
      </c>
      <c r="AH70" s="447">
        <f t="shared" si="541"/>
        <v>0</v>
      </c>
      <c r="AI70" s="447">
        <f t="shared" si="541"/>
        <v>103022.90000000001</v>
      </c>
      <c r="AJ70" s="447">
        <f t="shared" si="541"/>
        <v>0</v>
      </c>
      <c r="AK70" s="447">
        <f t="shared" si="533"/>
        <v>0</v>
      </c>
      <c r="AL70" s="447">
        <f t="shared" si="542"/>
        <v>309089.7</v>
      </c>
      <c r="AM70" s="459">
        <f t="shared" si="542"/>
        <v>0</v>
      </c>
      <c r="AN70" s="352">
        <f t="shared" si="542"/>
        <v>206024.8</v>
      </c>
      <c r="AO70" s="352">
        <f t="shared" si="542"/>
        <v>412091.60000000003</v>
      </c>
      <c r="AP70" s="352">
        <f t="shared" si="542"/>
        <v>0</v>
      </c>
      <c r="AQ70" s="352">
        <f t="shared" si="542"/>
        <v>0</v>
      </c>
      <c r="AR70" s="352">
        <f t="shared" si="542"/>
        <v>0</v>
      </c>
      <c r="AS70" s="352">
        <f t="shared" si="542"/>
        <v>0</v>
      </c>
      <c r="AT70" s="352">
        <f t="shared" si="542"/>
        <v>0</v>
      </c>
      <c r="AU70" s="352">
        <f t="shared" si="542"/>
        <v>0</v>
      </c>
      <c r="AV70" s="352"/>
      <c r="AW70" s="352"/>
      <c r="AX70" s="352">
        <f t="shared" si="543"/>
        <v>0</v>
      </c>
      <c r="AY70" s="352">
        <f t="shared" si="543"/>
        <v>0</v>
      </c>
      <c r="AZ70" s="352">
        <f t="shared" si="543"/>
        <v>0</v>
      </c>
      <c r="BA70" s="352">
        <f t="shared" si="543"/>
        <v>0</v>
      </c>
      <c r="BB70" s="352">
        <f t="shared" si="543"/>
        <v>0</v>
      </c>
      <c r="BC70" s="352">
        <f t="shared" si="543"/>
        <v>1030229</v>
      </c>
      <c r="BD70" s="352">
        <f t="shared" si="543"/>
        <v>0</v>
      </c>
      <c r="BE70" s="352">
        <f t="shared" si="543"/>
        <v>0</v>
      </c>
      <c r="BF70" s="352">
        <f t="shared" si="543"/>
        <v>0</v>
      </c>
      <c r="BG70" s="352">
        <f t="shared" si="543"/>
        <v>0</v>
      </c>
      <c r="BH70" s="352">
        <f t="shared" si="537"/>
        <v>0</v>
      </c>
      <c r="BI70" s="352">
        <f t="shared" si="537"/>
        <v>0</v>
      </c>
      <c r="BJ70" s="352">
        <f t="shared" si="537"/>
        <v>0</v>
      </c>
      <c r="BK70" s="352">
        <f t="shared" si="537"/>
        <v>0</v>
      </c>
      <c r="BL70" s="352">
        <f t="shared" si="537"/>
        <v>0</v>
      </c>
      <c r="BM70" s="352">
        <f t="shared" si="537"/>
        <v>0</v>
      </c>
      <c r="BN70" s="352">
        <f t="shared" si="537"/>
        <v>0</v>
      </c>
      <c r="BO70" s="352">
        <f t="shared" si="423"/>
        <v>0</v>
      </c>
      <c r="BP70" s="352">
        <f t="shared" si="423"/>
        <v>0</v>
      </c>
      <c r="BQ70" s="352">
        <f t="shared" si="423"/>
        <v>0</v>
      </c>
      <c r="BR70" s="376">
        <f t="shared" si="20"/>
        <v>0</v>
      </c>
    </row>
    <row r="71" spans="1:70" s="240" customFormat="1" ht="15" customHeight="1" x14ac:dyDescent="0.25">
      <c r="A71" s="240" t="s">
        <v>133</v>
      </c>
      <c r="B71" s="353"/>
      <c r="C71" s="350"/>
      <c r="D71" s="447">
        <v>0</v>
      </c>
      <c r="E71" s="350" t="s">
        <v>256</v>
      </c>
      <c r="F71" s="450"/>
      <c r="G71" s="450"/>
      <c r="H71" s="450"/>
      <c r="I71" s="450"/>
      <c r="J71" s="461">
        <v>0</v>
      </c>
      <c r="K71" s="461">
        <v>0</v>
      </c>
      <c r="L71" s="461">
        <v>0</v>
      </c>
      <c r="M71" s="351"/>
      <c r="N71" s="351"/>
      <c r="O71" s="450"/>
      <c r="P71" s="450"/>
      <c r="Q71" s="450"/>
      <c r="R71" s="450">
        <v>0</v>
      </c>
      <c r="S71" s="351">
        <v>1</v>
      </c>
      <c r="T71" s="450"/>
      <c r="U71" s="450"/>
      <c r="V71" s="450"/>
      <c r="W71" s="450"/>
      <c r="X71" s="450"/>
      <c r="Y71" s="450"/>
      <c r="Z71" s="449">
        <f t="shared" ref="Z71" si="545">SUM(F71:X71)</f>
        <v>1</v>
      </c>
      <c r="AA71" s="350"/>
      <c r="AB71" s="350"/>
      <c r="AC71" s="447">
        <f t="shared" si="540"/>
        <v>0</v>
      </c>
      <c r="AD71" s="447">
        <f t="shared" si="540"/>
        <v>0</v>
      </c>
      <c r="AE71" s="447">
        <f t="shared" si="540"/>
        <v>0</v>
      </c>
      <c r="AF71" s="447">
        <f t="shared" si="540"/>
        <v>0</v>
      </c>
      <c r="AG71" s="447">
        <f t="shared" ref="AG71" si="546">J71*$D71</f>
        <v>0</v>
      </c>
      <c r="AH71" s="447">
        <f t="shared" si="541"/>
        <v>0</v>
      </c>
      <c r="AI71" s="447">
        <f t="shared" si="541"/>
        <v>0</v>
      </c>
      <c r="AJ71" s="447">
        <f t="shared" si="541"/>
        <v>0</v>
      </c>
      <c r="AK71" s="447">
        <f t="shared" si="533"/>
        <v>0</v>
      </c>
      <c r="AL71" s="447">
        <f t="shared" si="542"/>
        <v>0</v>
      </c>
      <c r="AM71" s="459">
        <f t="shared" si="542"/>
        <v>0</v>
      </c>
      <c r="AN71" s="352">
        <f t="shared" si="542"/>
        <v>0</v>
      </c>
      <c r="AO71" s="352">
        <f t="shared" si="542"/>
        <v>0</v>
      </c>
      <c r="AP71" s="352">
        <f t="shared" si="542"/>
        <v>0</v>
      </c>
      <c r="AQ71" s="352">
        <f t="shared" si="542"/>
        <v>0</v>
      </c>
      <c r="AR71" s="352">
        <f t="shared" si="542"/>
        <v>0</v>
      </c>
      <c r="AS71" s="352">
        <f t="shared" si="542"/>
        <v>0</v>
      </c>
      <c r="AT71" s="352">
        <f t="shared" si="542"/>
        <v>0</v>
      </c>
      <c r="AU71" s="352">
        <f t="shared" si="542"/>
        <v>0</v>
      </c>
      <c r="AV71" s="352"/>
      <c r="AW71" s="352"/>
      <c r="AX71" s="352">
        <f t="shared" si="537"/>
        <v>0</v>
      </c>
      <c r="AY71" s="352">
        <f t="shared" si="537"/>
        <v>0</v>
      </c>
      <c r="AZ71" s="352">
        <f t="shared" si="537"/>
        <v>0</v>
      </c>
      <c r="BA71" s="352">
        <f t="shared" si="537"/>
        <v>0</v>
      </c>
      <c r="BB71" s="447">
        <f t="shared" si="537"/>
        <v>0</v>
      </c>
      <c r="BC71" s="352">
        <f t="shared" si="537"/>
        <v>0</v>
      </c>
      <c r="BD71" s="352">
        <f t="shared" si="537"/>
        <v>0</v>
      </c>
      <c r="BE71" s="352">
        <f t="shared" si="537"/>
        <v>0</v>
      </c>
      <c r="BF71" s="352">
        <f t="shared" si="537"/>
        <v>0</v>
      </c>
      <c r="BG71" s="352">
        <f t="shared" si="537"/>
        <v>0</v>
      </c>
      <c r="BH71" s="352">
        <f t="shared" si="537"/>
        <v>0</v>
      </c>
      <c r="BI71" s="352">
        <f t="shared" si="537"/>
        <v>0</v>
      </c>
      <c r="BJ71" s="352">
        <f t="shared" si="537"/>
        <v>0</v>
      </c>
      <c r="BK71" s="352">
        <f t="shared" si="537"/>
        <v>0</v>
      </c>
      <c r="BL71" s="352">
        <f t="shared" si="537"/>
        <v>0</v>
      </c>
      <c r="BM71" s="352">
        <f t="shared" si="537"/>
        <v>0</v>
      </c>
      <c r="BN71" s="352">
        <f t="shared" si="423"/>
        <v>0</v>
      </c>
      <c r="BO71" s="352">
        <f t="shared" si="423"/>
        <v>0</v>
      </c>
      <c r="BP71" s="352">
        <f t="shared" si="423"/>
        <v>0</v>
      </c>
      <c r="BQ71" s="352">
        <f t="shared" si="423"/>
        <v>0</v>
      </c>
      <c r="BR71" s="376">
        <f t="shared" si="20"/>
        <v>0</v>
      </c>
    </row>
    <row r="72" spans="1:70" s="240" customFormat="1" ht="15" customHeight="1" x14ac:dyDescent="0.25">
      <c r="A72" s="240" t="s">
        <v>135</v>
      </c>
      <c r="B72" s="353"/>
      <c r="C72" s="350"/>
      <c r="D72" s="447">
        <v>24797.88</v>
      </c>
      <c r="E72" s="350" t="s">
        <v>237</v>
      </c>
      <c r="F72" s="450"/>
      <c r="G72" s="450"/>
      <c r="H72" s="450"/>
      <c r="I72" s="351">
        <v>0</v>
      </c>
      <c r="J72" s="351">
        <v>0</v>
      </c>
      <c r="K72" s="351">
        <v>0</v>
      </c>
      <c r="L72" s="351">
        <v>0</v>
      </c>
      <c r="M72" s="351">
        <v>0</v>
      </c>
      <c r="N72" s="351">
        <v>0</v>
      </c>
      <c r="O72" s="351">
        <v>1</v>
      </c>
      <c r="P72" s="450">
        <v>0</v>
      </c>
      <c r="Q72" s="351">
        <v>0</v>
      </c>
      <c r="R72" s="351">
        <v>0</v>
      </c>
      <c r="S72" s="351">
        <v>0</v>
      </c>
      <c r="T72" s="351">
        <v>0</v>
      </c>
      <c r="U72" s="351">
        <v>0</v>
      </c>
      <c r="V72" s="351"/>
      <c r="W72" s="351"/>
      <c r="X72" s="351"/>
      <c r="Y72" s="351"/>
      <c r="Z72" s="449">
        <f>SUM(F72:X72)</f>
        <v>1</v>
      </c>
      <c r="AA72" s="350"/>
      <c r="AB72" s="350"/>
      <c r="AC72" s="447">
        <f t="shared" si="540"/>
        <v>0</v>
      </c>
      <c r="AD72" s="447">
        <f t="shared" si="540"/>
        <v>0</v>
      </c>
      <c r="AE72" s="447">
        <f t="shared" si="540"/>
        <v>0</v>
      </c>
      <c r="AF72" s="447">
        <f t="shared" si="540"/>
        <v>0</v>
      </c>
      <c r="AG72" s="447">
        <f t="shared" si="536"/>
        <v>0</v>
      </c>
      <c r="AH72" s="447">
        <f t="shared" si="541"/>
        <v>0</v>
      </c>
      <c r="AI72" s="447">
        <f t="shared" si="541"/>
        <v>0</v>
      </c>
      <c r="AJ72" s="447">
        <f t="shared" si="541"/>
        <v>0</v>
      </c>
      <c r="AK72" s="447">
        <f t="shared" si="533"/>
        <v>0</v>
      </c>
      <c r="AL72" s="447">
        <f t="shared" si="542"/>
        <v>24797.88</v>
      </c>
      <c r="AM72" s="459">
        <f t="shared" si="542"/>
        <v>0</v>
      </c>
      <c r="AN72" s="352">
        <f t="shared" si="542"/>
        <v>0</v>
      </c>
      <c r="AO72" s="352">
        <f t="shared" si="542"/>
        <v>0</v>
      </c>
      <c r="AP72" s="352">
        <f t="shared" si="542"/>
        <v>0</v>
      </c>
      <c r="AQ72" s="352">
        <f t="shared" si="542"/>
        <v>0</v>
      </c>
      <c r="AR72" s="352">
        <f t="shared" si="542"/>
        <v>0</v>
      </c>
      <c r="AS72" s="352">
        <f t="shared" si="542"/>
        <v>0</v>
      </c>
      <c r="AT72" s="352">
        <f t="shared" si="542"/>
        <v>0</v>
      </c>
      <c r="AU72" s="352">
        <f t="shared" si="542"/>
        <v>0</v>
      </c>
      <c r="AV72" s="352"/>
      <c r="AW72" s="352"/>
      <c r="AX72" s="352">
        <f t="shared" si="543"/>
        <v>0</v>
      </c>
      <c r="AY72" s="352">
        <f t="shared" si="543"/>
        <v>0</v>
      </c>
      <c r="AZ72" s="352">
        <f t="shared" si="543"/>
        <v>0</v>
      </c>
      <c r="BA72" s="352">
        <f t="shared" si="543"/>
        <v>0</v>
      </c>
      <c r="BB72" s="352">
        <f t="shared" si="543"/>
        <v>0</v>
      </c>
      <c r="BC72" s="352">
        <f t="shared" si="543"/>
        <v>0</v>
      </c>
      <c r="BD72" s="352">
        <f t="shared" si="543"/>
        <v>0</v>
      </c>
      <c r="BE72" s="352">
        <f t="shared" si="543"/>
        <v>0</v>
      </c>
      <c r="BF72" s="352">
        <f t="shared" si="543"/>
        <v>0</v>
      </c>
      <c r="BG72" s="352">
        <f t="shared" si="543"/>
        <v>24797.88</v>
      </c>
      <c r="BH72" s="352">
        <f t="shared" si="537"/>
        <v>0</v>
      </c>
      <c r="BI72" s="352">
        <f t="shared" si="537"/>
        <v>0</v>
      </c>
      <c r="BJ72" s="352">
        <f t="shared" si="537"/>
        <v>0</v>
      </c>
      <c r="BK72" s="352">
        <f t="shared" si="537"/>
        <v>0</v>
      </c>
      <c r="BL72" s="352">
        <f t="shared" si="537"/>
        <v>0</v>
      </c>
      <c r="BM72" s="352">
        <f t="shared" si="537"/>
        <v>0</v>
      </c>
      <c r="BN72" s="352">
        <f t="shared" si="537"/>
        <v>0</v>
      </c>
      <c r="BO72" s="352">
        <f t="shared" si="423"/>
        <v>0</v>
      </c>
      <c r="BP72" s="352">
        <f t="shared" si="423"/>
        <v>0</v>
      </c>
      <c r="BQ72" s="352">
        <f t="shared" si="423"/>
        <v>0</v>
      </c>
      <c r="BR72" s="376">
        <f t="shared" si="20"/>
        <v>0</v>
      </c>
    </row>
    <row r="73" spans="1:70" s="240" customFormat="1" ht="15" customHeight="1" x14ac:dyDescent="0.25">
      <c r="A73" s="240" t="s">
        <v>133</v>
      </c>
      <c r="B73" s="353"/>
      <c r="C73" s="350"/>
      <c r="D73" s="447">
        <v>85750</v>
      </c>
      <c r="E73" s="350" t="s">
        <v>261</v>
      </c>
      <c r="F73" s="351"/>
      <c r="G73" s="351"/>
      <c r="H73" s="351"/>
      <c r="I73" s="351"/>
      <c r="J73" s="351"/>
      <c r="K73" s="351"/>
      <c r="L73" s="351"/>
      <c r="M73" s="351"/>
      <c r="N73" s="351"/>
      <c r="O73" s="351">
        <v>0</v>
      </c>
      <c r="P73" s="351">
        <v>0</v>
      </c>
      <c r="Q73" s="351">
        <v>0</v>
      </c>
      <c r="R73" s="351">
        <v>0</v>
      </c>
      <c r="S73" s="351">
        <v>0</v>
      </c>
      <c r="T73" s="351">
        <v>0</v>
      </c>
      <c r="U73" s="351">
        <v>0</v>
      </c>
      <c r="V73" s="451">
        <v>0</v>
      </c>
      <c r="W73" s="451">
        <v>1</v>
      </c>
      <c r="X73" s="450"/>
      <c r="Y73" s="450"/>
      <c r="Z73" s="449">
        <f>SUM(F73:X73)</f>
        <v>1</v>
      </c>
      <c r="AA73" s="350"/>
      <c r="AB73" s="350"/>
      <c r="AC73" s="447">
        <f t="shared" si="540"/>
        <v>0</v>
      </c>
      <c r="AD73" s="447">
        <f t="shared" si="540"/>
        <v>0</v>
      </c>
      <c r="AE73" s="447">
        <f t="shared" si="540"/>
        <v>0</v>
      </c>
      <c r="AF73" s="447">
        <f t="shared" si="540"/>
        <v>0</v>
      </c>
      <c r="AG73" s="447">
        <f t="shared" si="536"/>
        <v>0</v>
      </c>
      <c r="AH73" s="447">
        <f t="shared" si="541"/>
        <v>0</v>
      </c>
      <c r="AI73" s="447">
        <f t="shared" si="541"/>
        <v>0</v>
      </c>
      <c r="AJ73" s="447">
        <f t="shared" si="541"/>
        <v>0</v>
      </c>
      <c r="AK73" s="447">
        <f t="shared" si="533"/>
        <v>0</v>
      </c>
      <c r="AL73" s="447">
        <f t="shared" si="542"/>
        <v>0</v>
      </c>
      <c r="AM73" s="459">
        <f t="shared" si="542"/>
        <v>0</v>
      </c>
      <c r="AN73" s="352">
        <f t="shared" si="542"/>
        <v>0</v>
      </c>
      <c r="AO73" s="352">
        <f t="shared" si="542"/>
        <v>0</v>
      </c>
      <c r="AP73" s="352">
        <f t="shared" si="542"/>
        <v>0</v>
      </c>
      <c r="AQ73" s="352">
        <f t="shared" si="542"/>
        <v>0</v>
      </c>
      <c r="AR73" s="352">
        <f t="shared" si="542"/>
        <v>0</v>
      </c>
      <c r="AS73" s="352">
        <f t="shared" si="542"/>
        <v>0</v>
      </c>
      <c r="AT73" s="352">
        <f t="shared" si="542"/>
        <v>85750</v>
      </c>
      <c r="AU73" s="352">
        <f t="shared" si="542"/>
        <v>0</v>
      </c>
      <c r="AV73" s="352"/>
      <c r="AW73" s="352"/>
      <c r="AX73" s="352">
        <f t="shared" si="543"/>
        <v>0</v>
      </c>
      <c r="AY73" s="352">
        <f t="shared" si="543"/>
        <v>0</v>
      </c>
      <c r="AZ73" s="352">
        <f t="shared" si="543"/>
        <v>0</v>
      </c>
      <c r="BA73" s="352">
        <f t="shared" si="543"/>
        <v>0</v>
      </c>
      <c r="BB73" s="352">
        <f t="shared" si="543"/>
        <v>0</v>
      </c>
      <c r="BC73" s="352">
        <f t="shared" si="543"/>
        <v>0</v>
      </c>
      <c r="BD73" s="352">
        <f t="shared" si="543"/>
        <v>0</v>
      </c>
      <c r="BE73" s="352">
        <f t="shared" si="543"/>
        <v>0</v>
      </c>
      <c r="BF73" s="352">
        <f t="shared" si="543"/>
        <v>0</v>
      </c>
      <c r="BG73" s="352">
        <f t="shared" si="543"/>
        <v>0</v>
      </c>
      <c r="BH73" s="352">
        <f t="shared" si="537"/>
        <v>0</v>
      </c>
      <c r="BI73" s="352">
        <f t="shared" si="537"/>
        <v>0</v>
      </c>
      <c r="BJ73" s="352">
        <f t="shared" si="537"/>
        <v>0</v>
      </c>
      <c r="BK73" s="352">
        <f t="shared" si="537"/>
        <v>0</v>
      </c>
      <c r="BL73" s="352">
        <f t="shared" si="537"/>
        <v>0</v>
      </c>
      <c r="BM73" s="352">
        <f t="shared" si="537"/>
        <v>0</v>
      </c>
      <c r="BN73" s="352">
        <f t="shared" si="537"/>
        <v>0</v>
      </c>
      <c r="BO73" s="352">
        <f t="shared" si="423"/>
        <v>85750</v>
      </c>
      <c r="BP73" s="352">
        <f t="shared" si="423"/>
        <v>0</v>
      </c>
      <c r="BQ73" s="352">
        <f t="shared" si="423"/>
        <v>0</v>
      </c>
      <c r="BR73" s="376">
        <f t="shared" si="20"/>
        <v>0</v>
      </c>
    </row>
    <row r="74" spans="1:70" s="240" customFormat="1" ht="15" customHeight="1" x14ac:dyDescent="0.25">
      <c r="A74" s="240" t="s">
        <v>135</v>
      </c>
      <c r="B74" s="353"/>
      <c r="C74" s="350"/>
      <c r="D74" s="447">
        <v>9884.25</v>
      </c>
      <c r="E74" s="350" t="s">
        <v>228</v>
      </c>
      <c r="F74" s="450"/>
      <c r="G74" s="450"/>
      <c r="H74" s="450"/>
      <c r="I74" s="351">
        <v>0</v>
      </c>
      <c r="J74" s="351">
        <v>0</v>
      </c>
      <c r="K74" s="351">
        <v>0</v>
      </c>
      <c r="L74" s="351">
        <v>0</v>
      </c>
      <c r="M74" s="351">
        <v>0</v>
      </c>
      <c r="N74" s="351">
        <v>0</v>
      </c>
      <c r="O74" s="351">
        <v>0</v>
      </c>
      <c r="P74" s="351">
        <v>0</v>
      </c>
      <c r="Q74" s="351">
        <v>1</v>
      </c>
      <c r="R74" s="351">
        <v>0</v>
      </c>
      <c r="S74" s="351">
        <v>0</v>
      </c>
      <c r="T74" s="351">
        <v>0</v>
      </c>
      <c r="U74" s="351">
        <v>0</v>
      </c>
      <c r="V74" s="351"/>
      <c r="W74" s="351"/>
      <c r="X74" s="351"/>
      <c r="Y74" s="351"/>
      <c r="Z74" s="449">
        <f t="shared" ref="Z74" si="547">SUM(F74:X74)</f>
        <v>1</v>
      </c>
      <c r="AA74" s="350"/>
      <c r="AB74" s="350"/>
      <c r="AC74" s="447">
        <f t="shared" si="540"/>
        <v>0</v>
      </c>
      <c r="AD74" s="447">
        <f t="shared" si="540"/>
        <v>0</v>
      </c>
      <c r="AE74" s="447">
        <f t="shared" si="540"/>
        <v>0</v>
      </c>
      <c r="AF74" s="447">
        <f t="shared" si="540"/>
        <v>0</v>
      </c>
      <c r="AG74" s="447">
        <f t="shared" si="536"/>
        <v>0</v>
      </c>
      <c r="AH74" s="447">
        <f t="shared" si="541"/>
        <v>0</v>
      </c>
      <c r="AI74" s="447">
        <f t="shared" si="541"/>
        <v>0</v>
      </c>
      <c r="AJ74" s="447">
        <f t="shared" si="541"/>
        <v>0</v>
      </c>
      <c r="AK74" s="447">
        <f t="shared" si="533"/>
        <v>0</v>
      </c>
      <c r="AL74" s="447">
        <f t="shared" si="542"/>
        <v>0</v>
      </c>
      <c r="AM74" s="459">
        <f t="shared" si="542"/>
        <v>0</v>
      </c>
      <c r="AN74" s="352">
        <f t="shared" si="542"/>
        <v>9884.25</v>
      </c>
      <c r="AO74" s="352">
        <f t="shared" si="542"/>
        <v>0</v>
      </c>
      <c r="AP74" s="352">
        <f t="shared" si="542"/>
        <v>0</v>
      </c>
      <c r="AQ74" s="352">
        <f t="shared" si="542"/>
        <v>0</v>
      </c>
      <c r="AR74" s="352">
        <f t="shared" si="542"/>
        <v>0</v>
      </c>
      <c r="AS74" s="352">
        <f t="shared" si="542"/>
        <v>0</v>
      </c>
      <c r="AT74" s="352">
        <f t="shared" si="542"/>
        <v>0</v>
      </c>
      <c r="AU74" s="352">
        <f t="shared" si="542"/>
        <v>0</v>
      </c>
      <c r="AV74" s="352"/>
      <c r="AW74" s="352"/>
      <c r="AX74" s="352">
        <f t="shared" si="543"/>
        <v>0</v>
      </c>
      <c r="AY74" s="352">
        <f t="shared" si="543"/>
        <v>0</v>
      </c>
      <c r="AZ74" s="352">
        <f t="shared" si="543"/>
        <v>0</v>
      </c>
      <c r="BA74" s="352">
        <f t="shared" si="543"/>
        <v>0</v>
      </c>
      <c r="BB74" s="352">
        <f t="shared" si="543"/>
        <v>0</v>
      </c>
      <c r="BC74" s="352">
        <f t="shared" si="543"/>
        <v>0</v>
      </c>
      <c r="BD74" s="352">
        <f t="shared" si="543"/>
        <v>0</v>
      </c>
      <c r="BE74" s="352">
        <f t="shared" si="543"/>
        <v>0</v>
      </c>
      <c r="BF74" s="352">
        <f t="shared" si="543"/>
        <v>0</v>
      </c>
      <c r="BG74" s="352">
        <f t="shared" si="543"/>
        <v>0</v>
      </c>
      <c r="BH74" s="352">
        <f t="shared" si="537"/>
        <v>0</v>
      </c>
      <c r="BI74" s="352">
        <f t="shared" si="537"/>
        <v>9884.25</v>
      </c>
      <c r="BJ74" s="352">
        <f t="shared" si="537"/>
        <v>0</v>
      </c>
      <c r="BK74" s="352">
        <f t="shared" si="537"/>
        <v>0</v>
      </c>
      <c r="BL74" s="352">
        <f t="shared" si="537"/>
        <v>0</v>
      </c>
      <c r="BM74" s="352">
        <f t="shared" si="537"/>
        <v>0</v>
      </c>
      <c r="BN74" s="352">
        <f t="shared" si="537"/>
        <v>0</v>
      </c>
      <c r="BO74" s="352">
        <f t="shared" si="423"/>
        <v>0</v>
      </c>
      <c r="BP74" s="352">
        <f t="shared" si="423"/>
        <v>0</v>
      </c>
      <c r="BQ74" s="352">
        <f t="shared" si="423"/>
        <v>0</v>
      </c>
      <c r="BR74" s="376">
        <f t="shared" si="20"/>
        <v>0</v>
      </c>
    </row>
    <row r="75" spans="1:70" s="240" customFormat="1" ht="15" customHeight="1" x14ac:dyDescent="0.25">
      <c r="A75" s="240" t="s">
        <v>133</v>
      </c>
      <c r="B75" s="353"/>
      <c r="C75" s="350"/>
      <c r="D75" s="447">
        <v>98800</v>
      </c>
      <c r="E75" s="350" t="s">
        <v>261</v>
      </c>
      <c r="F75" s="351"/>
      <c r="G75" s="351"/>
      <c r="H75" s="351"/>
      <c r="I75" s="351">
        <v>0</v>
      </c>
      <c r="J75" s="351">
        <v>0</v>
      </c>
      <c r="K75" s="351">
        <v>0</v>
      </c>
      <c r="L75" s="351">
        <v>0</v>
      </c>
      <c r="M75" s="351">
        <v>0</v>
      </c>
      <c r="N75" s="351">
        <v>0</v>
      </c>
      <c r="O75" s="351">
        <v>0</v>
      </c>
      <c r="P75" s="351">
        <v>0</v>
      </c>
      <c r="Q75" s="351">
        <v>0</v>
      </c>
      <c r="R75" s="451">
        <v>0</v>
      </c>
      <c r="S75" s="451">
        <v>0</v>
      </c>
      <c r="T75" s="451">
        <v>0</v>
      </c>
      <c r="U75" s="451">
        <v>0</v>
      </c>
      <c r="V75" s="451">
        <v>0</v>
      </c>
      <c r="W75" s="451">
        <v>1</v>
      </c>
      <c r="X75" s="450"/>
      <c r="Y75" s="450"/>
      <c r="Z75" s="449">
        <f t="shared" ref="Z75" si="548">SUM(F75:X75)</f>
        <v>1</v>
      </c>
      <c r="AA75" s="350"/>
      <c r="AB75" s="350"/>
      <c r="AC75" s="447">
        <f t="shared" ref="AC75" si="549">F75*$D75</f>
        <v>0</v>
      </c>
      <c r="AD75" s="447">
        <f t="shared" ref="AD75" si="550">G75*$D75</f>
        <v>0</v>
      </c>
      <c r="AE75" s="447">
        <f t="shared" ref="AE75" si="551">H75*$D75</f>
        <v>0</v>
      </c>
      <c r="AF75" s="447">
        <f t="shared" ref="AF75" si="552">I75*$D75</f>
        <v>0</v>
      </c>
      <c r="AG75" s="447">
        <f t="shared" ref="AG75" si="553">J75*$D75</f>
        <v>0</v>
      </c>
      <c r="AH75" s="447">
        <f t="shared" ref="AH75" si="554">K75*$D75</f>
        <v>0</v>
      </c>
      <c r="AI75" s="447">
        <f t="shared" ref="AI75" si="555">L75*$D75</f>
        <v>0</v>
      </c>
      <c r="AJ75" s="447">
        <f t="shared" ref="AJ75" si="556">M75*$D75</f>
        <v>0</v>
      </c>
      <c r="AK75" s="447">
        <f t="shared" ref="AK75" si="557">N75*$D75</f>
        <v>0</v>
      </c>
      <c r="AL75" s="447">
        <f t="shared" ref="AL75" si="558">O75*$D75</f>
        <v>0</v>
      </c>
      <c r="AM75" s="459">
        <f t="shared" ref="AM75" si="559">P75*$D75</f>
        <v>0</v>
      </c>
      <c r="AN75" s="352">
        <f t="shared" ref="AN75" si="560">Q75*$D75</f>
        <v>0</v>
      </c>
      <c r="AO75" s="352">
        <f t="shared" ref="AO75" si="561">R75*$D75</f>
        <v>0</v>
      </c>
      <c r="AP75" s="352">
        <f t="shared" ref="AP75" si="562">S75*$D75</f>
        <v>0</v>
      </c>
      <c r="AQ75" s="352">
        <f t="shared" ref="AQ75" si="563">T75*$D75</f>
        <v>0</v>
      </c>
      <c r="AR75" s="352">
        <f t="shared" ref="AR75" si="564">U75*$D75</f>
        <v>0</v>
      </c>
      <c r="AS75" s="352">
        <f t="shared" ref="AS75" si="565">V75*$D75</f>
        <v>0</v>
      </c>
      <c r="AT75" s="352">
        <f t="shared" ref="AT75" si="566">W75*$D75</f>
        <v>98800</v>
      </c>
      <c r="AU75" s="352">
        <f t="shared" ref="AU75" si="567">X75*$D75</f>
        <v>0</v>
      </c>
      <c r="AV75" s="352"/>
      <c r="AW75" s="352"/>
      <c r="AX75" s="352">
        <f t="shared" si="537"/>
        <v>0</v>
      </c>
      <c r="AY75" s="352">
        <f t="shared" si="537"/>
        <v>0</v>
      </c>
      <c r="AZ75" s="352">
        <f t="shared" si="537"/>
        <v>0</v>
      </c>
      <c r="BA75" s="352">
        <f t="shared" si="537"/>
        <v>0</v>
      </c>
      <c r="BB75" s="352">
        <f t="shared" si="537"/>
        <v>0</v>
      </c>
      <c r="BC75" s="352">
        <f t="shared" si="537"/>
        <v>0</v>
      </c>
      <c r="BD75" s="352">
        <f t="shared" si="537"/>
        <v>0</v>
      </c>
      <c r="BE75" s="352">
        <f t="shared" si="537"/>
        <v>0</v>
      </c>
      <c r="BF75" s="352">
        <f t="shared" si="537"/>
        <v>0</v>
      </c>
      <c r="BG75" s="352">
        <f t="shared" si="537"/>
        <v>0</v>
      </c>
      <c r="BH75" s="352">
        <f t="shared" si="537"/>
        <v>0</v>
      </c>
      <c r="BI75" s="352">
        <f t="shared" si="537"/>
        <v>0</v>
      </c>
      <c r="BJ75" s="352">
        <f t="shared" si="537"/>
        <v>0</v>
      </c>
      <c r="BK75" s="352">
        <f t="shared" si="537"/>
        <v>0</v>
      </c>
      <c r="BL75" s="352">
        <f t="shared" si="537"/>
        <v>0</v>
      </c>
      <c r="BM75" s="352">
        <f t="shared" si="537"/>
        <v>0</v>
      </c>
      <c r="BN75" s="352">
        <f t="shared" si="423"/>
        <v>0</v>
      </c>
      <c r="BO75" s="352">
        <f t="shared" si="423"/>
        <v>98800</v>
      </c>
      <c r="BP75" s="352">
        <f t="shared" si="423"/>
        <v>0</v>
      </c>
      <c r="BQ75" s="352">
        <f t="shared" si="423"/>
        <v>0</v>
      </c>
      <c r="BR75" s="376">
        <f t="shared" si="20"/>
        <v>0</v>
      </c>
    </row>
    <row r="76" spans="1:70" s="240" customFormat="1" ht="15" customHeight="1" x14ac:dyDescent="0.25">
      <c r="A76" s="240" t="s">
        <v>134</v>
      </c>
      <c r="B76" s="353"/>
      <c r="C76" s="350"/>
      <c r="D76" s="447">
        <v>0</v>
      </c>
      <c r="E76" s="350" t="s">
        <v>256</v>
      </c>
      <c r="F76" s="450"/>
      <c r="G76" s="450"/>
      <c r="H76" s="450"/>
      <c r="I76" s="450"/>
      <c r="J76" s="351"/>
      <c r="K76" s="351">
        <v>0</v>
      </c>
      <c r="L76" s="351">
        <v>0</v>
      </c>
      <c r="M76" s="351">
        <v>0</v>
      </c>
      <c r="N76" s="351">
        <v>0</v>
      </c>
      <c r="O76" s="351">
        <v>0</v>
      </c>
      <c r="P76" s="351">
        <v>0</v>
      </c>
      <c r="Q76" s="351">
        <v>0</v>
      </c>
      <c r="R76" s="351">
        <v>0</v>
      </c>
      <c r="S76" s="451">
        <v>0</v>
      </c>
      <c r="T76" s="451">
        <v>0</v>
      </c>
      <c r="U76" s="451">
        <v>0</v>
      </c>
      <c r="V76" s="451">
        <v>0</v>
      </c>
      <c r="W76" s="451">
        <v>0</v>
      </c>
      <c r="X76" s="450"/>
      <c r="Y76" s="450"/>
      <c r="Z76" s="449">
        <f>SUM(F76:X76)</f>
        <v>0</v>
      </c>
      <c r="AA76" s="350"/>
      <c r="AB76" s="350"/>
      <c r="AC76" s="447">
        <f t="shared" ref="AC76:AC84" si="568">F76*$D76</f>
        <v>0</v>
      </c>
      <c r="AD76" s="447">
        <f t="shared" ref="AD76:AD84" si="569">G76*$D76</f>
        <v>0</v>
      </c>
      <c r="AE76" s="447">
        <f t="shared" ref="AE76:AE84" si="570">H76*$D76</f>
        <v>0</v>
      </c>
      <c r="AF76" s="447">
        <f t="shared" ref="AF76:AF84" si="571">I76*$D76</f>
        <v>0</v>
      </c>
      <c r="AG76" s="447">
        <f t="shared" ref="AG76:AG84" si="572">J76*$D76</f>
        <v>0</v>
      </c>
      <c r="AH76" s="447">
        <f t="shared" ref="AH76:AH84" si="573">K76*$D76</f>
        <v>0</v>
      </c>
      <c r="AI76" s="447">
        <f t="shared" ref="AI76:AI84" si="574">L76*$D76</f>
        <v>0</v>
      </c>
      <c r="AJ76" s="447">
        <f t="shared" ref="AJ76:AJ84" si="575">M76*$D76</f>
        <v>0</v>
      </c>
      <c r="AK76" s="447">
        <f t="shared" ref="AK76:AK84" si="576">N76*$D76</f>
        <v>0</v>
      </c>
      <c r="AL76" s="447">
        <f t="shared" ref="AL76:AL84" si="577">O76*$D76</f>
        <v>0</v>
      </c>
      <c r="AM76" s="459">
        <f t="shared" ref="AM76:AM84" si="578">P76*$D76</f>
        <v>0</v>
      </c>
      <c r="AN76" s="352">
        <f t="shared" ref="AN76:AN84" si="579">Q76*$D76</f>
        <v>0</v>
      </c>
      <c r="AO76" s="352">
        <f t="shared" ref="AO76:AO84" si="580">R76*$D76</f>
        <v>0</v>
      </c>
      <c r="AP76" s="352">
        <f t="shared" ref="AP76:AP84" si="581">S76*$D76</f>
        <v>0</v>
      </c>
      <c r="AQ76" s="352">
        <f t="shared" ref="AQ76:AQ84" si="582">T76*$D76</f>
        <v>0</v>
      </c>
      <c r="AR76" s="352">
        <f t="shared" ref="AR76:AR84" si="583">U76*$D76</f>
        <v>0</v>
      </c>
      <c r="AS76" s="352">
        <f t="shared" ref="AS76:AS84" si="584">V76*$D76</f>
        <v>0</v>
      </c>
      <c r="AT76" s="352">
        <f t="shared" ref="AT76:AT84" si="585">W76*$D76</f>
        <v>0</v>
      </c>
      <c r="AU76" s="352">
        <f t="shared" ref="AU76:AU84" si="586">X76*$D76</f>
        <v>0</v>
      </c>
      <c r="AV76" s="352"/>
      <c r="AW76" s="352"/>
      <c r="AX76" s="352">
        <f t="shared" ref="AX76:BQ76" si="587">IF(AX$3=$E76,$D76,0)</f>
        <v>0</v>
      </c>
      <c r="AY76" s="352">
        <f t="shared" si="587"/>
        <v>0</v>
      </c>
      <c r="AZ76" s="352">
        <f t="shared" si="587"/>
        <v>0</v>
      </c>
      <c r="BA76" s="352">
        <f t="shared" si="587"/>
        <v>0</v>
      </c>
      <c r="BB76" s="352">
        <f t="shared" si="587"/>
        <v>0</v>
      </c>
      <c r="BC76" s="352">
        <f t="shared" si="587"/>
        <v>0</v>
      </c>
      <c r="BD76" s="352">
        <f t="shared" si="587"/>
        <v>0</v>
      </c>
      <c r="BE76" s="352">
        <f t="shared" si="587"/>
        <v>0</v>
      </c>
      <c r="BF76" s="352">
        <f t="shared" si="587"/>
        <v>0</v>
      </c>
      <c r="BG76" s="352">
        <f t="shared" si="587"/>
        <v>0</v>
      </c>
      <c r="BH76" s="352">
        <f t="shared" si="587"/>
        <v>0</v>
      </c>
      <c r="BI76" s="352">
        <f t="shared" si="587"/>
        <v>0</v>
      </c>
      <c r="BJ76" s="352">
        <f t="shared" si="587"/>
        <v>0</v>
      </c>
      <c r="BK76" s="352">
        <f t="shared" si="587"/>
        <v>0</v>
      </c>
      <c r="BL76" s="352">
        <f t="shared" si="587"/>
        <v>0</v>
      </c>
      <c r="BM76" s="352">
        <f t="shared" si="587"/>
        <v>0</v>
      </c>
      <c r="BN76" s="352">
        <f t="shared" si="587"/>
        <v>0</v>
      </c>
      <c r="BO76" s="352">
        <f t="shared" si="587"/>
        <v>0</v>
      </c>
      <c r="BP76" s="352">
        <f t="shared" si="587"/>
        <v>0</v>
      </c>
      <c r="BQ76" s="352">
        <f t="shared" si="587"/>
        <v>0</v>
      </c>
      <c r="BR76" s="376">
        <f t="shared" si="20"/>
        <v>0</v>
      </c>
    </row>
    <row r="77" spans="1:70" s="240" customFormat="1" ht="14.45" customHeight="1" x14ac:dyDescent="0.25">
      <c r="A77" s="240" t="s">
        <v>136</v>
      </c>
      <c r="B77" s="458"/>
      <c r="C77" s="350"/>
      <c r="D77" s="447">
        <v>8000</v>
      </c>
      <c r="E77" s="350" t="s">
        <v>164</v>
      </c>
      <c r="F77" s="351"/>
      <c r="G77" s="351"/>
      <c r="H77" s="351"/>
      <c r="I77" s="351">
        <v>0.5</v>
      </c>
      <c r="J77" s="351">
        <v>0.5</v>
      </c>
      <c r="K77" s="450"/>
      <c r="L77" s="450"/>
      <c r="M77" s="450"/>
      <c r="N77" s="450"/>
      <c r="O77" s="450"/>
      <c r="P77" s="450"/>
      <c r="Q77" s="351"/>
      <c r="R77" s="351"/>
      <c r="S77" s="351"/>
      <c r="T77" s="351"/>
      <c r="U77" s="351"/>
      <c r="V77" s="351"/>
      <c r="W77" s="351"/>
      <c r="X77" s="351"/>
      <c r="Y77" s="351"/>
      <c r="Z77" s="449">
        <f t="shared" ref="Z77:Z84" si="588">SUM(F77:X77)</f>
        <v>1</v>
      </c>
      <c r="AA77" s="350"/>
      <c r="AB77" s="350"/>
      <c r="AC77" s="352">
        <f t="shared" si="568"/>
        <v>0</v>
      </c>
      <c r="AD77" s="352">
        <f t="shared" si="569"/>
        <v>0</v>
      </c>
      <c r="AE77" s="352">
        <f t="shared" si="570"/>
        <v>0</v>
      </c>
      <c r="AF77" s="352">
        <f t="shared" si="571"/>
        <v>4000</v>
      </c>
      <c r="AG77" s="352">
        <f t="shared" si="572"/>
        <v>4000</v>
      </c>
      <c r="AH77" s="447">
        <f t="shared" si="573"/>
        <v>0</v>
      </c>
      <c r="AI77" s="352">
        <f t="shared" si="574"/>
        <v>0</v>
      </c>
      <c r="AJ77" s="447">
        <f t="shared" si="575"/>
        <v>0</v>
      </c>
      <c r="AK77" s="447">
        <f t="shared" si="576"/>
        <v>0</v>
      </c>
      <c r="AL77" s="352">
        <f t="shared" si="577"/>
        <v>0</v>
      </c>
      <c r="AM77" s="447">
        <f t="shared" si="578"/>
        <v>0</v>
      </c>
      <c r="AN77" s="352">
        <f t="shared" si="579"/>
        <v>0</v>
      </c>
      <c r="AO77" s="352">
        <f t="shared" si="580"/>
        <v>0</v>
      </c>
      <c r="AP77" s="352">
        <f t="shared" si="581"/>
        <v>0</v>
      </c>
      <c r="AQ77" s="352">
        <f t="shared" si="582"/>
        <v>0</v>
      </c>
      <c r="AR77" s="352">
        <f t="shared" si="583"/>
        <v>0</v>
      </c>
      <c r="AS77" s="352">
        <f t="shared" si="584"/>
        <v>0</v>
      </c>
      <c r="AT77" s="352">
        <f t="shared" si="585"/>
        <v>0</v>
      </c>
      <c r="AU77" s="352">
        <f t="shared" si="586"/>
        <v>0</v>
      </c>
      <c r="AV77" s="352"/>
      <c r="AW77" s="352"/>
      <c r="AX77" s="352">
        <f t="shared" ref="AX77:BG84" si="589">IF(AX$3=$E77,$D77,0)</f>
        <v>0</v>
      </c>
      <c r="AY77" s="352">
        <f t="shared" si="589"/>
        <v>0</v>
      </c>
      <c r="AZ77" s="352">
        <f t="shared" si="589"/>
        <v>8000</v>
      </c>
      <c r="BA77" s="352">
        <f t="shared" si="589"/>
        <v>0</v>
      </c>
      <c r="BB77" s="352">
        <f t="shared" si="589"/>
        <v>0</v>
      </c>
      <c r="BC77" s="352">
        <f t="shared" si="589"/>
        <v>0</v>
      </c>
      <c r="BD77" s="352">
        <f t="shared" si="589"/>
        <v>0</v>
      </c>
      <c r="BE77" s="352">
        <f t="shared" si="589"/>
        <v>0</v>
      </c>
      <c r="BF77" s="447">
        <f t="shared" si="589"/>
        <v>0</v>
      </c>
      <c r="BG77" s="352">
        <f t="shared" si="589"/>
        <v>0</v>
      </c>
      <c r="BH77" s="352">
        <f t="shared" ref="BH77:BQ84" si="590">IF(BH$3=$E77,$D77,0)</f>
        <v>0</v>
      </c>
      <c r="BI77" s="352">
        <f t="shared" si="590"/>
        <v>0</v>
      </c>
      <c r="BJ77" s="352">
        <f t="shared" si="590"/>
        <v>0</v>
      </c>
      <c r="BK77" s="352">
        <f t="shared" si="590"/>
        <v>0</v>
      </c>
      <c r="BL77" s="352">
        <f t="shared" si="590"/>
        <v>0</v>
      </c>
      <c r="BM77" s="352">
        <f t="shared" si="590"/>
        <v>0</v>
      </c>
      <c r="BN77" s="352">
        <f t="shared" si="590"/>
        <v>0</v>
      </c>
      <c r="BO77" s="352">
        <f t="shared" si="590"/>
        <v>0</v>
      </c>
      <c r="BP77" s="352">
        <f t="shared" si="590"/>
        <v>0</v>
      </c>
      <c r="BQ77" s="352">
        <f t="shared" si="590"/>
        <v>0</v>
      </c>
      <c r="BR77" s="376">
        <f t="shared" si="20"/>
        <v>0</v>
      </c>
    </row>
    <row r="78" spans="1:70" s="240" customFormat="1" ht="14.45" customHeight="1" x14ac:dyDescent="0.25">
      <c r="A78" s="240" t="s">
        <v>136</v>
      </c>
      <c r="B78" s="458"/>
      <c r="C78" s="350"/>
      <c r="D78" s="447">
        <v>52000</v>
      </c>
      <c r="E78" s="350" t="s">
        <v>164</v>
      </c>
      <c r="F78" s="434"/>
      <c r="G78" s="434"/>
      <c r="H78" s="434"/>
      <c r="I78" s="434">
        <v>0.115384615384615</v>
      </c>
      <c r="J78" s="434">
        <v>0.115384615384615</v>
      </c>
      <c r="K78" s="434">
        <v>0.115384615384615</v>
      </c>
      <c r="L78" s="434">
        <v>0.115384615384615</v>
      </c>
      <c r="M78" s="434">
        <v>0.115384615384615</v>
      </c>
      <c r="N78" s="434">
        <v>0.115384615384615</v>
      </c>
      <c r="O78" s="434">
        <v>0.115384615384615</v>
      </c>
      <c r="P78" s="434">
        <v>0.115384615384615</v>
      </c>
      <c r="Q78" s="434">
        <f>1-(I78+J78+K78+L78+M78+N78+O78+P78)</f>
        <v>7.6923076923080091E-2</v>
      </c>
      <c r="R78" s="434">
        <v>0</v>
      </c>
      <c r="S78" s="434">
        <v>0</v>
      </c>
      <c r="T78" s="434">
        <v>0</v>
      </c>
      <c r="U78" s="434"/>
      <c r="V78" s="434"/>
      <c r="W78" s="434"/>
      <c r="X78" s="434"/>
      <c r="Y78" s="434"/>
      <c r="Z78" s="449">
        <f t="shared" si="588"/>
        <v>1</v>
      </c>
      <c r="AA78" s="350"/>
      <c r="AB78" s="350"/>
      <c r="AC78" s="352">
        <f t="shared" si="568"/>
        <v>0</v>
      </c>
      <c r="AD78" s="352">
        <f t="shared" si="569"/>
        <v>0</v>
      </c>
      <c r="AE78" s="352">
        <f t="shared" si="570"/>
        <v>0</v>
      </c>
      <c r="AF78" s="352">
        <f t="shared" si="571"/>
        <v>5999.99999999998</v>
      </c>
      <c r="AG78" s="352">
        <f t="shared" si="572"/>
        <v>5999.99999999998</v>
      </c>
      <c r="AH78" s="447">
        <f t="shared" si="573"/>
        <v>5999.99999999998</v>
      </c>
      <c r="AI78" s="352">
        <f t="shared" si="574"/>
        <v>5999.99999999998</v>
      </c>
      <c r="AJ78" s="447">
        <f t="shared" si="575"/>
        <v>5999.99999999998</v>
      </c>
      <c r="AK78" s="447">
        <f t="shared" si="576"/>
        <v>5999.99999999998</v>
      </c>
      <c r="AL78" s="352">
        <f t="shared" si="577"/>
        <v>5999.99999999998</v>
      </c>
      <c r="AM78" s="447">
        <f t="shared" si="578"/>
        <v>5999.99999999998</v>
      </c>
      <c r="AN78" s="352">
        <f t="shared" si="579"/>
        <v>4000.0000000001646</v>
      </c>
      <c r="AO78" s="352">
        <f t="shared" si="580"/>
        <v>0</v>
      </c>
      <c r="AP78" s="352">
        <f t="shared" si="581"/>
        <v>0</v>
      </c>
      <c r="AQ78" s="352">
        <f t="shared" si="582"/>
        <v>0</v>
      </c>
      <c r="AR78" s="352">
        <f t="shared" si="583"/>
        <v>0</v>
      </c>
      <c r="AS78" s="352">
        <f t="shared" si="584"/>
        <v>0</v>
      </c>
      <c r="AT78" s="352">
        <f t="shared" si="585"/>
        <v>0</v>
      </c>
      <c r="AU78" s="352">
        <f t="shared" si="586"/>
        <v>0</v>
      </c>
      <c r="AV78" s="352"/>
      <c r="AW78" s="352"/>
      <c r="AX78" s="352">
        <f t="shared" si="589"/>
        <v>0</v>
      </c>
      <c r="AY78" s="352">
        <f t="shared" si="589"/>
        <v>0</v>
      </c>
      <c r="AZ78" s="352">
        <f t="shared" si="589"/>
        <v>52000</v>
      </c>
      <c r="BA78" s="352">
        <f t="shared" si="589"/>
        <v>0</v>
      </c>
      <c r="BB78" s="352">
        <f t="shared" si="589"/>
        <v>0</v>
      </c>
      <c r="BC78" s="352">
        <f t="shared" si="589"/>
        <v>0</v>
      </c>
      <c r="BD78" s="352">
        <f t="shared" si="589"/>
        <v>0</v>
      </c>
      <c r="BE78" s="352">
        <f t="shared" si="589"/>
        <v>0</v>
      </c>
      <c r="BF78" s="447">
        <f t="shared" si="589"/>
        <v>0</v>
      </c>
      <c r="BG78" s="352">
        <f t="shared" si="589"/>
        <v>0</v>
      </c>
      <c r="BH78" s="352">
        <f t="shared" si="590"/>
        <v>0</v>
      </c>
      <c r="BI78" s="352">
        <f t="shared" si="590"/>
        <v>0</v>
      </c>
      <c r="BJ78" s="352">
        <f t="shared" si="590"/>
        <v>0</v>
      </c>
      <c r="BK78" s="352">
        <f t="shared" si="590"/>
        <v>0</v>
      </c>
      <c r="BL78" s="352">
        <f t="shared" si="590"/>
        <v>0</v>
      </c>
      <c r="BM78" s="352">
        <f t="shared" si="590"/>
        <v>0</v>
      </c>
      <c r="BN78" s="352">
        <f t="shared" si="590"/>
        <v>0</v>
      </c>
      <c r="BO78" s="352">
        <f t="shared" si="590"/>
        <v>0</v>
      </c>
      <c r="BP78" s="352">
        <f t="shared" si="590"/>
        <v>0</v>
      </c>
      <c r="BQ78" s="352">
        <f t="shared" si="590"/>
        <v>0</v>
      </c>
      <c r="BR78" s="376">
        <f t="shared" si="20"/>
        <v>0</v>
      </c>
    </row>
    <row r="79" spans="1:70" s="240" customFormat="1" ht="15" customHeight="1" x14ac:dyDescent="0.25">
      <c r="A79" s="240" t="s">
        <v>136</v>
      </c>
      <c r="B79" s="458"/>
      <c r="C79" s="350"/>
      <c r="D79" s="447">
        <v>8100</v>
      </c>
      <c r="E79" s="350" t="s">
        <v>196</v>
      </c>
      <c r="F79" s="351"/>
      <c r="G79" s="351"/>
      <c r="H79" s="351"/>
      <c r="I79" s="351">
        <v>0</v>
      </c>
      <c r="J79" s="351">
        <v>0.41666666667000002</v>
      </c>
      <c r="K79" s="351">
        <v>0.58333333332999993</v>
      </c>
      <c r="L79" s="450"/>
      <c r="M79" s="450"/>
      <c r="N79" s="450"/>
      <c r="O79" s="450"/>
      <c r="P79" s="450"/>
      <c r="Q79" s="351"/>
      <c r="R79" s="351"/>
      <c r="S79" s="351"/>
      <c r="T79" s="351"/>
      <c r="U79" s="351"/>
      <c r="V79" s="351"/>
      <c r="W79" s="351"/>
      <c r="X79" s="351"/>
      <c r="Y79" s="351"/>
      <c r="Z79" s="449">
        <f t="shared" si="588"/>
        <v>1</v>
      </c>
      <c r="AA79" s="350"/>
      <c r="AB79" s="350"/>
      <c r="AC79" s="352">
        <f t="shared" si="568"/>
        <v>0</v>
      </c>
      <c r="AD79" s="352">
        <f t="shared" si="569"/>
        <v>0</v>
      </c>
      <c r="AE79" s="352">
        <f t="shared" si="570"/>
        <v>0</v>
      </c>
      <c r="AF79" s="352">
        <f t="shared" si="571"/>
        <v>0</v>
      </c>
      <c r="AG79" s="352">
        <f t="shared" si="572"/>
        <v>3375.0000000270002</v>
      </c>
      <c r="AH79" s="352">
        <f t="shared" si="573"/>
        <v>4724.9999999729998</v>
      </c>
      <c r="AI79" s="352">
        <f t="shared" si="574"/>
        <v>0</v>
      </c>
      <c r="AJ79" s="447">
        <f t="shared" si="575"/>
        <v>0</v>
      </c>
      <c r="AK79" s="447">
        <f t="shared" si="576"/>
        <v>0</v>
      </c>
      <c r="AL79" s="352">
        <f t="shared" si="577"/>
        <v>0</v>
      </c>
      <c r="AM79" s="447">
        <f t="shared" si="578"/>
        <v>0</v>
      </c>
      <c r="AN79" s="352">
        <f t="shared" si="579"/>
        <v>0</v>
      </c>
      <c r="AO79" s="352">
        <f t="shared" si="580"/>
        <v>0</v>
      </c>
      <c r="AP79" s="352">
        <f t="shared" si="581"/>
        <v>0</v>
      </c>
      <c r="AQ79" s="352">
        <f t="shared" si="582"/>
        <v>0</v>
      </c>
      <c r="AR79" s="352">
        <f t="shared" si="583"/>
        <v>0</v>
      </c>
      <c r="AS79" s="352">
        <f t="shared" si="584"/>
        <v>0</v>
      </c>
      <c r="AT79" s="352">
        <f t="shared" si="585"/>
        <v>0</v>
      </c>
      <c r="AU79" s="352">
        <f t="shared" si="586"/>
        <v>0</v>
      </c>
      <c r="AV79" s="352"/>
      <c r="AW79" s="352"/>
      <c r="AX79" s="352">
        <f t="shared" si="589"/>
        <v>0</v>
      </c>
      <c r="AY79" s="352">
        <f t="shared" si="589"/>
        <v>0</v>
      </c>
      <c r="AZ79" s="352">
        <f t="shared" si="589"/>
        <v>0</v>
      </c>
      <c r="BA79" s="352">
        <f t="shared" si="589"/>
        <v>8100</v>
      </c>
      <c r="BB79" s="352">
        <f t="shared" si="589"/>
        <v>0</v>
      </c>
      <c r="BC79" s="352">
        <f t="shared" si="589"/>
        <v>0</v>
      </c>
      <c r="BD79" s="352">
        <f t="shared" si="589"/>
        <v>0</v>
      </c>
      <c r="BE79" s="352">
        <f t="shared" si="589"/>
        <v>0</v>
      </c>
      <c r="BF79" s="447">
        <f t="shared" si="589"/>
        <v>0</v>
      </c>
      <c r="BG79" s="352">
        <f t="shared" si="589"/>
        <v>0</v>
      </c>
      <c r="BH79" s="352">
        <f t="shared" si="590"/>
        <v>0</v>
      </c>
      <c r="BI79" s="352">
        <f t="shared" si="590"/>
        <v>0</v>
      </c>
      <c r="BJ79" s="352">
        <f t="shared" si="590"/>
        <v>0</v>
      </c>
      <c r="BK79" s="352">
        <f t="shared" si="590"/>
        <v>0</v>
      </c>
      <c r="BL79" s="352">
        <f t="shared" si="590"/>
        <v>0</v>
      </c>
      <c r="BM79" s="352">
        <f t="shared" si="590"/>
        <v>0</v>
      </c>
      <c r="BN79" s="352">
        <f t="shared" si="590"/>
        <v>0</v>
      </c>
      <c r="BO79" s="352">
        <f t="shared" si="590"/>
        <v>0</v>
      </c>
      <c r="BP79" s="352">
        <f t="shared" si="590"/>
        <v>0</v>
      </c>
      <c r="BQ79" s="352">
        <f t="shared" si="590"/>
        <v>0</v>
      </c>
      <c r="BR79" s="376">
        <f t="shared" si="20"/>
        <v>0</v>
      </c>
    </row>
    <row r="80" spans="1:70" s="240" customFormat="1" ht="15" customHeight="1" x14ac:dyDescent="0.25">
      <c r="A80" s="240" t="s">
        <v>136</v>
      </c>
      <c r="B80" s="458"/>
      <c r="C80" s="350"/>
      <c r="D80" s="447">
        <v>18700</v>
      </c>
      <c r="E80" s="350" t="s">
        <v>196</v>
      </c>
      <c r="F80" s="351"/>
      <c r="G80" s="351"/>
      <c r="H80" s="351"/>
      <c r="I80" s="351">
        <v>0</v>
      </c>
      <c r="J80" s="351">
        <v>0.36363636363599999</v>
      </c>
      <c r="K80" s="351">
        <v>0.63636363636399995</v>
      </c>
      <c r="L80" s="450"/>
      <c r="M80" s="450"/>
      <c r="N80" s="450"/>
      <c r="O80" s="450"/>
      <c r="P80" s="450"/>
      <c r="Q80" s="351"/>
      <c r="R80" s="351"/>
      <c r="S80" s="351"/>
      <c r="T80" s="351"/>
      <c r="U80" s="351"/>
      <c r="V80" s="351"/>
      <c r="W80" s="351"/>
      <c r="X80" s="351"/>
      <c r="Y80" s="351"/>
      <c r="Z80" s="449">
        <f t="shared" si="588"/>
        <v>1</v>
      </c>
      <c r="AA80" s="350"/>
      <c r="AB80" s="350"/>
      <c r="AC80" s="352">
        <f t="shared" si="568"/>
        <v>0</v>
      </c>
      <c r="AD80" s="352">
        <f t="shared" si="569"/>
        <v>0</v>
      </c>
      <c r="AE80" s="352">
        <f t="shared" si="570"/>
        <v>0</v>
      </c>
      <c r="AF80" s="352">
        <f t="shared" si="571"/>
        <v>0</v>
      </c>
      <c r="AG80" s="352">
        <f t="shared" si="572"/>
        <v>6799.9999999931997</v>
      </c>
      <c r="AH80" s="447">
        <f t="shared" si="573"/>
        <v>11900.000000006799</v>
      </c>
      <c r="AI80" s="352">
        <f t="shared" si="574"/>
        <v>0</v>
      </c>
      <c r="AJ80" s="447">
        <f t="shared" si="575"/>
        <v>0</v>
      </c>
      <c r="AK80" s="447">
        <f t="shared" si="576"/>
        <v>0</v>
      </c>
      <c r="AL80" s="352">
        <f t="shared" si="577"/>
        <v>0</v>
      </c>
      <c r="AM80" s="447">
        <f t="shared" si="578"/>
        <v>0</v>
      </c>
      <c r="AN80" s="352">
        <f t="shared" si="579"/>
        <v>0</v>
      </c>
      <c r="AO80" s="352">
        <f t="shared" si="580"/>
        <v>0</v>
      </c>
      <c r="AP80" s="352">
        <f t="shared" si="581"/>
        <v>0</v>
      </c>
      <c r="AQ80" s="352">
        <f t="shared" si="582"/>
        <v>0</v>
      </c>
      <c r="AR80" s="352">
        <f t="shared" si="583"/>
        <v>0</v>
      </c>
      <c r="AS80" s="352">
        <f t="shared" si="584"/>
        <v>0</v>
      </c>
      <c r="AT80" s="352">
        <f t="shared" si="585"/>
        <v>0</v>
      </c>
      <c r="AU80" s="352">
        <f t="shared" si="586"/>
        <v>0</v>
      </c>
      <c r="AV80" s="352"/>
      <c r="AW80" s="352"/>
      <c r="AX80" s="352">
        <f t="shared" si="589"/>
        <v>0</v>
      </c>
      <c r="AY80" s="352">
        <f t="shared" si="589"/>
        <v>0</v>
      </c>
      <c r="AZ80" s="352">
        <f t="shared" si="589"/>
        <v>0</v>
      </c>
      <c r="BA80" s="352">
        <f t="shared" si="589"/>
        <v>18700</v>
      </c>
      <c r="BB80" s="352">
        <f t="shared" si="589"/>
        <v>0</v>
      </c>
      <c r="BC80" s="352">
        <f t="shared" si="589"/>
        <v>0</v>
      </c>
      <c r="BD80" s="352">
        <f t="shared" si="589"/>
        <v>0</v>
      </c>
      <c r="BE80" s="352">
        <f t="shared" si="589"/>
        <v>0</v>
      </c>
      <c r="BF80" s="447">
        <f t="shared" si="589"/>
        <v>0</v>
      </c>
      <c r="BG80" s="352">
        <f t="shared" si="589"/>
        <v>0</v>
      </c>
      <c r="BH80" s="352">
        <f t="shared" si="590"/>
        <v>0</v>
      </c>
      <c r="BI80" s="352">
        <f t="shared" si="590"/>
        <v>0</v>
      </c>
      <c r="BJ80" s="352">
        <f t="shared" si="590"/>
        <v>0</v>
      </c>
      <c r="BK80" s="352">
        <f t="shared" si="590"/>
        <v>0</v>
      </c>
      <c r="BL80" s="352">
        <f t="shared" si="590"/>
        <v>0</v>
      </c>
      <c r="BM80" s="352">
        <f t="shared" si="590"/>
        <v>0</v>
      </c>
      <c r="BN80" s="352">
        <f t="shared" si="590"/>
        <v>0</v>
      </c>
      <c r="BO80" s="352">
        <f t="shared" si="590"/>
        <v>0</v>
      </c>
      <c r="BP80" s="352">
        <f t="shared" si="590"/>
        <v>0</v>
      </c>
      <c r="BQ80" s="352">
        <f t="shared" si="590"/>
        <v>0</v>
      </c>
      <c r="BR80" s="376">
        <f t="shared" si="20"/>
        <v>0</v>
      </c>
    </row>
    <row r="81" spans="1:70" s="240" customFormat="1" ht="15" customHeight="1" x14ac:dyDescent="0.25">
      <c r="A81" s="240" t="s">
        <v>136</v>
      </c>
      <c r="B81" s="458"/>
      <c r="C81" s="350"/>
      <c r="D81" s="447">
        <v>13200</v>
      </c>
      <c r="E81" s="350" t="s">
        <v>193</v>
      </c>
      <c r="F81" s="351"/>
      <c r="G81" s="351"/>
      <c r="H81" s="351"/>
      <c r="I81" s="351"/>
      <c r="J81" s="351"/>
      <c r="K81" s="351">
        <v>1</v>
      </c>
      <c r="L81" s="351"/>
      <c r="M81" s="351"/>
      <c r="N81" s="351"/>
      <c r="O81" s="450"/>
      <c r="P81" s="450"/>
      <c r="Q81" s="450"/>
      <c r="R81" s="450"/>
      <c r="S81" s="450"/>
      <c r="T81" s="450"/>
      <c r="U81" s="450"/>
      <c r="V81" s="450"/>
      <c r="W81" s="450"/>
      <c r="X81" s="450"/>
      <c r="Y81" s="450"/>
      <c r="Z81" s="449">
        <f t="shared" si="588"/>
        <v>1</v>
      </c>
      <c r="AA81" s="350"/>
      <c r="AB81" s="350"/>
      <c r="AC81" s="352">
        <f t="shared" si="568"/>
        <v>0</v>
      </c>
      <c r="AD81" s="352">
        <f t="shared" si="569"/>
        <v>0</v>
      </c>
      <c r="AE81" s="352">
        <f t="shared" si="570"/>
        <v>0</v>
      </c>
      <c r="AF81" s="352">
        <f t="shared" si="571"/>
        <v>0</v>
      </c>
      <c r="AG81" s="352">
        <f t="shared" si="572"/>
        <v>0</v>
      </c>
      <c r="AH81" s="352">
        <f t="shared" si="573"/>
        <v>13200</v>
      </c>
      <c r="AI81" s="352">
        <f t="shared" si="574"/>
        <v>0</v>
      </c>
      <c r="AJ81" s="447">
        <f t="shared" si="575"/>
        <v>0</v>
      </c>
      <c r="AK81" s="352">
        <f t="shared" si="576"/>
        <v>0</v>
      </c>
      <c r="AL81" s="352">
        <f t="shared" si="577"/>
        <v>0</v>
      </c>
      <c r="AM81" s="352">
        <f t="shared" si="578"/>
        <v>0</v>
      </c>
      <c r="AN81" s="352">
        <f t="shared" si="579"/>
        <v>0</v>
      </c>
      <c r="AO81" s="352">
        <f t="shared" si="580"/>
        <v>0</v>
      </c>
      <c r="AP81" s="352">
        <f t="shared" si="581"/>
        <v>0</v>
      </c>
      <c r="AQ81" s="352">
        <f t="shared" si="582"/>
        <v>0</v>
      </c>
      <c r="AR81" s="352">
        <f t="shared" si="583"/>
        <v>0</v>
      </c>
      <c r="AS81" s="352">
        <f t="shared" si="584"/>
        <v>0</v>
      </c>
      <c r="AT81" s="352">
        <f t="shared" si="585"/>
        <v>0</v>
      </c>
      <c r="AU81" s="352">
        <f t="shared" si="586"/>
        <v>0</v>
      </c>
      <c r="AV81" s="352"/>
      <c r="AW81" s="352"/>
      <c r="AX81" s="352">
        <f t="shared" si="589"/>
        <v>0</v>
      </c>
      <c r="AY81" s="352">
        <f t="shared" si="589"/>
        <v>0</v>
      </c>
      <c r="AZ81" s="352">
        <f t="shared" si="589"/>
        <v>0</v>
      </c>
      <c r="BA81" s="352">
        <f t="shared" si="589"/>
        <v>0</v>
      </c>
      <c r="BB81" s="352">
        <f t="shared" si="589"/>
        <v>13200</v>
      </c>
      <c r="BC81" s="352">
        <f t="shared" si="589"/>
        <v>0</v>
      </c>
      <c r="BD81" s="352">
        <f t="shared" si="589"/>
        <v>0</v>
      </c>
      <c r="BE81" s="352">
        <f t="shared" si="589"/>
        <v>0</v>
      </c>
      <c r="BF81" s="352">
        <f t="shared" si="589"/>
        <v>0</v>
      </c>
      <c r="BG81" s="352">
        <f t="shared" si="589"/>
        <v>0</v>
      </c>
      <c r="BH81" s="352">
        <f t="shared" si="590"/>
        <v>0</v>
      </c>
      <c r="BI81" s="352">
        <f t="shared" si="590"/>
        <v>0</v>
      </c>
      <c r="BJ81" s="352">
        <f t="shared" si="590"/>
        <v>0</v>
      </c>
      <c r="BK81" s="352">
        <f t="shared" si="590"/>
        <v>0</v>
      </c>
      <c r="BL81" s="352">
        <f t="shared" si="590"/>
        <v>0</v>
      </c>
      <c r="BM81" s="352">
        <f t="shared" si="590"/>
        <v>0</v>
      </c>
      <c r="BN81" s="352">
        <f t="shared" si="590"/>
        <v>0</v>
      </c>
      <c r="BO81" s="352">
        <f t="shared" si="590"/>
        <v>0</v>
      </c>
      <c r="BP81" s="352">
        <f t="shared" si="590"/>
        <v>0</v>
      </c>
      <c r="BQ81" s="352">
        <f t="shared" si="590"/>
        <v>0</v>
      </c>
      <c r="BR81" s="376">
        <f t="shared" si="20"/>
        <v>0</v>
      </c>
    </row>
    <row r="82" spans="1:70" s="240" customFormat="1" ht="14.45" customHeight="1" x14ac:dyDescent="0.25">
      <c r="A82" s="240" t="s">
        <v>139</v>
      </c>
      <c r="B82" s="458"/>
      <c r="C82" s="350"/>
      <c r="D82" s="447">
        <v>640.16</v>
      </c>
      <c r="E82" s="350" t="s">
        <v>193</v>
      </c>
      <c r="F82" s="450"/>
      <c r="G82" s="450"/>
      <c r="H82" s="450"/>
      <c r="I82" s="450"/>
      <c r="J82" s="450"/>
      <c r="K82" s="351">
        <v>1</v>
      </c>
      <c r="L82" s="351"/>
      <c r="M82" s="450"/>
      <c r="N82" s="450"/>
      <c r="O82" s="450"/>
      <c r="P82" s="450"/>
      <c r="Q82" s="351">
        <v>0</v>
      </c>
      <c r="R82" s="351">
        <v>0</v>
      </c>
      <c r="S82" s="351">
        <v>0</v>
      </c>
      <c r="T82" s="351">
        <v>0</v>
      </c>
      <c r="U82" s="351"/>
      <c r="V82" s="351"/>
      <c r="W82" s="351"/>
      <c r="X82" s="351"/>
      <c r="Y82" s="351"/>
      <c r="Z82" s="449">
        <f t="shared" si="588"/>
        <v>1</v>
      </c>
      <c r="AA82" s="350"/>
      <c r="AB82" s="350"/>
      <c r="AC82" s="352">
        <f t="shared" si="568"/>
        <v>0</v>
      </c>
      <c r="AD82" s="352">
        <f t="shared" si="569"/>
        <v>0</v>
      </c>
      <c r="AE82" s="352">
        <f t="shared" si="570"/>
        <v>0</v>
      </c>
      <c r="AF82" s="352">
        <f t="shared" si="571"/>
        <v>0</v>
      </c>
      <c r="AG82" s="352">
        <f t="shared" si="572"/>
        <v>0</v>
      </c>
      <c r="AH82" s="447">
        <f t="shared" si="573"/>
        <v>640.16</v>
      </c>
      <c r="AI82" s="352">
        <f t="shared" si="574"/>
        <v>0</v>
      </c>
      <c r="AJ82" s="447">
        <f t="shared" si="575"/>
        <v>0</v>
      </c>
      <c r="AK82" s="352">
        <f t="shared" si="576"/>
        <v>0</v>
      </c>
      <c r="AL82" s="352">
        <f t="shared" si="577"/>
        <v>0</v>
      </c>
      <c r="AM82" s="447">
        <f t="shared" si="578"/>
        <v>0</v>
      </c>
      <c r="AN82" s="352">
        <f t="shared" si="579"/>
        <v>0</v>
      </c>
      <c r="AO82" s="352">
        <f t="shared" si="580"/>
        <v>0</v>
      </c>
      <c r="AP82" s="352">
        <f t="shared" si="581"/>
        <v>0</v>
      </c>
      <c r="AQ82" s="352">
        <f t="shared" si="582"/>
        <v>0</v>
      </c>
      <c r="AR82" s="352">
        <f t="shared" si="583"/>
        <v>0</v>
      </c>
      <c r="AS82" s="352">
        <f t="shared" si="584"/>
        <v>0</v>
      </c>
      <c r="AT82" s="352">
        <f t="shared" si="585"/>
        <v>0</v>
      </c>
      <c r="AU82" s="352">
        <f t="shared" si="586"/>
        <v>0</v>
      </c>
      <c r="AV82" s="352"/>
      <c r="AW82" s="352"/>
      <c r="AX82" s="352">
        <f t="shared" si="589"/>
        <v>0</v>
      </c>
      <c r="AY82" s="352">
        <f t="shared" si="589"/>
        <v>0</v>
      </c>
      <c r="AZ82" s="352">
        <f t="shared" si="589"/>
        <v>0</v>
      </c>
      <c r="BA82" s="352">
        <f t="shared" si="589"/>
        <v>0</v>
      </c>
      <c r="BB82" s="352">
        <f t="shared" si="589"/>
        <v>640.16</v>
      </c>
      <c r="BC82" s="447">
        <f t="shared" si="589"/>
        <v>0</v>
      </c>
      <c r="BD82" s="352">
        <f t="shared" si="589"/>
        <v>0</v>
      </c>
      <c r="BE82" s="352">
        <f t="shared" si="589"/>
        <v>0</v>
      </c>
      <c r="BF82" s="352">
        <f t="shared" si="589"/>
        <v>0</v>
      </c>
      <c r="BG82" s="352">
        <f t="shared" si="589"/>
        <v>0</v>
      </c>
      <c r="BH82" s="352">
        <f t="shared" si="590"/>
        <v>0</v>
      </c>
      <c r="BI82" s="352">
        <f t="shared" si="590"/>
        <v>0</v>
      </c>
      <c r="BJ82" s="352">
        <f t="shared" si="590"/>
        <v>0</v>
      </c>
      <c r="BK82" s="352">
        <f t="shared" si="590"/>
        <v>0</v>
      </c>
      <c r="BL82" s="352">
        <f t="shared" si="590"/>
        <v>0</v>
      </c>
      <c r="BM82" s="352">
        <f t="shared" si="590"/>
        <v>0</v>
      </c>
      <c r="BN82" s="352">
        <f t="shared" si="590"/>
        <v>0</v>
      </c>
      <c r="BO82" s="352">
        <f t="shared" si="590"/>
        <v>0</v>
      </c>
      <c r="BP82" s="352">
        <f t="shared" si="590"/>
        <v>0</v>
      </c>
      <c r="BQ82" s="352">
        <f t="shared" si="590"/>
        <v>0</v>
      </c>
      <c r="BR82" s="376">
        <f t="shared" si="20"/>
        <v>0</v>
      </c>
    </row>
    <row r="83" spans="1:70" s="240" customFormat="1" ht="14.45" customHeight="1" x14ac:dyDescent="0.25">
      <c r="A83" s="240" t="s">
        <v>139</v>
      </c>
      <c r="B83" s="458"/>
      <c r="C83" s="350"/>
      <c r="D83" s="447">
        <v>13864.72</v>
      </c>
      <c r="E83" s="350" t="s">
        <v>166</v>
      </c>
      <c r="F83" s="450"/>
      <c r="G83" s="450"/>
      <c r="H83" s="450"/>
      <c r="I83" s="450"/>
      <c r="J83" s="450"/>
      <c r="K83" s="351">
        <v>1</v>
      </c>
      <c r="L83" s="351"/>
      <c r="M83" s="450"/>
      <c r="N83" s="450"/>
      <c r="O83" s="450"/>
      <c r="P83" s="450"/>
      <c r="Q83" s="351">
        <v>0</v>
      </c>
      <c r="R83" s="351">
        <v>0</v>
      </c>
      <c r="S83" s="351">
        <v>0</v>
      </c>
      <c r="T83" s="351">
        <v>0</v>
      </c>
      <c r="U83" s="351"/>
      <c r="V83" s="351"/>
      <c r="W83" s="351"/>
      <c r="X83" s="351"/>
      <c r="Y83" s="351"/>
      <c r="Z83" s="449">
        <f t="shared" si="588"/>
        <v>1</v>
      </c>
      <c r="AA83" s="350"/>
      <c r="AB83" s="350"/>
      <c r="AC83" s="352">
        <f t="shared" si="568"/>
        <v>0</v>
      </c>
      <c r="AD83" s="352">
        <f t="shared" si="569"/>
        <v>0</v>
      </c>
      <c r="AE83" s="352">
        <f t="shared" si="570"/>
        <v>0</v>
      </c>
      <c r="AF83" s="352">
        <f t="shared" si="571"/>
        <v>0</v>
      </c>
      <c r="AG83" s="352">
        <f t="shared" si="572"/>
        <v>0</v>
      </c>
      <c r="AH83" s="447">
        <f t="shared" si="573"/>
        <v>13864.72</v>
      </c>
      <c r="AI83" s="352">
        <f t="shared" si="574"/>
        <v>0</v>
      </c>
      <c r="AJ83" s="447">
        <f t="shared" si="575"/>
        <v>0</v>
      </c>
      <c r="AK83" s="352">
        <f t="shared" si="576"/>
        <v>0</v>
      </c>
      <c r="AL83" s="352">
        <f t="shared" si="577"/>
        <v>0</v>
      </c>
      <c r="AM83" s="447">
        <f t="shared" si="578"/>
        <v>0</v>
      </c>
      <c r="AN83" s="352">
        <f t="shared" si="579"/>
        <v>0</v>
      </c>
      <c r="AO83" s="352">
        <f t="shared" si="580"/>
        <v>0</v>
      </c>
      <c r="AP83" s="352">
        <f t="shared" si="581"/>
        <v>0</v>
      </c>
      <c r="AQ83" s="352">
        <f t="shared" si="582"/>
        <v>0</v>
      </c>
      <c r="AR83" s="352">
        <f t="shared" si="583"/>
        <v>0</v>
      </c>
      <c r="AS83" s="352">
        <f t="shared" si="584"/>
        <v>0</v>
      </c>
      <c r="AT83" s="352">
        <f t="shared" si="585"/>
        <v>0</v>
      </c>
      <c r="AU83" s="352">
        <f t="shared" si="586"/>
        <v>0</v>
      </c>
      <c r="AV83" s="352"/>
      <c r="AW83" s="352"/>
      <c r="AX83" s="352">
        <f t="shared" si="589"/>
        <v>0</v>
      </c>
      <c r="AY83" s="352">
        <f t="shared" si="589"/>
        <v>0</v>
      </c>
      <c r="AZ83" s="352">
        <f t="shared" si="589"/>
        <v>0</v>
      </c>
      <c r="BA83" s="352">
        <f t="shared" si="589"/>
        <v>0</v>
      </c>
      <c r="BB83" s="352">
        <f t="shared" si="589"/>
        <v>0</v>
      </c>
      <c r="BC83" s="447">
        <f t="shared" si="589"/>
        <v>13864.72</v>
      </c>
      <c r="BD83" s="352">
        <f t="shared" si="589"/>
        <v>0</v>
      </c>
      <c r="BE83" s="352">
        <f t="shared" si="589"/>
        <v>0</v>
      </c>
      <c r="BF83" s="352">
        <f t="shared" si="589"/>
        <v>0</v>
      </c>
      <c r="BG83" s="352">
        <f t="shared" si="589"/>
        <v>0</v>
      </c>
      <c r="BH83" s="352">
        <f t="shared" si="590"/>
        <v>0</v>
      </c>
      <c r="BI83" s="352">
        <f t="shared" si="590"/>
        <v>0</v>
      </c>
      <c r="BJ83" s="352">
        <f t="shared" si="590"/>
        <v>0</v>
      </c>
      <c r="BK83" s="352">
        <f t="shared" si="590"/>
        <v>0</v>
      </c>
      <c r="BL83" s="352">
        <f t="shared" si="590"/>
        <v>0</v>
      </c>
      <c r="BM83" s="352">
        <f t="shared" si="590"/>
        <v>0</v>
      </c>
      <c r="BN83" s="352">
        <f t="shared" si="590"/>
        <v>0</v>
      </c>
      <c r="BO83" s="352">
        <f t="shared" si="590"/>
        <v>0</v>
      </c>
      <c r="BP83" s="352">
        <f t="shared" si="590"/>
        <v>0</v>
      </c>
      <c r="BQ83" s="352">
        <f t="shared" si="590"/>
        <v>0</v>
      </c>
      <c r="BR83" s="376">
        <f t="shared" si="20"/>
        <v>0</v>
      </c>
    </row>
    <row r="84" spans="1:70" s="240" customFormat="1" ht="14.45" customHeight="1" x14ac:dyDescent="0.25">
      <c r="A84" s="240" t="s">
        <v>139</v>
      </c>
      <c r="B84" s="458"/>
      <c r="C84" s="350"/>
      <c r="D84" s="447">
        <v>475.49</v>
      </c>
      <c r="E84" s="350" t="s">
        <v>178</v>
      </c>
      <c r="F84" s="450"/>
      <c r="G84" s="450"/>
      <c r="H84" s="450"/>
      <c r="I84" s="450"/>
      <c r="J84" s="450"/>
      <c r="K84" s="351"/>
      <c r="L84" s="351">
        <v>1</v>
      </c>
      <c r="M84" s="450"/>
      <c r="N84" s="450"/>
      <c r="O84" s="450"/>
      <c r="P84" s="450"/>
      <c r="Q84" s="351">
        <v>0</v>
      </c>
      <c r="R84" s="351">
        <v>0</v>
      </c>
      <c r="S84" s="351">
        <v>0</v>
      </c>
      <c r="T84" s="351">
        <v>0</v>
      </c>
      <c r="U84" s="351"/>
      <c r="V84" s="351"/>
      <c r="W84" s="351"/>
      <c r="X84" s="351"/>
      <c r="Y84" s="351"/>
      <c r="Z84" s="449">
        <f t="shared" si="588"/>
        <v>1</v>
      </c>
      <c r="AA84" s="350"/>
      <c r="AB84" s="350"/>
      <c r="AC84" s="352">
        <f t="shared" si="568"/>
        <v>0</v>
      </c>
      <c r="AD84" s="352">
        <f t="shared" si="569"/>
        <v>0</v>
      </c>
      <c r="AE84" s="352">
        <f t="shared" si="570"/>
        <v>0</v>
      </c>
      <c r="AF84" s="352">
        <f t="shared" si="571"/>
        <v>0</v>
      </c>
      <c r="AG84" s="352">
        <f t="shared" si="572"/>
        <v>0</v>
      </c>
      <c r="AH84" s="447">
        <f t="shared" si="573"/>
        <v>0</v>
      </c>
      <c r="AI84" s="352">
        <f t="shared" si="574"/>
        <v>475.49</v>
      </c>
      <c r="AJ84" s="447">
        <f t="shared" si="575"/>
        <v>0</v>
      </c>
      <c r="AK84" s="352">
        <f t="shared" si="576"/>
        <v>0</v>
      </c>
      <c r="AL84" s="352">
        <f t="shared" si="577"/>
        <v>0</v>
      </c>
      <c r="AM84" s="447">
        <f t="shared" si="578"/>
        <v>0</v>
      </c>
      <c r="AN84" s="352">
        <f t="shared" si="579"/>
        <v>0</v>
      </c>
      <c r="AO84" s="352">
        <f t="shared" si="580"/>
        <v>0</v>
      </c>
      <c r="AP84" s="352">
        <f t="shared" si="581"/>
        <v>0</v>
      </c>
      <c r="AQ84" s="352">
        <f t="shared" si="582"/>
        <v>0</v>
      </c>
      <c r="AR84" s="352">
        <f t="shared" si="583"/>
        <v>0</v>
      </c>
      <c r="AS84" s="352">
        <f t="shared" si="584"/>
        <v>0</v>
      </c>
      <c r="AT84" s="352">
        <f t="shared" si="585"/>
        <v>0</v>
      </c>
      <c r="AU84" s="352">
        <f t="shared" si="586"/>
        <v>0</v>
      </c>
      <c r="AV84" s="352"/>
      <c r="AW84" s="352"/>
      <c r="AX84" s="352">
        <f t="shared" si="589"/>
        <v>0</v>
      </c>
      <c r="AY84" s="352">
        <f t="shared" si="589"/>
        <v>0</v>
      </c>
      <c r="AZ84" s="352">
        <f t="shared" si="589"/>
        <v>0</v>
      </c>
      <c r="BA84" s="352">
        <f t="shared" si="589"/>
        <v>0</v>
      </c>
      <c r="BB84" s="352">
        <f t="shared" si="589"/>
        <v>0</v>
      </c>
      <c r="BC84" s="352">
        <f t="shared" si="589"/>
        <v>0</v>
      </c>
      <c r="BD84" s="352">
        <f t="shared" si="589"/>
        <v>475.49</v>
      </c>
      <c r="BE84" s="352">
        <f t="shared" si="589"/>
        <v>0</v>
      </c>
      <c r="BF84" s="352">
        <f t="shared" si="589"/>
        <v>0</v>
      </c>
      <c r="BG84" s="352">
        <f t="shared" si="589"/>
        <v>0</v>
      </c>
      <c r="BH84" s="352">
        <f t="shared" si="590"/>
        <v>0</v>
      </c>
      <c r="BI84" s="352">
        <f t="shared" si="590"/>
        <v>0</v>
      </c>
      <c r="BJ84" s="352">
        <f t="shared" si="590"/>
        <v>0</v>
      </c>
      <c r="BK84" s="352">
        <f t="shared" si="590"/>
        <v>0</v>
      </c>
      <c r="BL84" s="352">
        <f t="shared" si="590"/>
        <v>0</v>
      </c>
      <c r="BM84" s="352">
        <f t="shared" si="590"/>
        <v>0</v>
      </c>
      <c r="BN84" s="352">
        <f t="shared" si="590"/>
        <v>0</v>
      </c>
      <c r="BO84" s="352">
        <f t="shared" si="590"/>
        <v>0</v>
      </c>
      <c r="BP84" s="352">
        <f t="shared" si="590"/>
        <v>0</v>
      </c>
      <c r="BQ84" s="352">
        <f t="shared" si="590"/>
        <v>0</v>
      </c>
      <c r="BR84" s="376">
        <f t="shared" si="20"/>
        <v>0</v>
      </c>
    </row>
    <row r="85" spans="1:70" s="240" customFormat="1" ht="15" customHeight="1" x14ac:dyDescent="0.25">
      <c r="A85" s="240" t="s">
        <v>136</v>
      </c>
      <c r="B85" s="458"/>
      <c r="C85" s="350"/>
      <c r="D85" s="447">
        <v>49165.090000000004</v>
      </c>
      <c r="E85" s="350" t="s">
        <v>178</v>
      </c>
      <c r="F85" s="450"/>
      <c r="G85" s="450"/>
      <c r="H85" s="450"/>
      <c r="I85" s="450"/>
      <c r="J85" s="450"/>
      <c r="K85" s="450"/>
      <c r="L85" s="351">
        <v>0</v>
      </c>
      <c r="M85" s="351">
        <v>0.88205655679670281</v>
      </c>
      <c r="N85" s="351">
        <v>0</v>
      </c>
      <c r="O85" s="351">
        <v>7.6316345602133545E-2</v>
      </c>
      <c r="P85" s="351">
        <v>4.1627097601163753E-2</v>
      </c>
      <c r="Q85" s="351"/>
      <c r="R85" s="351"/>
      <c r="S85" s="351"/>
      <c r="T85" s="351"/>
      <c r="U85" s="351"/>
      <c r="V85" s="351"/>
      <c r="W85" s="351"/>
      <c r="X85" s="351"/>
      <c r="Y85" s="351"/>
      <c r="Z85" s="449">
        <f t="shared" si="21"/>
        <v>1</v>
      </c>
      <c r="AA85" s="350"/>
      <c r="AB85" s="350"/>
      <c r="AC85" s="352">
        <f t="shared" si="0"/>
        <v>0</v>
      </c>
      <c r="AD85" s="352">
        <f t="shared" si="1"/>
        <v>0</v>
      </c>
      <c r="AE85" s="352">
        <f t="shared" si="2"/>
        <v>0</v>
      </c>
      <c r="AF85" s="352">
        <f t="shared" si="3"/>
        <v>0</v>
      </c>
      <c r="AG85" s="352">
        <f>J85*$D85</f>
        <v>0</v>
      </c>
      <c r="AH85" s="352">
        <f t="shared" si="22"/>
        <v>0</v>
      </c>
      <c r="AI85" s="352">
        <f t="shared" si="23"/>
        <v>0</v>
      </c>
      <c r="AJ85" s="447">
        <f t="shared" si="24"/>
        <v>43366.390000000007</v>
      </c>
      <c r="AK85" s="447">
        <f>N85*$D85</f>
        <v>0</v>
      </c>
      <c r="AL85" s="447">
        <f t="shared" si="19"/>
        <v>3752.1000000000004</v>
      </c>
      <c r="AM85" s="447">
        <f t="shared" si="8"/>
        <v>2046.6000000000001</v>
      </c>
      <c r="AN85" s="352">
        <f t="shared" si="9"/>
        <v>0</v>
      </c>
      <c r="AO85" s="352">
        <f t="shared" si="10"/>
        <v>0</v>
      </c>
      <c r="AP85" s="352">
        <f t="shared" si="11"/>
        <v>0</v>
      </c>
      <c r="AQ85" s="352">
        <f t="shared" si="12"/>
        <v>0</v>
      </c>
      <c r="AR85" s="352">
        <f t="shared" ref="AR85:AR142" si="591">U85*$D85</f>
        <v>0</v>
      </c>
      <c r="AS85" s="352">
        <f t="shared" si="14"/>
        <v>0</v>
      </c>
      <c r="AT85" s="352">
        <f t="shared" si="15"/>
        <v>0</v>
      </c>
      <c r="AU85" s="352">
        <f t="shared" si="16"/>
        <v>0</v>
      </c>
      <c r="AV85" s="352"/>
      <c r="AW85" s="352"/>
      <c r="AX85" s="352">
        <f t="shared" ref="AX85:BL123" si="592">IF(AX$3=$E85,$D85,0)</f>
        <v>0</v>
      </c>
      <c r="AY85" s="352">
        <f t="shared" si="592"/>
        <v>0</v>
      </c>
      <c r="AZ85" s="352">
        <f t="shared" si="592"/>
        <v>0</v>
      </c>
      <c r="BA85" s="352">
        <f t="shared" si="592"/>
        <v>0</v>
      </c>
      <c r="BB85" s="352">
        <f t="shared" si="592"/>
        <v>0</v>
      </c>
      <c r="BC85" s="352">
        <f t="shared" si="592"/>
        <v>0</v>
      </c>
      <c r="BD85" s="352">
        <f t="shared" si="592"/>
        <v>49165.090000000004</v>
      </c>
      <c r="BE85" s="352">
        <f t="shared" si="592"/>
        <v>0</v>
      </c>
      <c r="BF85" s="352">
        <f t="shared" si="592"/>
        <v>0</v>
      </c>
      <c r="BG85" s="352">
        <f t="shared" si="592"/>
        <v>0</v>
      </c>
      <c r="BH85" s="352">
        <f t="shared" si="592"/>
        <v>0</v>
      </c>
      <c r="BI85" s="352">
        <f t="shared" si="592"/>
        <v>0</v>
      </c>
      <c r="BJ85" s="352">
        <f t="shared" si="592"/>
        <v>0</v>
      </c>
      <c r="BK85" s="352">
        <f t="shared" si="592"/>
        <v>0</v>
      </c>
      <c r="BL85" s="352">
        <f t="shared" si="592"/>
        <v>0</v>
      </c>
      <c r="BM85" s="352">
        <f t="shared" si="537"/>
        <v>0</v>
      </c>
      <c r="BN85" s="352">
        <f t="shared" ref="BN85:BQ88" si="593">IF(BN$3=$E85,$D85,0)</f>
        <v>0</v>
      </c>
      <c r="BO85" s="352">
        <f t="shared" si="593"/>
        <v>0</v>
      </c>
      <c r="BP85" s="352">
        <f t="shared" si="593"/>
        <v>0</v>
      </c>
      <c r="BQ85" s="352">
        <f t="shared" si="593"/>
        <v>0</v>
      </c>
      <c r="BR85" s="376">
        <f t="shared" si="20"/>
        <v>0</v>
      </c>
    </row>
    <row r="86" spans="1:70" s="240" customFormat="1" ht="15" customHeight="1" x14ac:dyDescent="0.25">
      <c r="A86" s="240" t="s">
        <v>136</v>
      </c>
      <c r="B86" s="458"/>
      <c r="C86" s="350"/>
      <c r="D86" s="447">
        <f>45000-6498</f>
        <v>38502</v>
      </c>
      <c r="E86" s="350" t="s">
        <v>178</v>
      </c>
      <c r="F86" s="450"/>
      <c r="G86" s="450"/>
      <c r="H86" s="450"/>
      <c r="I86" s="450"/>
      <c r="J86" s="450"/>
      <c r="K86" s="450"/>
      <c r="L86" s="351">
        <v>0</v>
      </c>
      <c r="M86" s="351">
        <v>0.10950080515297907</v>
      </c>
      <c r="N86" s="351">
        <v>0.89049919484702089</v>
      </c>
      <c r="O86" s="351">
        <v>0</v>
      </c>
      <c r="P86" s="351">
        <f>1-(O86+N86+M86)</f>
        <v>0</v>
      </c>
      <c r="Q86" s="351"/>
      <c r="R86" s="351"/>
      <c r="S86" s="351"/>
      <c r="T86" s="351"/>
      <c r="U86" s="351"/>
      <c r="V86" s="351"/>
      <c r="W86" s="351"/>
      <c r="X86" s="351"/>
      <c r="Y86" s="351"/>
      <c r="Z86" s="449">
        <f t="shared" si="21"/>
        <v>1</v>
      </c>
      <c r="AA86" s="350"/>
      <c r="AB86" s="350"/>
      <c r="AC86" s="352">
        <f t="shared" ref="AC86:AC88" si="594">F86*$D86</f>
        <v>0</v>
      </c>
      <c r="AD86" s="352">
        <f t="shared" ref="AD86:AD88" si="595">G86*$D86</f>
        <v>0</v>
      </c>
      <c r="AE86" s="352">
        <f t="shared" ref="AE86:AE88" si="596">H86*$D86</f>
        <v>0</v>
      </c>
      <c r="AF86" s="352">
        <f t="shared" ref="AF86:AF88" si="597">I86*$D86</f>
        <v>0</v>
      </c>
      <c r="AG86" s="352">
        <f t="shared" ref="AG86:AG88" si="598">J86*$D86</f>
        <v>0</v>
      </c>
      <c r="AH86" s="352">
        <f t="shared" ref="AH86:AH88" si="599">K86*$D86</f>
        <v>0</v>
      </c>
      <c r="AI86" s="352">
        <f t="shared" ref="AI86:AI88" si="600">L86*$D86</f>
        <v>0</v>
      </c>
      <c r="AJ86" s="447">
        <f t="shared" ref="AJ86:AJ88" si="601">M86*$D86</f>
        <v>4216</v>
      </c>
      <c r="AK86" s="447">
        <f t="shared" ref="AK86:AK88" si="602">N86*$D86</f>
        <v>34286</v>
      </c>
      <c r="AL86" s="352">
        <f t="shared" ref="AL86:AL88" si="603">O86*$D86</f>
        <v>0</v>
      </c>
      <c r="AM86" s="447">
        <f t="shared" ref="AM86:AM88" si="604">P86*$D86</f>
        <v>0</v>
      </c>
      <c r="AN86" s="352">
        <f t="shared" ref="AN86:AN88" si="605">Q86*$D86</f>
        <v>0</v>
      </c>
      <c r="AO86" s="352">
        <f t="shared" ref="AO86:AO88" si="606">R86*$D86</f>
        <v>0</v>
      </c>
      <c r="AP86" s="352">
        <f t="shared" ref="AP86:AP88" si="607">S86*$D86</f>
        <v>0</v>
      </c>
      <c r="AQ86" s="352">
        <f t="shared" ref="AQ86:AQ88" si="608">T86*$D86</f>
        <v>0</v>
      </c>
      <c r="AR86" s="352">
        <f t="shared" si="591"/>
        <v>0</v>
      </c>
      <c r="AS86" s="352">
        <f t="shared" si="14"/>
        <v>0</v>
      </c>
      <c r="AT86" s="352">
        <f t="shared" si="15"/>
        <v>0</v>
      </c>
      <c r="AU86" s="352">
        <f t="shared" si="16"/>
        <v>0</v>
      </c>
      <c r="AV86" s="352"/>
      <c r="AW86" s="352"/>
      <c r="AX86" s="352">
        <f t="shared" si="592"/>
        <v>0</v>
      </c>
      <c r="AY86" s="352">
        <f t="shared" si="592"/>
        <v>0</v>
      </c>
      <c r="AZ86" s="352">
        <f t="shared" si="592"/>
        <v>0</v>
      </c>
      <c r="BA86" s="352">
        <f t="shared" si="592"/>
        <v>0</v>
      </c>
      <c r="BB86" s="352">
        <f t="shared" si="592"/>
        <v>0</v>
      </c>
      <c r="BC86" s="352">
        <f t="shared" si="592"/>
        <v>0</v>
      </c>
      <c r="BD86" s="352">
        <f t="shared" si="592"/>
        <v>38502</v>
      </c>
      <c r="BE86" s="352">
        <f t="shared" si="592"/>
        <v>0</v>
      </c>
      <c r="BF86" s="352">
        <f t="shared" si="592"/>
        <v>0</v>
      </c>
      <c r="BG86" s="352">
        <f t="shared" si="592"/>
        <v>0</v>
      </c>
      <c r="BH86" s="352">
        <f t="shared" si="592"/>
        <v>0</v>
      </c>
      <c r="BI86" s="352">
        <f t="shared" si="592"/>
        <v>0</v>
      </c>
      <c r="BJ86" s="352">
        <f t="shared" si="592"/>
        <v>0</v>
      </c>
      <c r="BK86" s="352">
        <f t="shared" si="592"/>
        <v>0</v>
      </c>
      <c r="BL86" s="352">
        <f t="shared" si="592"/>
        <v>0</v>
      </c>
      <c r="BM86" s="352">
        <f t="shared" si="537"/>
        <v>0</v>
      </c>
      <c r="BN86" s="352">
        <f t="shared" si="593"/>
        <v>0</v>
      </c>
      <c r="BO86" s="352">
        <f t="shared" si="593"/>
        <v>0</v>
      </c>
      <c r="BP86" s="352">
        <f t="shared" si="593"/>
        <v>0</v>
      </c>
      <c r="BQ86" s="352">
        <f t="shared" si="593"/>
        <v>0</v>
      </c>
      <c r="BR86" s="376">
        <f t="shared" si="20"/>
        <v>0</v>
      </c>
    </row>
    <row r="87" spans="1:70" s="240" customFormat="1" ht="15" customHeight="1" x14ac:dyDescent="0.25">
      <c r="A87" s="240" t="s">
        <v>136</v>
      </c>
      <c r="B87" s="458"/>
      <c r="C87" s="350"/>
      <c r="D87" s="447">
        <v>68334.489999999991</v>
      </c>
      <c r="E87" s="350" t="s">
        <v>216</v>
      </c>
      <c r="F87" s="450"/>
      <c r="G87" s="450"/>
      <c r="H87" s="450"/>
      <c r="I87" s="450"/>
      <c r="J87" s="450"/>
      <c r="K87" s="450"/>
      <c r="L87" s="351">
        <v>0</v>
      </c>
      <c r="M87" s="351">
        <v>0</v>
      </c>
      <c r="N87" s="351">
        <v>1</v>
      </c>
      <c r="O87" s="351">
        <v>0</v>
      </c>
      <c r="P87" s="351">
        <v>0</v>
      </c>
      <c r="Q87" s="351"/>
      <c r="R87" s="351"/>
      <c r="S87" s="351"/>
      <c r="T87" s="351"/>
      <c r="U87" s="351"/>
      <c r="V87" s="351"/>
      <c r="W87" s="351"/>
      <c r="X87" s="351"/>
      <c r="Y87" s="351"/>
      <c r="Z87" s="449">
        <f t="shared" si="21"/>
        <v>1</v>
      </c>
      <c r="AA87" s="350"/>
      <c r="AB87" s="350"/>
      <c r="AC87" s="352">
        <f t="shared" si="594"/>
        <v>0</v>
      </c>
      <c r="AD87" s="352">
        <f t="shared" si="595"/>
        <v>0</v>
      </c>
      <c r="AE87" s="352">
        <f t="shared" si="596"/>
        <v>0</v>
      </c>
      <c r="AF87" s="352">
        <f t="shared" si="597"/>
        <v>0</v>
      </c>
      <c r="AG87" s="352">
        <f t="shared" si="598"/>
        <v>0</v>
      </c>
      <c r="AH87" s="352">
        <f t="shared" si="599"/>
        <v>0</v>
      </c>
      <c r="AI87" s="352">
        <f t="shared" si="600"/>
        <v>0</v>
      </c>
      <c r="AJ87" s="447">
        <f t="shared" si="601"/>
        <v>0</v>
      </c>
      <c r="AK87" s="447">
        <f t="shared" si="602"/>
        <v>68334.489999999991</v>
      </c>
      <c r="AL87" s="352">
        <f t="shared" si="603"/>
        <v>0</v>
      </c>
      <c r="AM87" s="447">
        <f t="shared" si="604"/>
        <v>0</v>
      </c>
      <c r="AN87" s="352">
        <f t="shared" si="605"/>
        <v>0</v>
      </c>
      <c r="AO87" s="352">
        <f t="shared" si="606"/>
        <v>0</v>
      </c>
      <c r="AP87" s="352">
        <f t="shared" si="607"/>
        <v>0</v>
      </c>
      <c r="AQ87" s="352">
        <f t="shared" si="608"/>
        <v>0</v>
      </c>
      <c r="AR87" s="352">
        <f t="shared" si="591"/>
        <v>0</v>
      </c>
      <c r="AS87" s="352">
        <f t="shared" si="14"/>
        <v>0</v>
      </c>
      <c r="AT87" s="352">
        <f t="shared" si="15"/>
        <v>0</v>
      </c>
      <c r="AU87" s="352">
        <f t="shared" si="16"/>
        <v>0</v>
      </c>
      <c r="AV87" s="352"/>
      <c r="AW87" s="352"/>
      <c r="AX87" s="352">
        <f t="shared" ref="AX87:BN88" si="609">IF(AX$3=$E87,$D87,0)</f>
        <v>0</v>
      </c>
      <c r="AY87" s="352">
        <f t="shared" si="609"/>
        <v>0</v>
      </c>
      <c r="AZ87" s="352">
        <f t="shared" si="609"/>
        <v>0</v>
      </c>
      <c r="BA87" s="352">
        <f t="shared" si="609"/>
        <v>0</v>
      </c>
      <c r="BB87" s="352">
        <f t="shared" si="609"/>
        <v>0</v>
      </c>
      <c r="BC87" s="352">
        <f t="shared" si="609"/>
        <v>0</v>
      </c>
      <c r="BD87" s="352">
        <f t="shared" si="609"/>
        <v>0</v>
      </c>
      <c r="BE87" s="352">
        <f t="shared" si="609"/>
        <v>68334.489999999991</v>
      </c>
      <c r="BF87" s="447">
        <f t="shared" si="609"/>
        <v>0</v>
      </c>
      <c r="BG87" s="352">
        <f t="shared" si="609"/>
        <v>0</v>
      </c>
      <c r="BH87" s="352">
        <f t="shared" si="609"/>
        <v>0</v>
      </c>
      <c r="BI87" s="352">
        <f t="shared" si="609"/>
        <v>0</v>
      </c>
      <c r="BJ87" s="352">
        <f t="shared" si="609"/>
        <v>0</v>
      </c>
      <c r="BK87" s="352">
        <f t="shared" si="609"/>
        <v>0</v>
      </c>
      <c r="BL87" s="352">
        <f t="shared" si="609"/>
        <v>0</v>
      </c>
      <c r="BM87" s="352">
        <f t="shared" si="609"/>
        <v>0</v>
      </c>
      <c r="BN87" s="352">
        <f t="shared" si="609"/>
        <v>0</v>
      </c>
      <c r="BO87" s="352">
        <f t="shared" si="593"/>
        <v>0</v>
      </c>
      <c r="BP87" s="352">
        <f t="shared" si="593"/>
        <v>0</v>
      </c>
      <c r="BQ87" s="352">
        <f t="shared" si="593"/>
        <v>0</v>
      </c>
      <c r="BR87" s="376">
        <f t="shared" si="20"/>
        <v>0</v>
      </c>
    </row>
    <row r="88" spans="1:70" s="240" customFormat="1" ht="15" customHeight="1" x14ac:dyDescent="0.25">
      <c r="A88" s="240" t="s">
        <v>136</v>
      </c>
      <c r="B88" s="458"/>
      <c r="C88" s="350"/>
      <c r="D88" s="447">
        <v>7848.12</v>
      </c>
      <c r="E88" s="350" t="s">
        <v>216</v>
      </c>
      <c r="F88" s="450"/>
      <c r="G88" s="450"/>
      <c r="H88" s="450"/>
      <c r="I88" s="450"/>
      <c r="J88" s="450"/>
      <c r="K88" s="450"/>
      <c r="L88" s="351">
        <v>0</v>
      </c>
      <c r="M88" s="351">
        <v>0</v>
      </c>
      <c r="N88" s="351">
        <v>1</v>
      </c>
      <c r="O88" s="351">
        <v>0</v>
      </c>
      <c r="P88" s="351">
        <v>0</v>
      </c>
      <c r="Q88" s="351"/>
      <c r="R88" s="351"/>
      <c r="S88" s="351"/>
      <c r="T88" s="351"/>
      <c r="U88" s="351"/>
      <c r="V88" s="351"/>
      <c r="W88" s="351"/>
      <c r="X88" s="351"/>
      <c r="Y88" s="351"/>
      <c r="Z88" s="449">
        <f t="shared" si="21"/>
        <v>1</v>
      </c>
      <c r="AA88" s="350"/>
      <c r="AB88" s="350"/>
      <c r="AC88" s="352">
        <f t="shared" si="594"/>
        <v>0</v>
      </c>
      <c r="AD88" s="352">
        <f t="shared" si="595"/>
        <v>0</v>
      </c>
      <c r="AE88" s="352">
        <f t="shared" si="596"/>
        <v>0</v>
      </c>
      <c r="AF88" s="352">
        <f t="shared" si="597"/>
        <v>0</v>
      </c>
      <c r="AG88" s="352">
        <f t="shared" si="598"/>
        <v>0</v>
      </c>
      <c r="AH88" s="352">
        <f t="shared" si="599"/>
        <v>0</v>
      </c>
      <c r="AI88" s="352">
        <f t="shared" si="600"/>
        <v>0</v>
      </c>
      <c r="AJ88" s="447">
        <f t="shared" si="601"/>
        <v>0</v>
      </c>
      <c r="AK88" s="447">
        <f t="shared" si="602"/>
        <v>7848.12</v>
      </c>
      <c r="AL88" s="352">
        <f t="shared" si="603"/>
        <v>0</v>
      </c>
      <c r="AM88" s="447">
        <f t="shared" si="604"/>
        <v>0</v>
      </c>
      <c r="AN88" s="352">
        <f t="shared" si="605"/>
        <v>0</v>
      </c>
      <c r="AO88" s="352">
        <f t="shared" si="606"/>
        <v>0</v>
      </c>
      <c r="AP88" s="352">
        <f t="shared" si="607"/>
        <v>0</v>
      </c>
      <c r="AQ88" s="352">
        <f t="shared" si="608"/>
        <v>0</v>
      </c>
      <c r="AR88" s="352">
        <f t="shared" si="591"/>
        <v>0</v>
      </c>
      <c r="AS88" s="352">
        <f t="shared" si="14"/>
        <v>0</v>
      </c>
      <c r="AT88" s="352">
        <f t="shared" si="15"/>
        <v>0</v>
      </c>
      <c r="AU88" s="352">
        <f t="shared" si="16"/>
        <v>0</v>
      </c>
      <c r="AV88" s="352"/>
      <c r="AW88" s="352"/>
      <c r="AX88" s="352">
        <f t="shared" si="609"/>
        <v>0</v>
      </c>
      <c r="AY88" s="352">
        <f t="shared" si="609"/>
        <v>0</v>
      </c>
      <c r="AZ88" s="352">
        <f t="shared" si="609"/>
        <v>0</v>
      </c>
      <c r="BA88" s="352">
        <f t="shared" si="609"/>
        <v>0</v>
      </c>
      <c r="BB88" s="352">
        <f t="shared" si="609"/>
        <v>0</v>
      </c>
      <c r="BC88" s="352">
        <f t="shared" si="609"/>
        <v>0</v>
      </c>
      <c r="BD88" s="352">
        <f t="shared" si="609"/>
        <v>0</v>
      </c>
      <c r="BE88" s="447">
        <f t="shared" si="609"/>
        <v>7848.12</v>
      </c>
      <c r="BF88" s="447">
        <f t="shared" si="609"/>
        <v>0</v>
      </c>
      <c r="BG88" s="352">
        <f t="shared" si="609"/>
        <v>0</v>
      </c>
      <c r="BH88" s="352">
        <f t="shared" si="609"/>
        <v>0</v>
      </c>
      <c r="BI88" s="352">
        <f t="shared" si="609"/>
        <v>0</v>
      </c>
      <c r="BJ88" s="352">
        <f t="shared" si="609"/>
        <v>0</v>
      </c>
      <c r="BK88" s="352">
        <f t="shared" si="609"/>
        <v>0</v>
      </c>
      <c r="BL88" s="352">
        <f t="shared" si="609"/>
        <v>0</v>
      </c>
      <c r="BM88" s="352">
        <f t="shared" si="609"/>
        <v>0</v>
      </c>
      <c r="BN88" s="352">
        <f t="shared" si="593"/>
        <v>0</v>
      </c>
      <c r="BO88" s="352">
        <f t="shared" si="593"/>
        <v>0</v>
      </c>
      <c r="BP88" s="352">
        <f t="shared" si="593"/>
        <v>0</v>
      </c>
      <c r="BQ88" s="352">
        <f t="shared" si="593"/>
        <v>0</v>
      </c>
      <c r="BR88" s="376">
        <f t="shared" si="20"/>
        <v>0</v>
      </c>
    </row>
    <row r="89" spans="1:70" s="240" customFormat="1" ht="14.45" customHeight="1" x14ac:dyDescent="0.25">
      <c r="A89" s="240" t="s">
        <v>139</v>
      </c>
      <c r="B89" s="458"/>
      <c r="C89" s="350"/>
      <c r="D89" s="447">
        <v>203.63</v>
      </c>
      <c r="E89" s="350" t="s">
        <v>216</v>
      </c>
      <c r="F89" s="450"/>
      <c r="G89" s="450"/>
      <c r="H89" s="450"/>
      <c r="I89" s="450"/>
      <c r="J89" s="450"/>
      <c r="K89" s="351"/>
      <c r="L89" s="351">
        <v>0</v>
      </c>
      <c r="M89" s="351">
        <v>1</v>
      </c>
      <c r="N89" s="450"/>
      <c r="O89" s="450"/>
      <c r="P89" s="450"/>
      <c r="Q89" s="351">
        <v>0</v>
      </c>
      <c r="R89" s="351">
        <v>0</v>
      </c>
      <c r="S89" s="351">
        <v>0</v>
      </c>
      <c r="T89" s="351">
        <v>0</v>
      </c>
      <c r="U89" s="351"/>
      <c r="V89" s="351"/>
      <c r="W89" s="351"/>
      <c r="X89" s="351"/>
      <c r="Y89" s="351"/>
      <c r="Z89" s="449">
        <f>SUM(F89:X89)</f>
        <v>1</v>
      </c>
      <c r="AA89" s="350"/>
      <c r="AB89" s="350"/>
      <c r="AC89" s="352">
        <f t="shared" ref="AC89:AL97" si="610">F89*$D89</f>
        <v>0</v>
      </c>
      <c r="AD89" s="352">
        <f t="shared" si="610"/>
        <v>0</v>
      </c>
      <c r="AE89" s="352">
        <f t="shared" si="610"/>
        <v>0</v>
      </c>
      <c r="AF89" s="352">
        <f t="shared" si="610"/>
        <v>0</v>
      </c>
      <c r="AG89" s="352">
        <f t="shared" si="610"/>
        <v>0</v>
      </c>
      <c r="AH89" s="447">
        <f t="shared" si="610"/>
        <v>0</v>
      </c>
      <c r="AI89" s="352">
        <f t="shared" si="610"/>
        <v>0</v>
      </c>
      <c r="AJ89" s="447">
        <f t="shared" si="610"/>
        <v>203.63</v>
      </c>
      <c r="AK89" s="352">
        <f t="shared" si="610"/>
        <v>0</v>
      </c>
      <c r="AL89" s="352">
        <f t="shared" si="610"/>
        <v>0</v>
      </c>
      <c r="AM89" s="447">
        <f t="shared" ref="AM89:AU97" si="611">P89*$D89</f>
        <v>0</v>
      </c>
      <c r="AN89" s="352">
        <f t="shared" si="611"/>
        <v>0</v>
      </c>
      <c r="AO89" s="352">
        <f t="shared" si="611"/>
        <v>0</v>
      </c>
      <c r="AP89" s="352">
        <f t="shared" si="611"/>
        <v>0</v>
      </c>
      <c r="AQ89" s="352">
        <f t="shared" si="611"/>
        <v>0</v>
      </c>
      <c r="AR89" s="352">
        <f t="shared" si="611"/>
        <v>0</v>
      </c>
      <c r="AS89" s="352">
        <f t="shared" si="611"/>
        <v>0</v>
      </c>
      <c r="AT89" s="352">
        <f t="shared" si="611"/>
        <v>0</v>
      </c>
      <c r="AU89" s="352">
        <f t="shared" si="611"/>
        <v>0</v>
      </c>
      <c r="AV89" s="352"/>
      <c r="AW89" s="352"/>
      <c r="AX89" s="352">
        <f t="shared" ref="AX89:BG97" si="612">IF(AX$3=$E89,$D89,0)</f>
        <v>0</v>
      </c>
      <c r="AY89" s="352">
        <f t="shared" si="612"/>
        <v>0</v>
      </c>
      <c r="AZ89" s="352">
        <f t="shared" si="612"/>
        <v>0</v>
      </c>
      <c r="BA89" s="352">
        <f t="shared" si="612"/>
        <v>0</v>
      </c>
      <c r="BB89" s="352">
        <f t="shared" si="612"/>
        <v>0</v>
      </c>
      <c r="BC89" s="352">
        <f t="shared" si="612"/>
        <v>0</v>
      </c>
      <c r="BD89" s="352">
        <f t="shared" si="612"/>
        <v>0</v>
      </c>
      <c r="BE89" s="352">
        <f t="shared" si="612"/>
        <v>203.63</v>
      </c>
      <c r="BF89" s="352">
        <f t="shared" si="612"/>
        <v>0</v>
      </c>
      <c r="BG89" s="352">
        <f t="shared" si="612"/>
        <v>0</v>
      </c>
      <c r="BH89" s="352">
        <f t="shared" ref="BH89:BQ97" si="613">IF(BH$3=$E89,$D89,0)</f>
        <v>0</v>
      </c>
      <c r="BI89" s="352">
        <f t="shared" si="613"/>
        <v>0</v>
      </c>
      <c r="BJ89" s="352">
        <f t="shared" si="613"/>
        <v>0</v>
      </c>
      <c r="BK89" s="352">
        <f t="shared" si="613"/>
        <v>0</v>
      </c>
      <c r="BL89" s="352">
        <f t="shared" si="613"/>
        <v>0</v>
      </c>
      <c r="BM89" s="352">
        <f t="shared" si="613"/>
        <v>0</v>
      </c>
      <c r="BN89" s="352">
        <f t="shared" si="613"/>
        <v>0</v>
      </c>
      <c r="BO89" s="352">
        <f t="shared" si="613"/>
        <v>0</v>
      </c>
      <c r="BP89" s="352">
        <f t="shared" si="613"/>
        <v>0</v>
      </c>
      <c r="BQ89" s="352">
        <f t="shared" si="613"/>
        <v>0</v>
      </c>
      <c r="BR89" s="376">
        <f t="shared" si="20"/>
        <v>0</v>
      </c>
    </row>
    <row r="90" spans="1:70" s="240" customFormat="1" ht="14.45" customHeight="1" x14ac:dyDescent="0.25">
      <c r="A90" s="240" t="s">
        <v>139</v>
      </c>
      <c r="B90" s="458"/>
      <c r="C90" s="350"/>
      <c r="D90" s="447">
        <v>179.46</v>
      </c>
      <c r="E90" s="350" t="s">
        <v>216</v>
      </c>
      <c r="F90" s="450"/>
      <c r="G90" s="450"/>
      <c r="H90" s="450"/>
      <c r="I90" s="450"/>
      <c r="J90" s="450"/>
      <c r="K90" s="351"/>
      <c r="L90" s="351">
        <v>0</v>
      </c>
      <c r="M90" s="351">
        <v>1</v>
      </c>
      <c r="N90" s="450"/>
      <c r="O90" s="450"/>
      <c r="P90" s="450"/>
      <c r="Q90" s="351">
        <v>0</v>
      </c>
      <c r="R90" s="351">
        <v>0</v>
      </c>
      <c r="S90" s="351">
        <v>0</v>
      </c>
      <c r="T90" s="351">
        <v>0</v>
      </c>
      <c r="U90" s="351"/>
      <c r="V90" s="351"/>
      <c r="W90" s="351"/>
      <c r="X90" s="351"/>
      <c r="Y90" s="351"/>
      <c r="Z90" s="449">
        <f>SUM(F90:X90)</f>
        <v>1</v>
      </c>
      <c r="AA90" s="350"/>
      <c r="AB90" s="350"/>
      <c r="AC90" s="352">
        <f t="shared" si="610"/>
        <v>0</v>
      </c>
      <c r="AD90" s="352">
        <f t="shared" si="610"/>
        <v>0</v>
      </c>
      <c r="AE90" s="352">
        <f t="shared" si="610"/>
        <v>0</v>
      </c>
      <c r="AF90" s="352">
        <f t="shared" si="610"/>
        <v>0</v>
      </c>
      <c r="AG90" s="352">
        <f t="shared" si="610"/>
        <v>0</v>
      </c>
      <c r="AH90" s="447">
        <f t="shared" si="610"/>
        <v>0</v>
      </c>
      <c r="AI90" s="352">
        <f t="shared" si="610"/>
        <v>0</v>
      </c>
      <c r="AJ90" s="447">
        <f t="shared" si="610"/>
        <v>179.46</v>
      </c>
      <c r="AK90" s="352">
        <f t="shared" si="610"/>
        <v>0</v>
      </c>
      <c r="AL90" s="352">
        <f t="shared" si="610"/>
        <v>0</v>
      </c>
      <c r="AM90" s="447">
        <f t="shared" si="611"/>
        <v>0</v>
      </c>
      <c r="AN90" s="352">
        <f t="shared" si="611"/>
        <v>0</v>
      </c>
      <c r="AO90" s="352">
        <f t="shared" si="611"/>
        <v>0</v>
      </c>
      <c r="AP90" s="352">
        <f t="shared" si="611"/>
        <v>0</v>
      </c>
      <c r="AQ90" s="352">
        <f t="shared" si="611"/>
        <v>0</v>
      </c>
      <c r="AR90" s="352">
        <f t="shared" si="611"/>
        <v>0</v>
      </c>
      <c r="AS90" s="352">
        <f t="shared" si="611"/>
        <v>0</v>
      </c>
      <c r="AT90" s="352">
        <f t="shared" si="611"/>
        <v>0</v>
      </c>
      <c r="AU90" s="352">
        <f t="shared" si="611"/>
        <v>0</v>
      </c>
      <c r="AV90" s="352"/>
      <c r="AW90" s="352"/>
      <c r="AX90" s="352">
        <f t="shared" si="612"/>
        <v>0</v>
      </c>
      <c r="AY90" s="352">
        <f t="shared" si="612"/>
        <v>0</v>
      </c>
      <c r="AZ90" s="352">
        <f t="shared" si="612"/>
        <v>0</v>
      </c>
      <c r="BA90" s="352">
        <f t="shared" si="612"/>
        <v>0</v>
      </c>
      <c r="BB90" s="352">
        <f t="shared" si="612"/>
        <v>0</v>
      </c>
      <c r="BC90" s="352">
        <f t="shared" si="612"/>
        <v>0</v>
      </c>
      <c r="BD90" s="352">
        <f t="shared" si="612"/>
        <v>0</v>
      </c>
      <c r="BE90" s="352">
        <f t="shared" si="612"/>
        <v>179.46</v>
      </c>
      <c r="BF90" s="352">
        <f t="shared" si="612"/>
        <v>0</v>
      </c>
      <c r="BG90" s="352">
        <f t="shared" si="612"/>
        <v>0</v>
      </c>
      <c r="BH90" s="352">
        <f t="shared" si="613"/>
        <v>0</v>
      </c>
      <c r="BI90" s="352">
        <f t="shared" si="613"/>
        <v>0</v>
      </c>
      <c r="BJ90" s="352">
        <f t="shared" si="613"/>
        <v>0</v>
      </c>
      <c r="BK90" s="352">
        <f t="shared" si="613"/>
        <v>0</v>
      </c>
      <c r="BL90" s="352">
        <f t="shared" si="613"/>
        <v>0</v>
      </c>
      <c r="BM90" s="352">
        <f t="shared" si="613"/>
        <v>0</v>
      </c>
      <c r="BN90" s="352">
        <f t="shared" si="613"/>
        <v>0</v>
      </c>
      <c r="BO90" s="352">
        <f t="shared" si="613"/>
        <v>0</v>
      </c>
      <c r="BP90" s="352">
        <f t="shared" si="613"/>
        <v>0</v>
      </c>
      <c r="BQ90" s="352">
        <f t="shared" si="613"/>
        <v>0</v>
      </c>
      <c r="BR90" s="376">
        <f t="shared" ref="BR90:BR177" si="614">SUM(AC90:AV90)-SUM(AX90:BQ90)</f>
        <v>0</v>
      </c>
    </row>
    <row r="91" spans="1:70" s="240" customFormat="1" ht="14.45" customHeight="1" x14ac:dyDescent="0.25">
      <c r="A91" s="240" t="s">
        <v>136</v>
      </c>
      <c r="B91" s="458"/>
      <c r="C91" s="350"/>
      <c r="D91" s="447">
        <v>28000</v>
      </c>
      <c r="E91" s="350" t="s">
        <v>238</v>
      </c>
      <c r="F91" s="450"/>
      <c r="G91" s="450"/>
      <c r="H91" s="450"/>
      <c r="I91" s="450"/>
      <c r="J91" s="450"/>
      <c r="K91" s="450"/>
      <c r="L91" s="351">
        <v>0</v>
      </c>
      <c r="M91" s="351">
        <v>0</v>
      </c>
      <c r="N91" s="351">
        <v>0</v>
      </c>
      <c r="O91" s="351">
        <v>0</v>
      </c>
      <c r="P91" s="351">
        <v>1</v>
      </c>
      <c r="Q91" s="450"/>
      <c r="R91" s="450"/>
      <c r="S91" s="450"/>
      <c r="T91" s="450"/>
      <c r="U91" s="450"/>
      <c r="V91" s="450"/>
      <c r="W91" s="450"/>
      <c r="X91" s="450"/>
      <c r="Y91" s="450"/>
      <c r="Z91" s="449">
        <f>SUM(F91:X91)</f>
        <v>1</v>
      </c>
      <c r="AA91" s="350"/>
      <c r="AB91" s="350"/>
      <c r="AC91" s="352">
        <f t="shared" si="610"/>
        <v>0</v>
      </c>
      <c r="AD91" s="352">
        <f t="shared" si="610"/>
        <v>0</v>
      </c>
      <c r="AE91" s="352">
        <f t="shared" si="610"/>
        <v>0</v>
      </c>
      <c r="AF91" s="352">
        <f t="shared" si="610"/>
        <v>0</v>
      </c>
      <c r="AG91" s="352">
        <f t="shared" si="610"/>
        <v>0</v>
      </c>
      <c r="AH91" s="447">
        <f t="shared" si="610"/>
        <v>0</v>
      </c>
      <c r="AI91" s="352">
        <f t="shared" si="610"/>
        <v>0</v>
      </c>
      <c r="AJ91" s="447">
        <f t="shared" si="610"/>
        <v>0</v>
      </c>
      <c r="AK91" s="447">
        <f t="shared" si="610"/>
        <v>0</v>
      </c>
      <c r="AL91" s="352">
        <f t="shared" si="610"/>
        <v>0</v>
      </c>
      <c r="AM91" s="447">
        <f t="shared" si="611"/>
        <v>28000</v>
      </c>
      <c r="AN91" s="352">
        <f t="shared" si="611"/>
        <v>0</v>
      </c>
      <c r="AO91" s="352">
        <f t="shared" si="611"/>
        <v>0</v>
      </c>
      <c r="AP91" s="352">
        <f t="shared" si="611"/>
        <v>0</v>
      </c>
      <c r="AQ91" s="352">
        <f t="shared" si="611"/>
        <v>0</v>
      </c>
      <c r="AR91" s="352">
        <f t="shared" si="611"/>
        <v>0</v>
      </c>
      <c r="AS91" s="352">
        <f t="shared" si="611"/>
        <v>0</v>
      </c>
      <c r="AT91" s="352">
        <f t="shared" si="611"/>
        <v>0</v>
      </c>
      <c r="AU91" s="352">
        <f t="shared" si="611"/>
        <v>0</v>
      </c>
      <c r="AV91" s="352"/>
      <c r="AW91" s="352"/>
      <c r="AX91" s="352">
        <f t="shared" si="612"/>
        <v>0</v>
      </c>
      <c r="AY91" s="352">
        <f t="shared" si="612"/>
        <v>0</v>
      </c>
      <c r="AZ91" s="352">
        <f t="shared" si="612"/>
        <v>0</v>
      </c>
      <c r="BA91" s="352">
        <f t="shared" si="612"/>
        <v>0</v>
      </c>
      <c r="BB91" s="352">
        <f t="shared" si="612"/>
        <v>0</v>
      </c>
      <c r="BC91" s="352">
        <f t="shared" si="612"/>
        <v>0</v>
      </c>
      <c r="BD91" s="352">
        <f t="shared" si="612"/>
        <v>0</v>
      </c>
      <c r="BE91" s="352">
        <f t="shared" si="612"/>
        <v>0</v>
      </c>
      <c r="BF91" s="447">
        <f t="shared" si="612"/>
        <v>28000</v>
      </c>
      <c r="BG91" s="352">
        <f t="shared" si="612"/>
        <v>0</v>
      </c>
      <c r="BH91" s="352">
        <f t="shared" si="613"/>
        <v>0</v>
      </c>
      <c r="BI91" s="352">
        <f t="shared" si="613"/>
        <v>0</v>
      </c>
      <c r="BJ91" s="352">
        <f t="shared" si="613"/>
        <v>0</v>
      </c>
      <c r="BK91" s="352">
        <f t="shared" si="613"/>
        <v>0</v>
      </c>
      <c r="BL91" s="352">
        <f t="shared" si="613"/>
        <v>0</v>
      </c>
      <c r="BM91" s="352">
        <f t="shared" si="613"/>
        <v>0</v>
      </c>
      <c r="BN91" s="352">
        <f t="shared" si="613"/>
        <v>0</v>
      </c>
      <c r="BO91" s="352">
        <f t="shared" si="613"/>
        <v>0</v>
      </c>
      <c r="BP91" s="352">
        <f t="shared" si="613"/>
        <v>0</v>
      </c>
      <c r="BQ91" s="352">
        <f t="shared" si="613"/>
        <v>0</v>
      </c>
      <c r="BR91" s="376">
        <f t="shared" si="614"/>
        <v>0</v>
      </c>
    </row>
    <row r="92" spans="1:70" s="240" customFormat="1" ht="14.45" customHeight="1" x14ac:dyDescent="0.25">
      <c r="A92" s="240" t="s">
        <v>139</v>
      </c>
      <c r="B92" s="458"/>
      <c r="C92" s="350"/>
      <c r="D92" s="447">
        <f>6000-3990.93</f>
        <v>2009.0700000000002</v>
      </c>
      <c r="E92" s="350" t="s">
        <v>238</v>
      </c>
      <c r="F92" s="450"/>
      <c r="G92" s="450"/>
      <c r="H92" s="450"/>
      <c r="I92" s="450"/>
      <c r="J92" s="450"/>
      <c r="K92" s="351"/>
      <c r="L92" s="351">
        <v>0</v>
      </c>
      <c r="M92" s="351">
        <v>0</v>
      </c>
      <c r="N92" s="351">
        <v>0.42582886609227155</v>
      </c>
      <c r="O92" s="351">
        <v>0.57417113390772845</v>
      </c>
      <c r="P92" s="351">
        <f>1-N92-O92</f>
        <v>0</v>
      </c>
      <c r="Q92" s="351"/>
      <c r="R92" s="351">
        <v>0</v>
      </c>
      <c r="S92" s="351">
        <v>0</v>
      </c>
      <c r="T92" s="351">
        <v>0</v>
      </c>
      <c r="U92" s="351"/>
      <c r="V92" s="351"/>
      <c r="W92" s="351"/>
      <c r="X92" s="351"/>
      <c r="Y92" s="351"/>
      <c r="Z92" s="449">
        <f t="shared" ref="Z92" si="615">SUM(F92:X92)</f>
        <v>1</v>
      </c>
      <c r="AA92" s="350"/>
      <c r="AB92" s="350"/>
      <c r="AC92" s="352">
        <f t="shared" si="610"/>
        <v>0</v>
      </c>
      <c r="AD92" s="352">
        <f t="shared" si="610"/>
        <v>0</v>
      </c>
      <c r="AE92" s="352">
        <f t="shared" si="610"/>
        <v>0</v>
      </c>
      <c r="AF92" s="352">
        <f t="shared" si="610"/>
        <v>0</v>
      </c>
      <c r="AG92" s="352">
        <f t="shared" si="610"/>
        <v>0</v>
      </c>
      <c r="AH92" s="447">
        <f t="shared" si="610"/>
        <v>0</v>
      </c>
      <c r="AI92" s="352">
        <f t="shared" si="610"/>
        <v>0</v>
      </c>
      <c r="AJ92" s="447">
        <f t="shared" si="610"/>
        <v>0</v>
      </c>
      <c r="AK92" s="447">
        <f t="shared" si="610"/>
        <v>855.5200000000001</v>
      </c>
      <c r="AL92" s="447">
        <f t="shared" si="610"/>
        <v>1153.5500000000002</v>
      </c>
      <c r="AM92" s="447">
        <f t="shared" si="611"/>
        <v>0</v>
      </c>
      <c r="AN92" s="352">
        <f t="shared" si="611"/>
        <v>0</v>
      </c>
      <c r="AO92" s="352">
        <f t="shared" si="611"/>
        <v>0</v>
      </c>
      <c r="AP92" s="352">
        <f t="shared" si="611"/>
        <v>0</v>
      </c>
      <c r="AQ92" s="352">
        <f t="shared" si="611"/>
        <v>0</v>
      </c>
      <c r="AR92" s="352">
        <f t="shared" si="611"/>
        <v>0</v>
      </c>
      <c r="AS92" s="352">
        <f t="shared" si="611"/>
        <v>0</v>
      </c>
      <c r="AT92" s="352">
        <f t="shared" si="611"/>
        <v>0</v>
      </c>
      <c r="AU92" s="352">
        <f t="shared" si="611"/>
        <v>0</v>
      </c>
      <c r="AV92" s="352"/>
      <c r="AW92" s="352"/>
      <c r="AX92" s="352">
        <f t="shared" si="612"/>
        <v>0</v>
      </c>
      <c r="AY92" s="352">
        <f t="shared" si="612"/>
        <v>0</v>
      </c>
      <c r="AZ92" s="352">
        <f t="shared" si="612"/>
        <v>0</v>
      </c>
      <c r="BA92" s="352">
        <f t="shared" si="612"/>
        <v>0</v>
      </c>
      <c r="BB92" s="352">
        <f t="shared" si="612"/>
        <v>0</v>
      </c>
      <c r="BC92" s="352">
        <f t="shared" si="612"/>
        <v>0</v>
      </c>
      <c r="BD92" s="352">
        <f t="shared" si="612"/>
        <v>0</v>
      </c>
      <c r="BE92" s="352">
        <f t="shared" si="612"/>
        <v>0</v>
      </c>
      <c r="BF92" s="352">
        <f t="shared" si="612"/>
        <v>2009.0700000000002</v>
      </c>
      <c r="BG92" s="352">
        <f t="shared" si="612"/>
        <v>0</v>
      </c>
      <c r="BH92" s="352">
        <f t="shared" si="613"/>
        <v>0</v>
      </c>
      <c r="BI92" s="352">
        <f t="shared" si="613"/>
        <v>0</v>
      </c>
      <c r="BJ92" s="352">
        <f t="shared" si="613"/>
        <v>0</v>
      </c>
      <c r="BK92" s="352">
        <f t="shared" si="613"/>
        <v>0</v>
      </c>
      <c r="BL92" s="352">
        <f t="shared" si="613"/>
        <v>0</v>
      </c>
      <c r="BM92" s="352">
        <f t="shared" si="613"/>
        <v>0</v>
      </c>
      <c r="BN92" s="352">
        <f t="shared" si="613"/>
        <v>0</v>
      </c>
      <c r="BO92" s="352">
        <f t="shared" si="613"/>
        <v>0</v>
      </c>
      <c r="BP92" s="352">
        <f t="shared" si="613"/>
        <v>0</v>
      </c>
      <c r="BQ92" s="352">
        <f t="shared" si="613"/>
        <v>0</v>
      </c>
      <c r="BR92" s="376">
        <f t="shared" si="614"/>
        <v>0</v>
      </c>
    </row>
    <row r="93" spans="1:70" s="240" customFormat="1" ht="14.45" customHeight="1" x14ac:dyDescent="0.25">
      <c r="A93" s="240" t="s">
        <v>139</v>
      </c>
      <c r="B93" s="458"/>
      <c r="C93" s="350"/>
      <c r="D93" s="447">
        <f>535.18-28.08</f>
        <v>507.09999999999997</v>
      </c>
      <c r="E93" s="350" t="s">
        <v>238</v>
      </c>
      <c r="F93" s="450"/>
      <c r="G93" s="450"/>
      <c r="H93" s="450"/>
      <c r="I93" s="450"/>
      <c r="J93" s="450"/>
      <c r="K93" s="351"/>
      <c r="L93" s="351">
        <v>0</v>
      </c>
      <c r="M93" s="351">
        <v>0</v>
      </c>
      <c r="N93" s="351">
        <v>1</v>
      </c>
      <c r="O93" s="450"/>
      <c r="P93" s="450"/>
      <c r="Q93" s="351">
        <v>0</v>
      </c>
      <c r="R93" s="351">
        <v>0</v>
      </c>
      <c r="S93" s="351">
        <v>0</v>
      </c>
      <c r="T93" s="351">
        <v>0</v>
      </c>
      <c r="U93" s="351"/>
      <c r="V93" s="351"/>
      <c r="W93" s="351"/>
      <c r="X93" s="351"/>
      <c r="Y93" s="351"/>
      <c r="Z93" s="449">
        <f t="shared" ref="Z93" si="616">SUM(F93:X93)</f>
        <v>1</v>
      </c>
      <c r="AA93" s="350"/>
      <c r="AB93" s="350"/>
      <c r="AC93" s="352">
        <f t="shared" si="610"/>
        <v>0</v>
      </c>
      <c r="AD93" s="352">
        <f t="shared" si="610"/>
        <v>0</v>
      </c>
      <c r="AE93" s="352">
        <f t="shared" si="610"/>
        <v>0</v>
      </c>
      <c r="AF93" s="352">
        <f t="shared" si="610"/>
        <v>0</v>
      </c>
      <c r="AG93" s="352">
        <f t="shared" si="610"/>
        <v>0</v>
      </c>
      <c r="AH93" s="447">
        <f t="shared" si="610"/>
        <v>0</v>
      </c>
      <c r="AI93" s="352">
        <f t="shared" si="610"/>
        <v>0</v>
      </c>
      <c r="AJ93" s="447">
        <f t="shared" si="610"/>
        <v>0</v>
      </c>
      <c r="AK93" s="447">
        <f t="shared" si="610"/>
        <v>507.09999999999997</v>
      </c>
      <c r="AL93" s="352">
        <f t="shared" si="610"/>
        <v>0</v>
      </c>
      <c r="AM93" s="447">
        <f t="shared" si="611"/>
        <v>0</v>
      </c>
      <c r="AN93" s="352">
        <f t="shared" si="611"/>
        <v>0</v>
      </c>
      <c r="AO93" s="352">
        <f t="shared" si="611"/>
        <v>0</v>
      </c>
      <c r="AP93" s="352">
        <f t="shared" si="611"/>
        <v>0</v>
      </c>
      <c r="AQ93" s="352">
        <f t="shared" si="611"/>
        <v>0</v>
      </c>
      <c r="AR93" s="352">
        <f t="shared" si="611"/>
        <v>0</v>
      </c>
      <c r="AS93" s="352">
        <f t="shared" si="611"/>
        <v>0</v>
      </c>
      <c r="AT93" s="352">
        <f t="shared" si="611"/>
        <v>0</v>
      </c>
      <c r="AU93" s="352">
        <f t="shared" si="611"/>
        <v>0</v>
      </c>
      <c r="AV93" s="352"/>
      <c r="AW93" s="352"/>
      <c r="AX93" s="352">
        <f t="shared" si="612"/>
        <v>0</v>
      </c>
      <c r="AY93" s="352">
        <f t="shared" si="612"/>
        <v>0</v>
      </c>
      <c r="AZ93" s="352">
        <f t="shared" si="612"/>
        <v>0</v>
      </c>
      <c r="BA93" s="352">
        <f t="shared" si="612"/>
        <v>0</v>
      </c>
      <c r="BB93" s="352">
        <f t="shared" si="612"/>
        <v>0</v>
      </c>
      <c r="BC93" s="352">
        <f t="shared" si="612"/>
        <v>0</v>
      </c>
      <c r="BD93" s="352">
        <f t="shared" si="612"/>
        <v>0</v>
      </c>
      <c r="BE93" s="352">
        <f t="shared" si="612"/>
        <v>0</v>
      </c>
      <c r="BF93" s="447">
        <f t="shared" si="612"/>
        <v>507.09999999999997</v>
      </c>
      <c r="BG93" s="352">
        <f t="shared" si="612"/>
        <v>0</v>
      </c>
      <c r="BH93" s="352">
        <f t="shared" si="613"/>
        <v>0</v>
      </c>
      <c r="BI93" s="352">
        <f t="shared" si="613"/>
        <v>0</v>
      </c>
      <c r="BJ93" s="352">
        <f t="shared" si="613"/>
        <v>0</v>
      </c>
      <c r="BK93" s="352">
        <f t="shared" si="613"/>
        <v>0</v>
      </c>
      <c r="BL93" s="352">
        <f t="shared" si="613"/>
        <v>0</v>
      </c>
      <c r="BM93" s="352">
        <f t="shared" si="613"/>
        <v>0</v>
      </c>
      <c r="BN93" s="352">
        <f t="shared" si="613"/>
        <v>0</v>
      </c>
      <c r="BO93" s="352">
        <f t="shared" si="613"/>
        <v>0</v>
      </c>
      <c r="BP93" s="352">
        <f t="shared" si="613"/>
        <v>0</v>
      </c>
      <c r="BQ93" s="352">
        <f t="shared" si="613"/>
        <v>0</v>
      </c>
      <c r="BR93" s="376">
        <f t="shared" si="614"/>
        <v>0</v>
      </c>
    </row>
    <row r="94" spans="1:70" s="240" customFormat="1" ht="14.45" customHeight="1" x14ac:dyDescent="0.25">
      <c r="A94" s="240" t="s">
        <v>136</v>
      </c>
      <c r="B94" s="458"/>
      <c r="C94" s="350"/>
      <c r="D94" s="447">
        <v>56.05</v>
      </c>
      <c r="E94" s="350" t="s">
        <v>238</v>
      </c>
      <c r="F94" s="450"/>
      <c r="G94" s="450"/>
      <c r="H94" s="450"/>
      <c r="I94" s="450"/>
      <c r="J94" s="450"/>
      <c r="K94" s="351"/>
      <c r="L94" s="351">
        <v>0</v>
      </c>
      <c r="M94" s="351">
        <v>0</v>
      </c>
      <c r="N94" s="351">
        <v>1</v>
      </c>
      <c r="O94" s="450"/>
      <c r="P94" s="450"/>
      <c r="Q94" s="351">
        <v>0</v>
      </c>
      <c r="R94" s="351">
        <v>0</v>
      </c>
      <c r="S94" s="351">
        <v>0</v>
      </c>
      <c r="T94" s="351">
        <v>0</v>
      </c>
      <c r="U94" s="351"/>
      <c r="V94" s="351"/>
      <c r="W94" s="351"/>
      <c r="X94" s="351"/>
      <c r="Y94" s="351"/>
      <c r="Z94" s="449">
        <f t="shared" ref="Z94" si="617">SUM(F94:X94)</f>
        <v>1</v>
      </c>
      <c r="AA94" s="350"/>
      <c r="AB94" s="350"/>
      <c r="AC94" s="352">
        <f t="shared" ref="AC94" si="618">F94*$D94</f>
        <v>0</v>
      </c>
      <c r="AD94" s="352">
        <f t="shared" ref="AD94" si="619">G94*$D94</f>
        <v>0</v>
      </c>
      <c r="AE94" s="352">
        <f t="shared" ref="AE94" si="620">H94*$D94</f>
        <v>0</v>
      </c>
      <c r="AF94" s="352">
        <f t="shared" ref="AF94" si="621">I94*$D94</f>
        <v>0</v>
      </c>
      <c r="AG94" s="352">
        <f t="shared" ref="AG94" si="622">J94*$D94</f>
        <v>0</v>
      </c>
      <c r="AH94" s="447">
        <f t="shared" ref="AH94" si="623">K94*$D94</f>
        <v>0</v>
      </c>
      <c r="AI94" s="352">
        <f t="shared" ref="AI94" si="624">L94*$D94</f>
        <v>0</v>
      </c>
      <c r="AJ94" s="447">
        <f t="shared" ref="AJ94" si="625">M94*$D94</f>
        <v>0</v>
      </c>
      <c r="AK94" s="447">
        <f t="shared" ref="AK94" si="626">N94*$D94</f>
        <v>56.05</v>
      </c>
      <c r="AL94" s="352">
        <f t="shared" ref="AL94" si="627">O94*$D94</f>
        <v>0</v>
      </c>
      <c r="AM94" s="447">
        <f t="shared" ref="AM94" si="628">P94*$D94</f>
        <v>0</v>
      </c>
      <c r="AN94" s="352">
        <f t="shared" ref="AN94" si="629">Q94*$D94</f>
        <v>0</v>
      </c>
      <c r="AO94" s="352">
        <f t="shared" ref="AO94" si="630">R94*$D94</f>
        <v>0</v>
      </c>
      <c r="AP94" s="352">
        <f t="shared" ref="AP94" si="631">S94*$D94</f>
        <v>0</v>
      </c>
      <c r="AQ94" s="352">
        <f t="shared" ref="AQ94" si="632">T94*$D94</f>
        <v>0</v>
      </c>
      <c r="AR94" s="352">
        <f t="shared" ref="AR94" si="633">U94*$D94</f>
        <v>0</v>
      </c>
      <c r="AS94" s="352">
        <f t="shared" ref="AS94" si="634">V94*$D94</f>
        <v>0</v>
      </c>
      <c r="AT94" s="352">
        <f t="shared" ref="AT94" si="635">W94*$D94</f>
        <v>0</v>
      </c>
      <c r="AU94" s="352">
        <f t="shared" ref="AU94" si="636">X94*$D94</f>
        <v>0</v>
      </c>
      <c r="AV94" s="352"/>
      <c r="AW94" s="352"/>
      <c r="AX94" s="352">
        <f t="shared" si="612"/>
        <v>0</v>
      </c>
      <c r="AY94" s="352">
        <f t="shared" si="612"/>
        <v>0</v>
      </c>
      <c r="AZ94" s="352">
        <f t="shared" si="612"/>
        <v>0</v>
      </c>
      <c r="BA94" s="352">
        <f t="shared" si="612"/>
        <v>0</v>
      </c>
      <c r="BB94" s="352">
        <f t="shared" si="612"/>
        <v>0</v>
      </c>
      <c r="BC94" s="352">
        <f t="shared" si="612"/>
        <v>0</v>
      </c>
      <c r="BD94" s="352">
        <f t="shared" si="612"/>
        <v>0</v>
      </c>
      <c r="BE94" s="352">
        <f t="shared" si="612"/>
        <v>0</v>
      </c>
      <c r="BF94" s="447">
        <f t="shared" si="612"/>
        <v>56.05</v>
      </c>
      <c r="BG94" s="352">
        <f t="shared" si="612"/>
        <v>0</v>
      </c>
      <c r="BH94" s="352">
        <f t="shared" si="613"/>
        <v>0</v>
      </c>
      <c r="BI94" s="352">
        <f t="shared" si="613"/>
        <v>0</v>
      </c>
      <c r="BJ94" s="352">
        <f t="shared" si="613"/>
        <v>0</v>
      </c>
      <c r="BK94" s="352">
        <f t="shared" si="613"/>
        <v>0</v>
      </c>
      <c r="BL94" s="352">
        <f t="shared" si="613"/>
        <v>0</v>
      </c>
      <c r="BM94" s="352">
        <f t="shared" si="613"/>
        <v>0</v>
      </c>
      <c r="BN94" s="352">
        <f t="shared" si="613"/>
        <v>0</v>
      </c>
      <c r="BO94" s="352">
        <f t="shared" si="613"/>
        <v>0</v>
      </c>
      <c r="BP94" s="352">
        <f t="shared" si="613"/>
        <v>0</v>
      </c>
      <c r="BQ94" s="352">
        <f t="shared" si="613"/>
        <v>0</v>
      </c>
      <c r="BR94" s="376">
        <f t="shared" ref="BR94" si="637">SUM(AC94:AV94)-SUM(AX94:BQ94)</f>
        <v>0</v>
      </c>
    </row>
    <row r="95" spans="1:70" s="240" customFormat="1" ht="14.45" customHeight="1" x14ac:dyDescent="0.25">
      <c r="A95" s="240" t="s">
        <v>139</v>
      </c>
      <c r="B95" s="458"/>
      <c r="C95" s="350"/>
      <c r="D95" s="447">
        <v>2713.73</v>
      </c>
      <c r="E95" s="350" t="s">
        <v>237</v>
      </c>
      <c r="F95" s="450"/>
      <c r="G95" s="450"/>
      <c r="H95" s="450"/>
      <c r="I95" s="450"/>
      <c r="J95" s="450"/>
      <c r="K95" s="351"/>
      <c r="L95" s="351">
        <v>0</v>
      </c>
      <c r="M95" s="351">
        <v>0</v>
      </c>
      <c r="N95" s="351">
        <v>0</v>
      </c>
      <c r="O95" s="351">
        <v>1</v>
      </c>
      <c r="P95" s="450"/>
      <c r="Q95" s="351">
        <v>0</v>
      </c>
      <c r="R95" s="351">
        <v>0</v>
      </c>
      <c r="S95" s="351">
        <v>0</v>
      </c>
      <c r="T95" s="351">
        <v>0</v>
      </c>
      <c r="U95" s="351"/>
      <c r="V95" s="351"/>
      <c r="W95" s="351"/>
      <c r="X95" s="351"/>
      <c r="Y95" s="351"/>
      <c r="Z95" s="449">
        <f t="shared" ref="Z95" si="638">SUM(F95:X95)</f>
        <v>1</v>
      </c>
      <c r="AA95" s="350"/>
      <c r="AB95" s="350"/>
      <c r="AC95" s="352">
        <f t="shared" si="610"/>
        <v>0</v>
      </c>
      <c r="AD95" s="352">
        <f t="shared" si="610"/>
        <v>0</v>
      </c>
      <c r="AE95" s="352">
        <f t="shared" si="610"/>
        <v>0</v>
      </c>
      <c r="AF95" s="352">
        <f t="shared" si="610"/>
        <v>0</v>
      </c>
      <c r="AG95" s="352">
        <f t="shared" si="610"/>
        <v>0</v>
      </c>
      <c r="AH95" s="447">
        <f t="shared" si="610"/>
        <v>0</v>
      </c>
      <c r="AI95" s="352">
        <f t="shared" si="610"/>
        <v>0</v>
      </c>
      <c r="AJ95" s="447">
        <f t="shared" si="610"/>
        <v>0</v>
      </c>
      <c r="AK95" s="447">
        <f t="shared" si="610"/>
        <v>0</v>
      </c>
      <c r="AL95" s="352">
        <f t="shared" si="610"/>
        <v>2713.73</v>
      </c>
      <c r="AM95" s="447">
        <f t="shared" si="611"/>
        <v>0</v>
      </c>
      <c r="AN95" s="352">
        <f t="shared" si="611"/>
        <v>0</v>
      </c>
      <c r="AO95" s="352">
        <f t="shared" si="611"/>
        <v>0</v>
      </c>
      <c r="AP95" s="352">
        <f t="shared" si="611"/>
        <v>0</v>
      </c>
      <c r="AQ95" s="352">
        <f t="shared" si="611"/>
        <v>0</v>
      </c>
      <c r="AR95" s="352">
        <f t="shared" si="611"/>
        <v>0</v>
      </c>
      <c r="AS95" s="352">
        <f t="shared" si="611"/>
        <v>0</v>
      </c>
      <c r="AT95" s="352">
        <f t="shared" si="611"/>
        <v>0</v>
      </c>
      <c r="AU95" s="352">
        <f t="shared" si="611"/>
        <v>0</v>
      </c>
      <c r="AV95" s="352"/>
      <c r="AW95" s="352"/>
      <c r="AX95" s="352">
        <f t="shared" si="612"/>
        <v>0</v>
      </c>
      <c r="AY95" s="352">
        <f t="shared" si="612"/>
        <v>0</v>
      </c>
      <c r="AZ95" s="352">
        <f t="shared" si="612"/>
        <v>0</v>
      </c>
      <c r="BA95" s="352">
        <f t="shared" si="612"/>
        <v>0</v>
      </c>
      <c r="BB95" s="352">
        <f t="shared" si="612"/>
        <v>0</v>
      </c>
      <c r="BC95" s="352">
        <f t="shared" si="612"/>
        <v>0</v>
      </c>
      <c r="BD95" s="352">
        <f t="shared" si="612"/>
        <v>0</v>
      </c>
      <c r="BE95" s="352">
        <f t="shared" si="612"/>
        <v>0</v>
      </c>
      <c r="BF95" s="447">
        <f t="shared" si="612"/>
        <v>0</v>
      </c>
      <c r="BG95" s="352">
        <f t="shared" si="612"/>
        <v>2713.73</v>
      </c>
      <c r="BH95" s="352">
        <f t="shared" si="613"/>
        <v>0</v>
      </c>
      <c r="BI95" s="352">
        <f t="shared" si="613"/>
        <v>0</v>
      </c>
      <c r="BJ95" s="352">
        <f t="shared" si="613"/>
        <v>0</v>
      </c>
      <c r="BK95" s="352">
        <f t="shared" si="613"/>
        <v>0</v>
      </c>
      <c r="BL95" s="352">
        <f t="shared" si="613"/>
        <v>0</v>
      </c>
      <c r="BM95" s="352">
        <f t="shared" si="613"/>
        <v>0</v>
      </c>
      <c r="BN95" s="352">
        <f t="shared" si="613"/>
        <v>0</v>
      </c>
      <c r="BO95" s="352">
        <f t="shared" si="613"/>
        <v>0</v>
      </c>
      <c r="BP95" s="352">
        <f t="shared" si="613"/>
        <v>0</v>
      </c>
      <c r="BQ95" s="352">
        <f t="shared" si="613"/>
        <v>0</v>
      </c>
      <c r="BR95" s="376">
        <f t="shared" si="614"/>
        <v>0</v>
      </c>
    </row>
    <row r="96" spans="1:70" s="240" customFormat="1" ht="14.45" customHeight="1" x14ac:dyDescent="0.25">
      <c r="A96" s="240" t="s">
        <v>136</v>
      </c>
      <c r="B96" s="458"/>
      <c r="C96" s="350"/>
      <c r="D96" s="447">
        <v>21980.11</v>
      </c>
      <c r="E96" s="350" t="s">
        <v>255</v>
      </c>
      <c r="F96" s="450"/>
      <c r="G96" s="450"/>
      <c r="H96" s="450"/>
      <c r="I96" s="450"/>
      <c r="J96" s="450"/>
      <c r="K96" s="351"/>
      <c r="L96" s="351">
        <v>0</v>
      </c>
      <c r="M96" s="351">
        <v>0</v>
      </c>
      <c r="N96" s="351">
        <v>0</v>
      </c>
      <c r="O96" s="351">
        <v>0</v>
      </c>
      <c r="P96" s="351">
        <v>0</v>
      </c>
      <c r="Q96" s="351">
        <v>0.50625770298692774</v>
      </c>
      <c r="R96" s="351">
        <v>0</v>
      </c>
      <c r="S96" s="351">
        <v>0.40353528713004622</v>
      </c>
      <c r="T96" s="351">
        <v>9.020700988302606E-2</v>
      </c>
      <c r="U96" s="351">
        <v>0</v>
      </c>
      <c r="V96" s="351">
        <f>1-(Q96+R96+S96+T96+U96)</f>
        <v>0</v>
      </c>
      <c r="W96" s="351"/>
      <c r="X96" s="351"/>
      <c r="Y96" s="351"/>
      <c r="Z96" s="449">
        <f t="shared" ref="Z96" si="639">SUM(F96:X96)</f>
        <v>1</v>
      </c>
      <c r="AA96" s="350"/>
      <c r="AB96" s="350"/>
      <c r="AC96" s="352">
        <f t="shared" si="610"/>
        <v>0</v>
      </c>
      <c r="AD96" s="352">
        <f t="shared" si="610"/>
        <v>0</v>
      </c>
      <c r="AE96" s="352">
        <f t="shared" si="610"/>
        <v>0</v>
      </c>
      <c r="AF96" s="352">
        <f t="shared" si="610"/>
        <v>0</v>
      </c>
      <c r="AG96" s="352">
        <f t="shared" si="610"/>
        <v>0</v>
      </c>
      <c r="AH96" s="447">
        <f t="shared" si="610"/>
        <v>0</v>
      </c>
      <c r="AI96" s="352">
        <f t="shared" si="610"/>
        <v>0</v>
      </c>
      <c r="AJ96" s="447">
        <f t="shared" si="610"/>
        <v>0</v>
      </c>
      <c r="AK96" s="352">
        <f t="shared" si="610"/>
        <v>0</v>
      </c>
      <c r="AL96" s="352">
        <f t="shared" si="610"/>
        <v>0</v>
      </c>
      <c r="AM96" s="447">
        <f t="shared" si="611"/>
        <v>0</v>
      </c>
      <c r="AN96" s="339">
        <f t="shared" si="611"/>
        <v>11127.6</v>
      </c>
      <c r="AO96" s="352">
        <f t="shared" si="611"/>
        <v>0</v>
      </c>
      <c r="AP96" s="339">
        <f t="shared" si="611"/>
        <v>8869.75</v>
      </c>
      <c r="AQ96" s="352">
        <f t="shared" si="611"/>
        <v>1982.76</v>
      </c>
      <c r="AR96" s="352">
        <f t="shared" si="611"/>
        <v>0</v>
      </c>
      <c r="AS96" s="352">
        <f t="shared" si="611"/>
        <v>0</v>
      </c>
      <c r="AT96" s="352">
        <f t="shared" si="611"/>
        <v>0</v>
      </c>
      <c r="AU96" s="352">
        <f t="shared" si="611"/>
        <v>0</v>
      </c>
      <c r="AV96" s="352"/>
      <c r="AW96" s="352"/>
      <c r="AX96" s="352">
        <f t="shared" si="612"/>
        <v>0</v>
      </c>
      <c r="AY96" s="352">
        <f t="shared" si="612"/>
        <v>0</v>
      </c>
      <c r="AZ96" s="352">
        <f t="shared" si="612"/>
        <v>0</v>
      </c>
      <c r="BA96" s="352">
        <f t="shared" si="612"/>
        <v>0</v>
      </c>
      <c r="BB96" s="352">
        <f t="shared" si="612"/>
        <v>0</v>
      </c>
      <c r="BC96" s="352">
        <f t="shared" si="612"/>
        <v>0</v>
      </c>
      <c r="BD96" s="352">
        <f t="shared" si="612"/>
        <v>0</v>
      </c>
      <c r="BE96" s="352">
        <f t="shared" si="612"/>
        <v>0</v>
      </c>
      <c r="BF96" s="352">
        <f t="shared" si="612"/>
        <v>0</v>
      </c>
      <c r="BG96" s="352">
        <f t="shared" si="612"/>
        <v>0</v>
      </c>
      <c r="BH96" s="352">
        <v>50000</v>
      </c>
      <c r="BI96" s="352">
        <f t="shared" si="613"/>
        <v>0</v>
      </c>
      <c r="BJ96" s="352">
        <f t="shared" si="613"/>
        <v>0</v>
      </c>
      <c r="BK96" s="352">
        <f t="shared" si="613"/>
        <v>0</v>
      </c>
      <c r="BL96" s="352">
        <v>-28019.89</v>
      </c>
      <c r="BM96" s="352">
        <f t="shared" si="613"/>
        <v>0</v>
      </c>
      <c r="BN96" s="352">
        <f t="shared" si="613"/>
        <v>0</v>
      </c>
      <c r="BO96" s="352">
        <f t="shared" si="613"/>
        <v>0</v>
      </c>
      <c r="BP96" s="352">
        <f t="shared" si="613"/>
        <v>0</v>
      </c>
      <c r="BQ96" s="352">
        <f t="shared" si="613"/>
        <v>0</v>
      </c>
      <c r="BR96" s="376">
        <f t="shared" si="614"/>
        <v>0</v>
      </c>
    </row>
    <row r="97" spans="1:70" s="240" customFormat="1" ht="14.25" customHeight="1" x14ac:dyDescent="0.25">
      <c r="A97" s="240" t="s">
        <v>136</v>
      </c>
      <c r="B97" s="458"/>
      <c r="C97" s="350"/>
      <c r="D97" s="447">
        <v>12335.19</v>
      </c>
      <c r="E97" s="350" t="s">
        <v>255</v>
      </c>
      <c r="F97" s="450"/>
      <c r="G97" s="450"/>
      <c r="H97" s="450"/>
      <c r="I97" s="450"/>
      <c r="J97" s="450"/>
      <c r="K97" s="351"/>
      <c r="L97" s="351">
        <v>0</v>
      </c>
      <c r="M97" s="351">
        <v>0</v>
      </c>
      <c r="N97" s="351">
        <v>0</v>
      </c>
      <c r="O97" s="351">
        <v>0</v>
      </c>
      <c r="P97" s="351">
        <v>0</v>
      </c>
      <c r="Q97" s="351">
        <v>1</v>
      </c>
      <c r="R97" s="351">
        <v>0</v>
      </c>
      <c r="S97" s="351">
        <v>0</v>
      </c>
      <c r="T97" s="351">
        <v>0</v>
      </c>
      <c r="U97" s="351">
        <v>0</v>
      </c>
      <c r="V97" s="351">
        <v>0</v>
      </c>
      <c r="W97" s="351">
        <v>0</v>
      </c>
      <c r="X97" s="351">
        <v>0</v>
      </c>
      <c r="Y97" s="351"/>
      <c r="Z97" s="449">
        <f t="shared" ref="Z97" si="640">SUM(F97:X97)</f>
        <v>1</v>
      </c>
      <c r="AA97" s="350"/>
      <c r="AB97" s="350"/>
      <c r="AC97" s="352">
        <f t="shared" si="610"/>
        <v>0</v>
      </c>
      <c r="AD97" s="352">
        <f t="shared" si="610"/>
        <v>0</v>
      </c>
      <c r="AE97" s="352">
        <f t="shared" si="610"/>
        <v>0</v>
      </c>
      <c r="AF97" s="352">
        <f t="shared" si="610"/>
        <v>0</v>
      </c>
      <c r="AG97" s="352">
        <f t="shared" si="610"/>
        <v>0</v>
      </c>
      <c r="AH97" s="447">
        <f t="shared" si="610"/>
        <v>0</v>
      </c>
      <c r="AI97" s="352">
        <f t="shared" si="610"/>
        <v>0</v>
      </c>
      <c r="AJ97" s="447">
        <f t="shared" si="610"/>
        <v>0</v>
      </c>
      <c r="AK97" s="352">
        <f t="shared" si="610"/>
        <v>0</v>
      </c>
      <c r="AL97" s="352">
        <f t="shared" si="610"/>
        <v>0</v>
      </c>
      <c r="AM97" s="447">
        <f t="shared" si="611"/>
        <v>0</v>
      </c>
      <c r="AN97" s="339">
        <f t="shared" si="611"/>
        <v>12335.19</v>
      </c>
      <c r="AO97" s="352">
        <f t="shared" si="611"/>
        <v>0</v>
      </c>
      <c r="AP97" s="352">
        <f t="shared" si="611"/>
        <v>0</v>
      </c>
      <c r="AQ97" s="352">
        <f t="shared" si="611"/>
        <v>0</v>
      </c>
      <c r="AR97" s="352">
        <f t="shared" si="611"/>
        <v>0</v>
      </c>
      <c r="AS97" s="352">
        <f t="shared" si="611"/>
        <v>0</v>
      </c>
      <c r="AT97" s="352">
        <f t="shared" si="611"/>
        <v>0</v>
      </c>
      <c r="AU97" s="339">
        <f t="shared" si="611"/>
        <v>0</v>
      </c>
      <c r="AV97" s="352"/>
      <c r="AW97" s="352"/>
      <c r="AX97" s="352">
        <f t="shared" si="612"/>
        <v>0</v>
      </c>
      <c r="AY97" s="352">
        <f t="shared" si="612"/>
        <v>0</v>
      </c>
      <c r="AZ97" s="352">
        <f t="shared" si="612"/>
        <v>0</v>
      </c>
      <c r="BA97" s="352">
        <f t="shared" si="612"/>
        <v>0</v>
      </c>
      <c r="BB97" s="352">
        <f t="shared" si="612"/>
        <v>0</v>
      </c>
      <c r="BC97" s="352">
        <f t="shared" si="612"/>
        <v>0</v>
      </c>
      <c r="BD97" s="352">
        <f t="shared" si="612"/>
        <v>0</v>
      </c>
      <c r="BE97" s="352">
        <f t="shared" si="612"/>
        <v>0</v>
      </c>
      <c r="BF97" s="352">
        <f t="shared" si="612"/>
        <v>0</v>
      </c>
      <c r="BG97" s="352">
        <f t="shared" si="612"/>
        <v>0</v>
      </c>
      <c r="BH97" s="352">
        <v>80000</v>
      </c>
      <c r="BI97" s="352">
        <f t="shared" si="613"/>
        <v>0</v>
      </c>
      <c r="BJ97" s="352">
        <f t="shared" si="613"/>
        <v>0</v>
      </c>
      <c r="BK97" s="352">
        <f t="shared" si="613"/>
        <v>0</v>
      </c>
      <c r="BL97" s="352">
        <v>-67664.81</v>
      </c>
      <c r="BM97" s="352">
        <f t="shared" si="613"/>
        <v>0</v>
      </c>
      <c r="BN97" s="352">
        <f t="shared" si="613"/>
        <v>0</v>
      </c>
      <c r="BO97" s="352">
        <f t="shared" si="613"/>
        <v>0</v>
      </c>
      <c r="BP97" s="352">
        <f t="shared" si="613"/>
        <v>0</v>
      </c>
      <c r="BQ97" s="352">
        <f t="shared" si="613"/>
        <v>0</v>
      </c>
      <c r="BR97" s="376">
        <f t="shared" si="614"/>
        <v>0</v>
      </c>
    </row>
    <row r="98" spans="1:70" s="240" customFormat="1" ht="14.45" customHeight="1" x14ac:dyDescent="0.25">
      <c r="A98" s="240" t="s">
        <v>136</v>
      </c>
      <c r="B98" s="458"/>
      <c r="C98" s="350"/>
      <c r="D98" s="447">
        <v>34717.120000000003</v>
      </c>
      <c r="E98" s="350" t="s">
        <v>257</v>
      </c>
      <c r="F98" s="434"/>
      <c r="G98" s="434"/>
      <c r="H98" s="434"/>
      <c r="I98" s="434">
        <v>0</v>
      </c>
      <c r="J98" s="434">
        <v>0</v>
      </c>
      <c r="K98" s="434">
        <v>0</v>
      </c>
      <c r="L98" s="434">
        <v>0</v>
      </c>
      <c r="M98" s="434">
        <v>0</v>
      </c>
      <c r="N98" s="434">
        <v>0</v>
      </c>
      <c r="O98" s="434">
        <v>0</v>
      </c>
      <c r="P98" s="434">
        <v>0</v>
      </c>
      <c r="Q98" s="434">
        <v>0</v>
      </c>
      <c r="R98" s="434">
        <v>0</v>
      </c>
      <c r="S98" s="434">
        <v>0.17145200984413453</v>
      </c>
      <c r="T98" s="434">
        <v>0.19360131255127153</v>
      </c>
      <c r="U98" s="434">
        <v>0.20016406890894176</v>
      </c>
      <c r="V98" s="434">
        <v>0.21328958162428219</v>
      </c>
      <c r="W98" s="434">
        <v>0.20672682526661196</v>
      </c>
      <c r="X98" s="434">
        <v>1.4766201804758084E-2</v>
      </c>
      <c r="Y98" s="434"/>
      <c r="Z98" s="449">
        <f t="shared" ref="Z98" si="641">SUM(F98:X98)</f>
        <v>1</v>
      </c>
      <c r="AA98" s="350"/>
      <c r="AB98" s="350"/>
      <c r="AC98" s="352">
        <f t="shared" ref="AC98" si="642">F98*$D98</f>
        <v>0</v>
      </c>
      <c r="AD98" s="352">
        <f t="shared" ref="AD98" si="643">G98*$D98</f>
        <v>0</v>
      </c>
      <c r="AE98" s="352">
        <f t="shared" ref="AE98" si="644">H98*$D98</f>
        <v>0</v>
      </c>
      <c r="AF98" s="352">
        <f t="shared" ref="AF98" si="645">I98*$D98</f>
        <v>0</v>
      </c>
      <c r="AG98" s="352">
        <f t="shared" ref="AG98" si="646">J98*$D98</f>
        <v>0</v>
      </c>
      <c r="AH98" s="447">
        <f t="shared" ref="AH98" si="647">K98*$D98</f>
        <v>0</v>
      </c>
      <c r="AI98" s="352">
        <f t="shared" ref="AI98" si="648">L98*$D98</f>
        <v>0</v>
      </c>
      <c r="AJ98" s="447">
        <f t="shared" ref="AJ98" si="649">M98*$D98</f>
        <v>0</v>
      </c>
      <c r="AK98" s="447">
        <f t="shared" ref="AK98" si="650">N98*$D98</f>
        <v>0</v>
      </c>
      <c r="AL98" s="352">
        <f t="shared" ref="AL98" si="651">O98*$D98</f>
        <v>0</v>
      </c>
      <c r="AM98" s="447">
        <f t="shared" ref="AM98" si="652">P98*$D98</f>
        <v>0</v>
      </c>
      <c r="AN98" s="339">
        <f t="shared" ref="AN98" si="653">Q98*$D98</f>
        <v>0</v>
      </c>
      <c r="AO98" s="339">
        <f t="shared" ref="AO98" si="654">R98*$D98</f>
        <v>0</v>
      </c>
      <c r="AP98" s="352">
        <f t="shared" ref="AP98" si="655">S98*$D98</f>
        <v>5952.3200000000006</v>
      </c>
      <c r="AQ98" s="339">
        <f t="shared" ref="AQ98" si="656">T98*$D98</f>
        <v>6721.2800000000007</v>
      </c>
      <c r="AR98" s="339">
        <f t="shared" ref="AR98" si="657">U98*$D98</f>
        <v>6949.1200000000008</v>
      </c>
      <c r="AS98" s="339">
        <f t="shared" ref="AS98" si="658">V98*$D98</f>
        <v>7404.8</v>
      </c>
      <c r="AT98" s="339">
        <f t="shared" ref="AT98" si="659">W98*$D98</f>
        <v>7176.96</v>
      </c>
      <c r="AU98" s="339">
        <f t="shared" ref="AU98" si="660">X98*$D98</f>
        <v>512.64000000000306</v>
      </c>
      <c r="AV98" s="352"/>
      <c r="AW98" s="352"/>
      <c r="AX98" s="352">
        <f t="shared" ref="AX98:BK99" si="661">IF(AX$3=$E98,$D98,0)</f>
        <v>0</v>
      </c>
      <c r="AY98" s="352">
        <f t="shared" si="661"/>
        <v>0</v>
      </c>
      <c r="AZ98" s="352">
        <f t="shared" si="661"/>
        <v>0</v>
      </c>
      <c r="BA98" s="352">
        <f t="shared" si="661"/>
        <v>0</v>
      </c>
      <c r="BB98" s="352">
        <f t="shared" si="661"/>
        <v>0</v>
      </c>
      <c r="BC98" s="352">
        <f t="shared" si="661"/>
        <v>0</v>
      </c>
      <c r="BD98" s="352">
        <f t="shared" si="661"/>
        <v>0</v>
      </c>
      <c r="BE98" s="352">
        <f t="shared" si="661"/>
        <v>0</v>
      </c>
      <c r="BF98" s="447">
        <f t="shared" si="661"/>
        <v>0</v>
      </c>
      <c r="BG98" s="352">
        <f t="shared" si="661"/>
        <v>0</v>
      </c>
      <c r="BH98" s="352">
        <f t="shared" si="661"/>
        <v>0</v>
      </c>
      <c r="BI98" s="352">
        <f t="shared" si="661"/>
        <v>0</v>
      </c>
      <c r="BJ98" s="352">
        <f t="shared" si="661"/>
        <v>34717.120000000003</v>
      </c>
      <c r="BK98" s="352">
        <f t="shared" si="661"/>
        <v>0</v>
      </c>
      <c r="BL98" s="352">
        <f t="shared" ref="BL98:BQ141" si="662">IF(BL$3=$E98,$D98,0)</f>
        <v>0</v>
      </c>
      <c r="BM98" s="352">
        <f t="shared" si="662"/>
        <v>0</v>
      </c>
      <c r="BN98" s="352">
        <f t="shared" si="662"/>
        <v>0</v>
      </c>
      <c r="BO98" s="352">
        <f t="shared" si="662"/>
        <v>0</v>
      </c>
      <c r="BP98" s="352">
        <f t="shared" si="662"/>
        <v>0</v>
      </c>
      <c r="BQ98" s="352">
        <f t="shared" si="662"/>
        <v>0</v>
      </c>
      <c r="BR98" s="376">
        <f t="shared" si="614"/>
        <v>0</v>
      </c>
    </row>
    <row r="99" spans="1:70" s="240" customFormat="1" ht="14.45" customHeight="1" x14ac:dyDescent="0.25">
      <c r="A99" s="240" t="s">
        <v>136</v>
      </c>
      <c r="B99" s="458"/>
      <c r="C99" s="350"/>
      <c r="D99" s="447">
        <v>214.45</v>
      </c>
      <c r="E99" s="350" t="s">
        <v>228</v>
      </c>
      <c r="F99" s="434"/>
      <c r="G99" s="434"/>
      <c r="H99" s="434"/>
      <c r="I99" s="434">
        <v>0</v>
      </c>
      <c r="J99" s="434">
        <v>0</v>
      </c>
      <c r="K99" s="434">
        <v>0</v>
      </c>
      <c r="L99" s="434">
        <v>0</v>
      </c>
      <c r="M99" s="434">
        <v>0</v>
      </c>
      <c r="N99" s="434">
        <v>0</v>
      </c>
      <c r="O99" s="434">
        <v>0</v>
      </c>
      <c r="P99" s="434">
        <v>0</v>
      </c>
      <c r="Q99" s="434">
        <v>1</v>
      </c>
      <c r="R99" s="434">
        <v>0</v>
      </c>
      <c r="S99" s="434">
        <v>0</v>
      </c>
      <c r="T99" s="434">
        <v>0</v>
      </c>
      <c r="U99" s="434">
        <v>0</v>
      </c>
      <c r="V99" s="434">
        <v>0</v>
      </c>
      <c r="W99" s="434">
        <v>0</v>
      </c>
      <c r="X99" s="434">
        <v>0</v>
      </c>
      <c r="Y99" s="434"/>
      <c r="Z99" s="449">
        <f t="shared" ref="Z99" si="663">SUM(F99:X99)</f>
        <v>1</v>
      </c>
      <c r="AA99" s="350"/>
      <c r="AB99" s="350"/>
      <c r="AC99" s="352">
        <f t="shared" ref="AC99" si="664">F99*$D99</f>
        <v>0</v>
      </c>
      <c r="AD99" s="352">
        <f t="shared" ref="AD99" si="665">G99*$D99</f>
        <v>0</v>
      </c>
      <c r="AE99" s="352">
        <f t="shared" ref="AE99" si="666">H99*$D99</f>
        <v>0</v>
      </c>
      <c r="AF99" s="352">
        <f t="shared" ref="AF99" si="667">I99*$D99</f>
        <v>0</v>
      </c>
      <c r="AG99" s="352">
        <f t="shared" ref="AG99" si="668">J99*$D99</f>
        <v>0</v>
      </c>
      <c r="AH99" s="447">
        <f t="shared" ref="AH99" si="669">K99*$D99</f>
        <v>0</v>
      </c>
      <c r="AI99" s="352">
        <f t="shared" ref="AI99" si="670">L99*$D99</f>
        <v>0</v>
      </c>
      <c r="AJ99" s="447">
        <f t="shared" ref="AJ99" si="671">M99*$D99</f>
        <v>0</v>
      </c>
      <c r="AK99" s="447">
        <f t="shared" ref="AK99" si="672">N99*$D99</f>
        <v>0</v>
      </c>
      <c r="AL99" s="352">
        <f t="shared" ref="AL99" si="673">O99*$D99</f>
        <v>0</v>
      </c>
      <c r="AM99" s="447">
        <f t="shared" ref="AM99" si="674">P99*$D99</f>
        <v>0</v>
      </c>
      <c r="AN99" s="339">
        <f t="shared" ref="AN99" si="675">Q99*$D99</f>
        <v>214.45</v>
      </c>
      <c r="AO99" s="339">
        <f t="shared" ref="AO99" si="676">R99*$D99</f>
        <v>0</v>
      </c>
      <c r="AP99" s="352">
        <f t="shared" ref="AP99" si="677">S99*$D99</f>
        <v>0</v>
      </c>
      <c r="AQ99" s="339">
        <f t="shared" ref="AQ99" si="678">T99*$D99</f>
        <v>0</v>
      </c>
      <c r="AR99" s="339">
        <f t="shared" ref="AR99" si="679">U99*$D99</f>
        <v>0</v>
      </c>
      <c r="AS99" s="339">
        <f t="shared" ref="AS99" si="680">V99*$D99</f>
        <v>0</v>
      </c>
      <c r="AT99" s="339">
        <f t="shared" ref="AT99" si="681">W99*$D99</f>
        <v>0</v>
      </c>
      <c r="AU99" s="339">
        <f t="shared" ref="AU99" si="682">X99*$D99</f>
        <v>0</v>
      </c>
      <c r="AV99" s="352"/>
      <c r="AW99" s="352"/>
      <c r="AX99" s="352">
        <f t="shared" si="661"/>
        <v>0</v>
      </c>
      <c r="AY99" s="352">
        <f t="shared" si="661"/>
        <v>0</v>
      </c>
      <c r="AZ99" s="352">
        <f t="shared" si="661"/>
        <v>0</v>
      </c>
      <c r="BA99" s="352">
        <f t="shared" si="661"/>
        <v>0</v>
      </c>
      <c r="BB99" s="352">
        <f t="shared" si="661"/>
        <v>0</v>
      </c>
      <c r="BC99" s="352">
        <f t="shared" si="661"/>
        <v>0</v>
      </c>
      <c r="BD99" s="352">
        <f t="shared" si="661"/>
        <v>0</v>
      </c>
      <c r="BE99" s="352">
        <f t="shared" si="661"/>
        <v>0</v>
      </c>
      <c r="BF99" s="447">
        <f t="shared" si="661"/>
        <v>0</v>
      </c>
      <c r="BG99" s="352">
        <f t="shared" si="661"/>
        <v>0</v>
      </c>
      <c r="BH99" s="352">
        <f t="shared" si="661"/>
        <v>0</v>
      </c>
      <c r="BI99" s="352">
        <f t="shared" si="661"/>
        <v>214.45</v>
      </c>
      <c r="BJ99" s="352">
        <f t="shared" si="661"/>
        <v>0</v>
      </c>
      <c r="BK99" s="352">
        <f t="shared" si="661"/>
        <v>0</v>
      </c>
      <c r="BL99" s="352">
        <f t="shared" si="662"/>
        <v>0</v>
      </c>
      <c r="BM99" s="352">
        <f t="shared" si="662"/>
        <v>0</v>
      </c>
      <c r="BN99" s="352">
        <f t="shared" si="662"/>
        <v>0</v>
      </c>
      <c r="BO99" s="352">
        <f t="shared" si="662"/>
        <v>0</v>
      </c>
      <c r="BP99" s="352">
        <f t="shared" si="662"/>
        <v>0</v>
      </c>
      <c r="BQ99" s="352">
        <f t="shared" si="662"/>
        <v>0</v>
      </c>
      <c r="BR99" s="376">
        <f t="shared" ref="BR99" si="683">SUM(AC99:AV99)-SUM(AX99:BQ99)</f>
        <v>0</v>
      </c>
    </row>
    <row r="100" spans="1:70" s="240" customFormat="1" ht="14.45" customHeight="1" x14ac:dyDescent="0.25">
      <c r="A100" s="240" t="s">
        <v>136</v>
      </c>
      <c r="B100" s="458"/>
      <c r="C100" s="350"/>
      <c r="D100" s="447">
        <v>31800</v>
      </c>
      <c r="E100" s="350" t="s">
        <v>256</v>
      </c>
      <c r="F100" s="450"/>
      <c r="G100" s="450"/>
      <c r="H100" s="450"/>
      <c r="I100" s="450"/>
      <c r="J100" s="450"/>
      <c r="K100" s="450"/>
      <c r="L100" s="351">
        <v>0</v>
      </c>
      <c r="M100" s="351">
        <v>0</v>
      </c>
      <c r="N100" s="351">
        <v>0</v>
      </c>
      <c r="O100" s="351">
        <v>0</v>
      </c>
      <c r="P100" s="351">
        <v>0</v>
      </c>
      <c r="Q100" s="351">
        <v>0</v>
      </c>
      <c r="R100" s="351">
        <v>0</v>
      </c>
      <c r="S100" s="351">
        <v>0</v>
      </c>
      <c r="T100" s="351">
        <v>0.35</v>
      </c>
      <c r="U100" s="351">
        <v>0</v>
      </c>
      <c r="V100" s="351">
        <v>0.65</v>
      </c>
      <c r="W100" s="351"/>
      <c r="X100" s="351"/>
      <c r="Y100" s="351"/>
      <c r="Z100" s="449">
        <f>SUM(F100:Y100)</f>
        <v>1</v>
      </c>
      <c r="AA100" s="350"/>
      <c r="AB100" s="350"/>
      <c r="AC100" s="352">
        <f t="shared" ref="AC100" si="684">F100*$D100</f>
        <v>0</v>
      </c>
      <c r="AD100" s="352">
        <f t="shared" ref="AD100" si="685">G100*$D100</f>
        <v>0</v>
      </c>
      <c r="AE100" s="352">
        <f t="shared" ref="AE100" si="686">H100*$D100</f>
        <v>0</v>
      </c>
      <c r="AF100" s="352">
        <f t="shared" ref="AF100" si="687">I100*$D100</f>
        <v>0</v>
      </c>
      <c r="AG100" s="352">
        <f t="shared" ref="AG100" si="688">J100*$D100</f>
        <v>0</v>
      </c>
      <c r="AH100" s="447">
        <f t="shared" ref="AH100" si="689">K100*$D100</f>
        <v>0</v>
      </c>
      <c r="AI100" s="352">
        <f t="shared" ref="AI100" si="690">L100*$D100</f>
        <v>0</v>
      </c>
      <c r="AJ100" s="447">
        <f t="shared" ref="AJ100" si="691">M100*$D100</f>
        <v>0</v>
      </c>
      <c r="AK100" s="447">
        <f t="shared" ref="AK100" si="692">N100*$D100</f>
        <v>0</v>
      </c>
      <c r="AL100" s="352">
        <f t="shared" ref="AL100" si="693">O100*$D100</f>
        <v>0</v>
      </c>
      <c r="AM100" s="447">
        <f t="shared" ref="AM100" si="694">P100*$D100</f>
        <v>0</v>
      </c>
      <c r="AN100" s="339">
        <f t="shared" ref="AN100" si="695">Q100*$D100</f>
        <v>0</v>
      </c>
      <c r="AO100" s="339">
        <f t="shared" ref="AO100" si="696">R100*$D100</f>
        <v>0</v>
      </c>
      <c r="AP100" s="352">
        <f t="shared" ref="AP100" si="697">S100*$D100</f>
        <v>0</v>
      </c>
      <c r="AQ100" s="339">
        <f t="shared" ref="AQ100" si="698">T100*$D100</f>
        <v>11130</v>
      </c>
      <c r="AR100" s="339">
        <f t="shared" ref="AR100" si="699">U100*$D100</f>
        <v>0</v>
      </c>
      <c r="AS100" s="339">
        <f t="shared" ref="AS100" si="700">V100*$D100</f>
        <v>20670</v>
      </c>
      <c r="AT100" s="339">
        <f t="shared" ref="AT100" si="701">W100*$D100</f>
        <v>0</v>
      </c>
      <c r="AU100" s="339">
        <f t="shared" ref="AU100" si="702">X100*$D100</f>
        <v>0</v>
      </c>
      <c r="AV100" s="352"/>
      <c r="AW100" s="352"/>
      <c r="AX100" s="352">
        <f t="shared" ref="AX100:BK100" si="703">IF(AX$3=$E100,$D100,0)</f>
        <v>0</v>
      </c>
      <c r="AY100" s="352">
        <f t="shared" si="703"/>
        <v>0</v>
      </c>
      <c r="AZ100" s="352">
        <f t="shared" si="703"/>
        <v>0</v>
      </c>
      <c r="BA100" s="352">
        <f t="shared" si="703"/>
        <v>0</v>
      </c>
      <c r="BB100" s="352">
        <f t="shared" si="703"/>
        <v>0</v>
      </c>
      <c r="BC100" s="352">
        <f t="shared" si="703"/>
        <v>0</v>
      </c>
      <c r="BD100" s="352">
        <f t="shared" si="703"/>
        <v>0</v>
      </c>
      <c r="BE100" s="352">
        <f t="shared" si="703"/>
        <v>0</v>
      </c>
      <c r="BF100" s="352">
        <f t="shared" si="703"/>
        <v>0</v>
      </c>
      <c r="BG100" s="352">
        <f t="shared" si="703"/>
        <v>0</v>
      </c>
      <c r="BH100" s="352">
        <f t="shared" si="703"/>
        <v>0</v>
      </c>
      <c r="BI100" s="352">
        <f t="shared" si="703"/>
        <v>0</v>
      </c>
      <c r="BJ100" s="352">
        <f t="shared" si="703"/>
        <v>0</v>
      </c>
      <c r="BK100" s="339">
        <f t="shared" si="703"/>
        <v>31800</v>
      </c>
      <c r="BL100" s="352">
        <f t="shared" si="662"/>
        <v>0</v>
      </c>
      <c r="BM100" s="352">
        <f t="shared" si="662"/>
        <v>0</v>
      </c>
      <c r="BN100" s="352">
        <f t="shared" si="662"/>
        <v>0</v>
      </c>
      <c r="BO100" s="352">
        <f t="shared" si="662"/>
        <v>0</v>
      </c>
      <c r="BP100" s="352">
        <f t="shared" si="662"/>
        <v>0</v>
      </c>
      <c r="BQ100" s="352">
        <f t="shared" si="662"/>
        <v>0</v>
      </c>
      <c r="BR100" s="376">
        <f t="shared" si="614"/>
        <v>0</v>
      </c>
    </row>
    <row r="101" spans="1:70" s="240" customFormat="1" ht="14.45" customHeight="1" x14ac:dyDescent="0.25">
      <c r="A101" s="240" t="s">
        <v>139</v>
      </c>
      <c r="B101" s="458"/>
      <c r="C101" s="350"/>
      <c r="D101" s="447">
        <v>20000</v>
      </c>
      <c r="E101" s="350" t="s">
        <v>257</v>
      </c>
      <c r="F101" s="450"/>
      <c r="G101" s="450"/>
      <c r="H101" s="450"/>
      <c r="I101" s="450"/>
      <c r="J101" s="450"/>
      <c r="K101" s="351"/>
      <c r="L101" s="351">
        <v>0</v>
      </c>
      <c r="M101" s="351">
        <v>0</v>
      </c>
      <c r="N101" s="351">
        <v>0</v>
      </c>
      <c r="O101" s="351">
        <v>0</v>
      </c>
      <c r="P101" s="351">
        <v>0</v>
      </c>
      <c r="Q101" s="351">
        <v>0</v>
      </c>
      <c r="R101" s="351">
        <v>0</v>
      </c>
      <c r="S101" s="351">
        <v>0.22633150000000002</v>
      </c>
      <c r="T101" s="351">
        <v>0.18071399999999999</v>
      </c>
      <c r="U101" s="351">
        <v>0.3</v>
      </c>
      <c r="V101" s="351">
        <v>0.29295450000000001</v>
      </c>
      <c r="W101" s="351">
        <v>0</v>
      </c>
      <c r="X101" s="351"/>
      <c r="Y101" s="351"/>
      <c r="Z101" s="449">
        <f t="shared" ref="Z101:Z103" si="704">SUM(F101:X101)</f>
        <v>1</v>
      </c>
      <c r="AA101" s="350"/>
      <c r="AB101" s="350"/>
      <c r="AC101" s="352">
        <f t="shared" ref="AC101:AC103" si="705">F101*$D101</f>
        <v>0</v>
      </c>
      <c r="AD101" s="352">
        <f t="shared" ref="AD101:AD103" si="706">G101*$D101</f>
        <v>0</v>
      </c>
      <c r="AE101" s="352">
        <f t="shared" ref="AE101:AE103" si="707">H101*$D101</f>
        <v>0</v>
      </c>
      <c r="AF101" s="352">
        <f t="shared" ref="AF101:AF103" si="708">I101*$D101</f>
        <v>0</v>
      </c>
      <c r="AG101" s="352">
        <f t="shared" ref="AG101:AG103" si="709">J101*$D101</f>
        <v>0</v>
      </c>
      <c r="AH101" s="447">
        <f t="shared" ref="AH101:AH103" si="710">K101*$D101</f>
        <v>0</v>
      </c>
      <c r="AI101" s="352">
        <f t="shared" ref="AI101:AI103" si="711">L101*$D101</f>
        <v>0</v>
      </c>
      <c r="AJ101" s="447">
        <f t="shared" ref="AJ101:AJ103" si="712">M101*$D101</f>
        <v>0</v>
      </c>
      <c r="AK101" s="352">
        <f t="shared" ref="AK101:AK103" si="713">N101*$D101</f>
        <v>0</v>
      </c>
      <c r="AL101" s="352">
        <f t="shared" ref="AL101:AL103" si="714">O101*$D101</f>
        <v>0</v>
      </c>
      <c r="AM101" s="339">
        <f t="shared" ref="AM101:AM103" si="715">P101*$D101</f>
        <v>0</v>
      </c>
      <c r="AN101" s="339">
        <f t="shared" ref="AN101:AN103" si="716">Q101*$D101</f>
        <v>0</v>
      </c>
      <c r="AO101" s="339">
        <f t="shared" ref="AO101:AO103" si="717">R101*$D101</f>
        <v>0</v>
      </c>
      <c r="AP101" s="352">
        <f t="shared" ref="AP101:AP103" si="718">S101*$D101</f>
        <v>4526.63</v>
      </c>
      <c r="AQ101" s="339">
        <f t="shared" ref="AQ101:AQ103" si="719">T101*$D101</f>
        <v>3614.2799999999997</v>
      </c>
      <c r="AR101" s="339">
        <f t="shared" ref="AR101:AR103" si="720">U101*$D101</f>
        <v>6000</v>
      </c>
      <c r="AS101" s="339">
        <f t="shared" ref="AS101:AS103" si="721">V101*$D101</f>
        <v>5859.09</v>
      </c>
      <c r="AT101" s="339">
        <f t="shared" ref="AT101:AT103" si="722">W101*$D101</f>
        <v>0</v>
      </c>
      <c r="AU101" s="339">
        <f t="shared" ref="AU101:AU103" si="723">X101*$D101</f>
        <v>0</v>
      </c>
      <c r="AV101" s="352"/>
      <c r="AW101" s="352"/>
      <c r="AX101" s="352">
        <f t="shared" ref="AX101:BN121" si="724">IF(AX$3=$E101,$D101,0)</f>
        <v>0</v>
      </c>
      <c r="AY101" s="352">
        <f t="shared" si="724"/>
        <v>0</v>
      </c>
      <c r="AZ101" s="352">
        <f t="shared" si="724"/>
        <v>0</v>
      </c>
      <c r="BA101" s="352">
        <f t="shared" si="724"/>
        <v>0</v>
      </c>
      <c r="BB101" s="352">
        <f t="shared" si="724"/>
        <v>0</v>
      </c>
      <c r="BC101" s="352">
        <f t="shared" si="724"/>
        <v>0</v>
      </c>
      <c r="BD101" s="352">
        <f t="shared" si="724"/>
        <v>0</v>
      </c>
      <c r="BE101" s="352">
        <f t="shared" si="724"/>
        <v>0</v>
      </c>
      <c r="BF101" s="352">
        <f t="shared" si="724"/>
        <v>0</v>
      </c>
      <c r="BG101" s="352">
        <f t="shared" si="724"/>
        <v>0</v>
      </c>
      <c r="BH101" s="352">
        <f t="shared" si="724"/>
        <v>0</v>
      </c>
      <c r="BI101" s="352">
        <f t="shared" si="724"/>
        <v>0</v>
      </c>
      <c r="BJ101" s="352">
        <f t="shared" si="724"/>
        <v>20000</v>
      </c>
      <c r="BK101" s="339">
        <f t="shared" si="724"/>
        <v>0</v>
      </c>
      <c r="BL101" s="352">
        <f t="shared" si="724"/>
        <v>0</v>
      </c>
      <c r="BM101" s="352">
        <f t="shared" si="724"/>
        <v>0</v>
      </c>
      <c r="BN101" s="352">
        <f t="shared" si="724"/>
        <v>0</v>
      </c>
      <c r="BO101" s="352">
        <f t="shared" si="662"/>
        <v>0</v>
      </c>
      <c r="BP101" s="352">
        <f t="shared" si="662"/>
        <v>0</v>
      </c>
      <c r="BQ101" s="352">
        <f t="shared" si="662"/>
        <v>0</v>
      </c>
      <c r="BR101" s="376">
        <f t="shared" si="614"/>
        <v>0</v>
      </c>
    </row>
    <row r="102" spans="1:70" s="240" customFormat="1" ht="14.45" customHeight="1" x14ac:dyDescent="0.25">
      <c r="A102" s="240" t="s">
        <v>139</v>
      </c>
      <c r="B102" s="458"/>
      <c r="C102" s="350"/>
      <c r="D102" s="447">
        <v>40000</v>
      </c>
      <c r="E102" s="350" t="s">
        <v>260</v>
      </c>
      <c r="F102" s="450"/>
      <c r="G102" s="450"/>
      <c r="H102" s="450"/>
      <c r="I102" s="450"/>
      <c r="J102" s="450"/>
      <c r="K102" s="351"/>
      <c r="L102" s="351">
        <v>0</v>
      </c>
      <c r="M102" s="351">
        <v>0</v>
      </c>
      <c r="N102" s="351">
        <v>0</v>
      </c>
      <c r="O102" s="351">
        <v>0</v>
      </c>
      <c r="P102" s="351">
        <v>0</v>
      </c>
      <c r="Q102" s="351">
        <v>0</v>
      </c>
      <c r="R102" s="351">
        <v>0</v>
      </c>
      <c r="S102" s="351">
        <v>0</v>
      </c>
      <c r="T102" s="351">
        <v>0</v>
      </c>
      <c r="U102" s="351">
        <v>0</v>
      </c>
      <c r="V102" s="351">
        <v>0.25</v>
      </c>
      <c r="W102" s="351">
        <v>0.25</v>
      </c>
      <c r="X102" s="351">
        <v>0.5</v>
      </c>
      <c r="Y102" s="351"/>
      <c r="Z102" s="449">
        <f t="shared" ref="Z102" si="725">SUM(F102:X102)</f>
        <v>1</v>
      </c>
      <c r="AA102" s="350"/>
      <c r="AB102" s="350"/>
      <c r="AC102" s="352">
        <f t="shared" ref="AC102" si="726">F102*$D102</f>
        <v>0</v>
      </c>
      <c r="AD102" s="352">
        <f t="shared" ref="AD102" si="727">G102*$D102</f>
        <v>0</v>
      </c>
      <c r="AE102" s="352">
        <f t="shared" ref="AE102" si="728">H102*$D102</f>
        <v>0</v>
      </c>
      <c r="AF102" s="352">
        <f t="shared" ref="AF102" si="729">I102*$D102</f>
        <v>0</v>
      </c>
      <c r="AG102" s="352">
        <f t="shared" ref="AG102" si="730">J102*$D102</f>
        <v>0</v>
      </c>
      <c r="AH102" s="447">
        <f t="shared" ref="AH102" si="731">K102*$D102</f>
        <v>0</v>
      </c>
      <c r="AI102" s="352">
        <f t="shared" ref="AI102" si="732">L102*$D102</f>
        <v>0</v>
      </c>
      <c r="AJ102" s="447">
        <f t="shared" ref="AJ102" si="733">M102*$D102</f>
        <v>0</v>
      </c>
      <c r="AK102" s="352">
        <f t="shared" ref="AK102" si="734">N102*$D102</f>
        <v>0</v>
      </c>
      <c r="AL102" s="352">
        <f t="shared" ref="AL102" si="735">O102*$D102</f>
        <v>0</v>
      </c>
      <c r="AM102" s="339">
        <f t="shared" ref="AM102" si="736">P102*$D102</f>
        <v>0</v>
      </c>
      <c r="AN102" s="339">
        <f t="shared" ref="AN102" si="737">Q102*$D102</f>
        <v>0</v>
      </c>
      <c r="AO102" s="339">
        <f t="shared" ref="AO102" si="738">R102*$D102</f>
        <v>0</v>
      </c>
      <c r="AP102" s="352">
        <f t="shared" ref="AP102" si="739">S102*$D102</f>
        <v>0</v>
      </c>
      <c r="AQ102" s="339">
        <f t="shared" ref="AQ102" si="740">T102*$D102</f>
        <v>0</v>
      </c>
      <c r="AR102" s="339">
        <f t="shared" ref="AR102" si="741">U102*$D102</f>
        <v>0</v>
      </c>
      <c r="AS102" s="339">
        <f t="shared" ref="AS102" si="742">V102*$D102</f>
        <v>10000</v>
      </c>
      <c r="AT102" s="339">
        <f t="shared" ref="AT102" si="743">W102*$D102</f>
        <v>10000</v>
      </c>
      <c r="AU102" s="339">
        <f t="shared" ref="AU102" si="744">X102*$D102</f>
        <v>20000</v>
      </c>
      <c r="AV102" s="352"/>
      <c r="AW102" s="352"/>
      <c r="AX102" s="352">
        <f t="shared" si="724"/>
        <v>0</v>
      </c>
      <c r="AY102" s="352">
        <f t="shared" si="724"/>
        <v>0</v>
      </c>
      <c r="AZ102" s="352">
        <f t="shared" si="724"/>
        <v>0</v>
      </c>
      <c r="BA102" s="352">
        <f t="shared" si="724"/>
        <v>0</v>
      </c>
      <c r="BB102" s="352">
        <f t="shared" si="724"/>
        <v>0</v>
      </c>
      <c r="BC102" s="352">
        <f t="shared" si="724"/>
        <v>0</v>
      </c>
      <c r="BD102" s="352">
        <f t="shared" si="724"/>
        <v>0</v>
      </c>
      <c r="BE102" s="352">
        <f t="shared" si="724"/>
        <v>0</v>
      </c>
      <c r="BF102" s="352">
        <f t="shared" si="724"/>
        <v>0</v>
      </c>
      <c r="BG102" s="352">
        <f t="shared" si="724"/>
        <v>0</v>
      </c>
      <c r="BH102" s="352">
        <f t="shared" si="724"/>
        <v>0</v>
      </c>
      <c r="BI102" s="352">
        <f t="shared" si="724"/>
        <v>0</v>
      </c>
      <c r="BJ102" s="352">
        <f t="shared" si="724"/>
        <v>0</v>
      </c>
      <c r="BK102" s="339">
        <f t="shared" si="724"/>
        <v>0</v>
      </c>
      <c r="BL102" s="352">
        <f t="shared" si="724"/>
        <v>0</v>
      </c>
      <c r="BM102" s="352">
        <f t="shared" si="724"/>
        <v>0</v>
      </c>
      <c r="BN102" s="352">
        <f t="shared" si="724"/>
        <v>40000</v>
      </c>
      <c r="BO102" s="352">
        <f t="shared" si="662"/>
        <v>0</v>
      </c>
      <c r="BP102" s="352">
        <f t="shared" si="662"/>
        <v>0</v>
      </c>
      <c r="BQ102" s="352">
        <f t="shared" si="662"/>
        <v>0</v>
      </c>
      <c r="BR102" s="376">
        <f t="shared" ref="BR102" si="745">SUM(AC102:AV102)-SUM(AX102:BQ102)</f>
        <v>0</v>
      </c>
    </row>
    <row r="103" spans="1:70" s="240" customFormat="1" ht="14.45" customHeight="1" x14ac:dyDescent="0.25">
      <c r="A103" s="240" t="s">
        <v>139</v>
      </c>
      <c r="B103" s="458"/>
      <c r="C103" s="350"/>
      <c r="D103" s="447">
        <v>5000</v>
      </c>
      <c r="E103" s="350" t="s">
        <v>271</v>
      </c>
      <c r="F103" s="450"/>
      <c r="G103" s="450"/>
      <c r="H103" s="450"/>
      <c r="I103" s="450"/>
      <c r="J103" s="450"/>
      <c r="K103" s="351"/>
      <c r="L103" s="351">
        <v>0</v>
      </c>
      <c r="M103" s="351">
        <v>0</v>
      </c>
      <c r="N103" s="351">
        <v>0</v>
      </c>
      <c r="O103" s="351">
        <v>0</v>
      </c>
      <c r="P103" s="351">
        <v>0</v>
      </c>
      <c r="Q103" s="351">
        <v>0</v>
      </c>
      <c r="R103" s="351">
        <v>0</v>
      </c>
      <c r="S103" s="351">
        <v>0</v>
      </c>
      <c r="T103" s="351">
        <v>0</v>
      </c>
      <c r="U103" s="351">
        <v>0.5</v>
      </c>
      <c r="V103" s="351">
        <v>0.5</v>
      </c>
      <c r="W103" s="351">
        <v>0</v>
      </c>
      <c r="X103" s="351">
        <v>0</v>
      </c>
      <c r="Y103" s="351"/>
      <c r="Z103" s="449">
        <f t="shared" si="704"/>
        <v>1</v>
      </c>
      <c r="AA103" s="350"/>
      <c r="AB103" s="350"/>
      <c r="AC103" s="352">
        <f t="shared" si="705"/>
        <v>0</v>
      </c>
      <c r="AD103" s="352">
        <f t="shared" si="706"/>
        <v>0</v>
      </c>
      <c r="AE103" s="352">
        <f t="shared" si="707"/>
        <v>0</v>
      </c>
      <c r="AF103" s="352">
        <f t="shared" si="708"/>
        <v>0</v>
      </c>
      <c r="AG103" s="352">
        <f t="shared" si="709"/>
        <v>0</v>
      </c>
      <c r="AH103" s="447">
        <f t="shared" si="710"/>
        <v>0</v>
      </c>
      <c r="AI103" s="352">
        <f t="shared" si="711"/>
        <v>0</v>
      </c>
      <c r="AJ103" s="447">
        <f t="shared" si="712"/>
        <v>0</v>
      </c>
      <c r="AK103" s="352">
        <f t="shared" si="713"/>
        <v>0</v>
      </c>
      <c r="AL103" s="352">
        <f t="shared" si="714"/>
        <v>0</v>
      </c>
      <c r="AM103" s="339">
        <f t="shared" si="715"/>
        <v>0</v>
      </c>
      <c r="AN103" s="339">
        <f t="shared" si="716"/>
        <v>0</v>
      </c>
      <c r="AO103" s="339">
        <f t="shared" si="717"/>
        <v>0</v>
      </c>
      <c r="AP103" s="352">
        <f t="shared" si="718"/>
        <v>0</v>
      </c>
      <c r="AQ103" s="339">
        <f t="shared" si="719"/>
        <v>0</v>
      </c>
      <c r="AR103" s="339">
        <f t="shared" si="720"/>
        <v>2500</v>
      </c>
      <c r="AS103" s="339">
        <f t="shared" si="721"/>
        <v>2500</v>
      </c>
      <c r="AT103" s="339">
        <f t="shared" si="722"/>
        <v>0</v>
      </c>
      <c r="AU103" s="339">
        <f t="shared" si="723"/>
        <v>0</v>
      </c>
      <c r="AV103" s="352"/>
      <c r="AW103" s="352"/>
      <c r="AX103" s="352">
        <f t="shared" si="724"/>
        <v>0</v>
      </c>
      <c r="AY103" s="352">
        <f t="shared" si="724"/>
        <v>0</v>
      </c>
      <c r="AZ103" s="352">
        <f t="shared" si="724"/>
        <v>0</v>
      </c>
      <c r="BA103" s="352">
        <f t="shared" si="724"/>
        <v>0</v>
      </c>
      <c r="BB103" s="352">
        <f t="shared" si="724"/>
        <v>0</v>
      </c>
      <c r="BC103" s="352">
        <f t="shared" si="724"/>
        <v>0</v>
      </c>
      <c r="BD103" s="352">
        <f t="shared" si="724"/>
        <v>0</v>
      </c>
      <c r="BE103" s="352">
        <f t="shared" si="724"/>
        <v>0</v>
      </c>
      <c r="BF103" s="352">
        <f t="shared" si="724"/>
        <v>0</v>
      </c>
      <c r="BG103" s="352">
        <f t="shared" si="724"/>
        <v>0</v>
      </c>
      <c r="BH103" s="352">
        <f t="shared" si="724"/>
        <v>0</v>
      </c>
      <c r="BI103" s="352">
        <f t="shared" si="724"/>
        <v>0</v>
      </c>
      <c r="BJ103" s="352">
        <f t="shared" si="724"/>
        <v>0</v>
      </c>
      <c r="BK103" s="339">
        <f t="shared" si="724"/>
        <v>0</v>
      </c>
      <c r="BL103" s="352">
        <f t="shared" si="724"/>
        <v>0</v>
      </c>
      <c r="BM103" s="352">
        <f t="shared" si="724"/>
        <v>5000</v>
      </c>
      <c r="BN103" s="352">
        <f t="shared" si="724"/>
        <v>0</v>
      </c>
      <c r="BO103" s="352">
        <f t="shared" si="662"/>
        <v>0</v>
      </c>
      <c r="BP103" s="352">
        <f t="shared" si="662"/>
        <v>0</v>
      </c>
      <c r="BQ103" s="352">
        <f t="shared" si="662"/>
        <v>0</v>
      </c>
      <c r="BR103" s="376">
        <f t="shared" si="614"/>
        <v>0</v>
      </c>
    </row>
    <row r="104" spans="1:70" s="240" customFormat="1" ht="14.45" customHeight="1" x14ac:dyDescent="0.25">
      <c r="A104" s="240" t="s">
        <v>139</v>
      </c>
      <c r="B104" s="458"/>
      <c r="C104" s="350"/>
      <c r="D104" s="447">
        <v>80000</v>
      </c>
      <c r="E104" s="350" t="s">
        <v>260</v>
      </c>
      <c r="F104" s="450"/>
      <c r="G104" s="450"/>
      <c r="H104" s="450"/>
      <c r="I104" s="450"/>
      <c r="J104" s="450"/>
      <c r="K104" s="351"/>
      <c r="L104" s="351">
        <v>0</v>
      </c>
      <c r="M104" s="351">
        <v>0</v>
      </c>
      <c r="N104" s="351">
        <v>0</v>
      </c>
      <c r="O104" s="351">
        <v>0</v>
      </c>
      <c r="P104" s="351">
        <v>0</v>
      </c>
      <c r="Q104" s="351">
        <v>0</v>
      </c>
      <c r="R104" s="351">
        <v>0</v>
      </c>
      <c r="S104" s="351">
        <v>0</v>
      </c>
      <c r="T104" s="351">
        <v>0</v>
      </c>
      <c r="U104" s="351">
        <v>0</v>
      </c>
      <c r="V104" s="351">
        <v>0.5</v>
      </c>
      <c r="W104" s="351">
        <v>0.5</v>
      </c>
      <c r="X104" s="351"/>
      <c r="Y104" s="351"/>
      <c r="Z104" s="449">
        <f t="shared" si="21"/>
        <v>1</v>
      </c>
      <c r="AA104" s="350"/>
      <c r="AB104" s="350"/>
      <c r="AC104" s="352">
        <f t="shared" ref="AC104" si="746">F104*$D104</f>
        <v>0</v>
      </c>
      <c r="AD104" s="352">
        <f t="shared" ref="AD104" si="747">G104*$D104</f>
        <v>0</v>
      </c>
      <c r="AE104" s="352">
        <f t="shared" ref="AE104" si="748">H104*$D104</f>
        <v>0</v>
      </c>
      <c r="AF104" s="352">
        <f t="shared" ref="AF104" si="749">I104*$D104</f>
        <v>0</v>
      </c>
      <c r="AG104" s="352">
        <f t="shared" ref="AG104" si="750">J104*$D104</f>
        <v>0</v>
      </c>
      <c r="AH104" s="447">
        <f t="shared" ref="AH104" si="751">K104*$D104</f>
        <v>0</v>
      </c>
      <c r="AI104" s="352">
        <f t="shared" ref="AI104" si="752">L104*$D104</f>
        <v>0</v>
      </c>
      <c r="AJ104" s="447">
        <f t="shared" ref="AJ104" si="753">M104*$D104</f>
        <v>0</v>
      </c>
      <c r="AK104" s="352">
        <f t="shared" ref="AK104" si="754">N104*$D104</f>
        <v>0</v>
      </c>
      <c r="AL104" s="352">
        <f t="shared" ref="AL104" si="755">O104*$D104</f>
        <v>0</v>
      </c>
      <c r="AM104" s="447">
        <f t="shared" ref="AM104" si="756">P104*$D104</f>
        <v>0</v>
      </c>
      <c r="AN104" s="339">
        <f t="shared" ref="AN104" si="757">Q104*$D104</f>
        <v>0</v>
      </c>
      <c r="AO104" s="339">
        <f t="shared" ref="AO104" si="758">R104*$D104</f>
        <v>0</v>
      </c>
      <c r="AP104" s="352">
        <f t="shared" ref="AP104" si="759">S104*$D104</f>
        <v>0</v>
      </c>
      <c r="AQ104" s="339">
        <f t="shared" ref="AQ104" si="760">T104*$D104</f>
        <v>0</v>
      </c>
      <c r="AR104" s="339">
        <f t="shared" ref="AR104" si="761">U104*$D104</f>
        <v>0</v>
      </c>
      <c r="AS104" s="339">
        <f t="shared" ref="AS104" si="762">V104*$D104</f>
        <v>40000</v>
      </c>
      <c r="AT104" s="339">
        <f t="shared" ref="AT104" si="763">W104*$D104</f>
        <v>40000</v>
      </c>
      <c r="AU104" s="339">
        <f t="shared" ref="AU104" si="764">X104*$D104</f>
        <v>0</v>
      </c>
      <c r="AV104" s="352"/>
      <c r="AW104" s="352"/>
      <c r="AX104" s="352">
        <f t="shared" si="724"/>
        <v>0</v>
      </c>
      <c r="AY104" s="352">
        <f t="shared" si="724"/>
        <v>0</v>
      </c>
      <c r="AZ104" s="352">
        <f t="shared" si="724"/>
        <v>0</v>
      </c>
      <c r="BA104" s="352">
        <f t="shared" si="724"/>
        <v>0</v>
      </c>
      <c r="BB104" s="352">
        <f t="shared" si="724"/>
        <v>0</v>
      </c>
      <c r="BC104" s="352">
        <f t="shared" si="724"/>
        <v>0</v>
      </c>
      <c r="BD104" s="352">
        <f t="shared" si="724"/>
        <v>0</v>
      </c>
      <c r="BE104" s="352">
        <f t="shared" si="724"/>
        <v>0</v>
      </c>
      <c r="BF104" s="352">
        <f t="shared" si="724"/>
        <v>0</v>
      </c>
      <c r="BG104" s="352">
        <f t="shared" si="724"/>
        <v>0</v>
      </c>
      <c r="BH104" s="352">
        <f t="shared" si="724"/>
        <v>0</v>
      </c>
      <c r="BI104" s="352">
        <f t="shared" si="724"/>
        <v>0</v>
      </c>
      <c r="BJ104" s="352">
        <f t="shared" si="724"/>
        <v>0</v>
      </c>
      <c r="BK104" s="339">
        <f t="shared" si="724"/>
        <v>0</v>
      </c>
      <c r="BL104" s="352">
        <f t="shared" si="724"/>
        <v>0</v>
      </c>
      <c r="BM104" s="352">
        <f t="shared" si="724"/>
        <v>0</v>
      </c>
      <c r="BN104" s="352">
        <f t="shared" si="662"/>
        <v>80000</v>
      </c>
      <c r="BO104" s="352">
        <f t="shared" si="662"/>
        <v>0</v>
      </c>
      <c r="BP104" s="352">
        <f t="shared" si="662"/>
        <v>0</v>
      </c>
      <c r="BQ104" s="352">
        <f t="shared" si="662"/>
        <v>0</v>
      </c>
      <c r="BR104" s="376">
        <f t="shared" si="614"/>
        <v>0</v>
      </c>
    </row>
    <row r="105" spans="1:70" s="240" customFormat="1" ht="14.45" customHeight="1" x14ac:dyDescent="0.25">
      <c r="A105" s="240" t="s">
        <v>139</v>
      </c>
      <c r="B105" s="458"/>
      <c r="C105" s="350"/>
      <c r="D105" s="447">
        <v>70000</v>
      </c>
      <c r="E105" s="350" t="s">
        <v>208</v>
      </c>
      <c r="F105" s="450"/>
      <c r="G105" s="450"/>
      <c r="H105" s="450"/>
      <c r="I105" s="450"/>
      <c r="J105" s="450"/>
      <c r="K105" s="351"/>
      <c r="L105" s="351">
        <v>0</v>
      </c>
      <c r="M105" s="351">
        <v>0</v>
      </c>
      <c r="N105" s="351">
        <v>0</v>
      </c>
      <c r="O105" s="351">
        <v>0</v>
      </c>
      <c r="P105" s="351">
        <v>0</v>
      </c>
      <c r="Q105" s="351">
        <v>0</v>
      </c>
      <c r="R105" s="351">
        <v>0</v>
      </c>
      <c r="S105" s="351">
        <v>0</v>
      </c>
      <c r="T105" s="351">
        <v>0</v>
      </c>
      <c r="U105" s="351">
        <v>0.4</v>
      </c>
      <c r="V105" s="351">
        <v>0.6</v>
      </c>
      <c r="W105" s="351"/>
      <c r="X105" s="351"/>
      <c r="Y105" s="351"/>
      <c r="Z105" s="449">
        <f t="shared" ref="Z105:Z121" si="765">SUM(F105:X105)</f>
        <v>1</v>
      </c>
      <c r="AA105" s="350"/>
      <c r="AB105" s="350"/>
      <c r="AC105" s="352">
        <f t="shared" ref="AC105:AC121" si="766">F105*$D105</f>
        <v>0</v>
      </c>
      <c r="AD105" s="352">
        <f t="shared" ref="AD105:AD121" si="767">G105*$D105</f>
        <v>0</v>
      </c>
      <c r="AE105" s="352">
        <f t="shared" ref="AE105:AE121" si="768">H105*$D105</f>
        <v>0</v>
      </c>
      <c r="AF105" s="352">
        <f t="shared" ref="AF105:AF121" si="769">I105*$D105</f>
        <v>0</v>
      </c>
      <c r="AG105" s="352">
        <f t="shared" ref="AG105:AG121" si="770">J105*$D105</f>
        <v>0</v>
      </c>
      <c r="AH105" s="447">
        <f t="shared" ref="AH105:AH121" si="771">K105*$D105</f>
        <v>0</v>
      </c>
      <c r="AI105" s="352">
        <f t="shared" ref="AI105:AI121" si="772">L105*$D105</f>
        <v>0</v>
      </c>
      <c r="AJ105" s="447">
        <f t="shared" ref="AJ105:AJ121" si="773">M105*$D105</f>
        <v>0</v>
      </c>
      <c r="AK105" s="352">
        <f t="shared" ref="AK105:AK121" si="774">N105*$D105</f>
        <v>0</v>
      </c>
      <c r="AL105" s="352">
        <f t="shared" ref="AL105:AL121" si="775">O105*$D105</f>
        <v>0</v>
      </c>
      <c r="AM105" s="447">
        <f t="shared" ref="AM105:AM121" si="776">P105*$D105</f>
        <v>0</v>
      </c>
      <c r="AN105" s="339">
        <f t="shared" ref="AN105:AN121" si="777">Q105*$D105</f>
        <v>0</v>
      </c>
      <c r="AO105" s="339">
        <f t="shared" ref="AO105:AO121" si="778">R105*$D105</f>
        <v>0</v>
      </c>
      <c r="AP105" s="352">
        <f t="shared" ref="AP105:AP121" si="779">S105*$D105</f>
        <v>0</v>
      </c>
      <c r="AQ105" s="339">
        <f t="shared" ref="AQ105:AQ121" si="780">T105*$D105</f>
        <v>0</v>
      </c>
      <c r="AR105" s="339">
        <f t="shared" ref="AR105:AR121" si="781">U105*$D105</f>
        <v>28000</v>
      </c>
      <c r="AS105" s="339">
        <f t="shared" ref="AS105:AS121" si="782">V105*$D105</f>
        <v>42000</v>
      </c>
      <c r="AT105" s="339">
        <f t="shared" ref="AT105:AT121" si="783">W105*$D105</f>
        <v>0</v>
      </c>
      <c r="AU105" s="339">
        <f t="shared" ref="AU105:AU121" si="784">X105*$D105</f>
        <v>0</v>
      </c>
      <c r="AV105" s="352"/>
      <c r="AW105" s="352"/>
      <c r="AX105" s="352">
        <f t="shared" si="724"/>
        <v>0</v>
      </c>
      <c r="AY105" s="352">
        <f t="shared" si="724"/>
        <v>0</v>
      </c>
      <c r="AZ105" s="352">
        <f t="shared" si="724"/>
        <v>0</v>
      </c>
      <c r="BA105" s="352">
        <f t="shared" si="724"/>
        <v>0</v>
      </c>
      <c r="BB105" s="352">
        <f t="shared" si="724"/>
        <v>0</v>
      </c>
      <c r="BC105" s="352">
        <f t="shared" si="724"/>
        <v>0</v>
      </c>
      <c r="BD105" s="352">
        <f t="shared" si="724"/>
        <v>0</v>
      </c>
      <c r="BE105" s="352">
        <f t="shared" si="724"/>
        <v>0</v>
      </c>
      <c r="BF105" s="352">
        <f t="shared" si="724"/>
        <v>0</v>
      </c>
      <c r="BG105" s="352">
        <f t="shared" si="724"/>
        <v>0</v>
      </c>
      <c r="BH105" s="352">
        <f t="shared" si="724"/>
        <v>0</v>
      </c>
      <c r="BI105" s="352">
        <f t="shared" si="724"/>
        <v>0</v>
      </c>
      <c r="BJ105" s="352">
        <f t="shared" si="724"/>
        <v>0</v>
      </c>
      <c r="BK105" s="339">
        <f t="shared" si="724"/>
        <v>0</v>
      </c>
      <c r="BL105" s="352">
        <f t="shared" si="724"/>
        <v>70000</v>
      </c>
      <c r="BM105" s="352">
        <f t="shared" si="724"/>
        <v>0</v>
      </c>
      <c r="BN105" s="352">
        <f t="shared" si="662"/>
        <v>0</v>
      </c>
      <c r="BO105" s="352">
        <f t="shared" si="662"/>
        <v>0</v>
      </c>
      <c r="BP105" s="352">
        <f t="shared" si="662"/>
        <v>0</v>
      </c>
      <c r="BQ105" s="352">
        <f t="shared" si="662"/>
        <v>0</v>
      </c>
      <c r="BR105" s="376">
        <f t="shared" si="614"/>
        <v>0</v>
      </c>
    </row>
    <row r="106" spans="1:70" s="240" customFormat="1" ht="14.45" customHeight="1" x14ac:dyDescent="0.25">
      <c r="A106" s="240" t="s">
        <v>139</v>
      </c>
      <c r="B106" s="458"/>
      <c r="C106" s="350"/>
      <c r="D106" s="447">
        <v>30000</v>
      </c>
      <c r="E106" s="350" t="s">
        <v>261</v>
      </c>
      <c r="F106" s="450"/>
      <c r="G106" s="450"/>
      <c r="H106" s="450"/>
      <c r="I106" s="450"/>
      <c r="J106" s="450"/>
      <c r="K106" s="351"/>
      <c r="L106" s="351">
        <v>0</v>
      </c>
      <c r="M106" s="351">
        <v>0</v>
      </c>
      <c r="N106" s="351">
        <v>0</v>
      </c>
      <c r="O106" s="351">
        <v>0</v>
      </c>
      <c r="P106" s="351">
        <v>0</v>
      </c>
      <c r="Q106" s="351">
        <v>0</v>
      </c>
      <c r="R106" s="351">
        <v>0</v>
      </c>
      <c r="S106" s="351">
        <v>0</v>
      </c>
      <c r="T106" s="351">
        <v>0</v>
      </c>
      <c r="U106" s="351"/>
      <c r="V106" s="351"/>
      <c r="W106" s="351"/>
      <c r="X106" s="351">
        <v>1</v>
      </c>
      <c r="Y106" s="351">
        <v>0</v>
      </c>
      <c r="Z106" s="449">
        <f>SUM(F106:Y106)</f>
        <v>1</v>
      </c>
      <c r="AA106" s="350"/>
      <c r="AB106" s="350"/>
      <c r="AC106" s="352">
        <f t="shared" ref="AC106" si="785">F106*$D106</f>
        <v>0</v>
      </c>
      <c r="AD106" s="352">
        <f t="shared" ref="AD106" si="786">G106*$D106</f>
        <v>0</v>
      </c>
      <c r="AE106" s="352">
        <f t="shared" ref="AE106" si="787">H106*$D106</f>
        <v>0</v>
      </c>
      <c r="AF106" s="352">
        <f t="shared" ref="AF106" si="788">I106*$D106</f>
        <v>0</v>
      </c>
      <c r="AG106" s="352">
        <f t="shared" ref="AG106" si="789">J106*$D106</f>
        <v>0</v>
      </c>
      <c r="AH106" s="447">
        <f t="shared" ref="AH106" si="790">K106*$D106</f>
        <v>0</v>
      </c>
      <c r="AI106" s="352">
        <f t="shared" ref="AI106" si="791">L106*$D106</f>
        <v>0</v>
      </c>
      <c r="AJ106" s="447">
        <f t="shared" ref="AJ106" si="792">M106*$D106</f>
        <v>0</v>
      </c>
      <c r="AK106" s="352">
        <f t="shared" ref="AK106" si="793">N106*$D106</f>
        <v>0</v>
      </c>
      <c r="AL106" s="352">
        <f t="shared" ref="AL106" si="794">O106*$D106</f>
        <v>0</v>
      </c>
      <c r="AM106" s="447">
        <f t="shared" ref="AM106" si="795">P106*$D106</f>
        <v>0</v>
      </c>
      <c r="AN106" s="339">
        <f t="shared" ref="AN106" si="796">Q106*$D106</f>
        <v>0</v>
      </c>
      <c r="AO106" s="339">
        <f t="shared" ref="AO106" si="797">R106*$D106</f>
        <v>0</v>
      </c>
      <c r="AP106" s="352">
        <f t="shared" ref="AP106" si="798">S106*$D106</f>
        <v>0</v>
      </c>
      <c r="AQ106" s="339">
        <f t="shared" ref="AQ106" si="799">T106*$D106</f>
        <v>0</v>
      </c>
      <c r="AR106" s="339">
        <f t="shared" ref="AR106" si="800">U106*$D106</f>
        <v>0</v>
      </c>
      <c r="AS106" s="339">
        <f t="shared" ref="AS106" si="801">V106*$D106</f>
        <v>0</v>
      </c>
      <c r="AT106" s="339">
        <f t="shared" ref="AT106" si="802">W106*$D106</f>
        <v>0</v>
      </c>
      <c r="AU106" s="339">
        <f t="shared" ref="AU106" si="803">X106*$D106</f>
        <v>30000</v>
      </c>
      <c r="AV106" s="352"/>
      <c r="AW106" s="352"/>
      <c r="AX106" s="352">
        <f t="shared" si="724"/>
        <v>0</v>
      </c>
      <c r="AY106" s="352">
        <f t="shared" si="724"/>
        <v>0</v>
      </c>
      <c r="AZ106" s="352">
        <f t="shared" si="724"/>
        <v>0</v>
      </c>
      <c r="BA106" s="352">
        <f t="shared" si="724"/>
        <v>0</v>
      </c>
      <c r="BB106" s="352">
        <f t="shared" si="724"/>
        <v>0</v>
      </c>
      <c r="BC106" s="352">
        <f t="shared" si="724"/>
        <v>0</v>
      </c>
      <c r="BD106" s="352">
        <f t="shared" si="724"/>
        <v>0</v>
      </c>
      <c r="BE106" s="352">
        <f t="shared" si="724"/>
        <v>0</v>
      </c>
      <c r="BF106" s="352">
        <f t="shared" si="724"/>
        <v>0</v>
      </c>
      <c r="BG106" s="352">
        <f t="shared" si="724"/>
        <v>0</v>
      </c>
      <c r="BH106" s="352">
        <f t="shared" ref="BH106:BM107" si="804">IF(BH$3=$E106,$D106,0)</f>
        <v>0</v>
      </c>
      <c r="BI106" s="352">
        <f t="shared" si="804"/>
        <v>0</v>
      </c>
      <c r="BJ106" s="352">
        <f t="shared" si="804"/>
        <v>0</v>
      </c>
      <c r="BK106" s="339">
        <f t="shared" si="804"/>
        <v>0</v>
      </c>
      <c r="BL106" s="352">
        <f t="shared" si="804"/>
        <v>0</v>
      </c>
      <c r="BM106" s="352">
        <f t="shared" si="804"/>
        <v>0</v>
      </c>
      <c r="BN106" s="352">
        <f t="shared" si="662"/>
        <v>0</v>
      </c>
      <c r="BO106" s="352">
        <f t="shared" si="662"/>
        <v>30000</v>
      </c>
      <c r="BP106" s="352">
        <f t="shared" si="662"/>
        <v>0</v>
      </c>
      <c r="BQ106" s="352">
        <f t="shared" si="662"/>
        <v>0</v>
      </c>
      <c r="BR106" s="376">
        <f t="shared" ref="BR106" si="805">SUM(AC106:AV106)-SUM(AX106:BQ106)</f>
        <v>0</v>
      </c>
    </row>
    <row r="107" spans="1:70" s="240" customFormat="1" ht="14.45" customHeight="1" x14ac:dyDescent="0.25">
      <c r="A107" s="240" t="s">
        <v>139</v>
      </c>
      <c r="B107" s="458"/>
      <c r="C107" s="350"/>
      <c r="D107" s="447">
        <v>14000</v>
      </c>
      <c r="E107" s="350" t="s">
        <v>271</v>
      </c>
      <c r="F107" s="450"/>
      <c r="G107" s="450"/>
      <c r="H107" s="450"/>
      <c r="I107" s="450"/>
      <c r="J107" s="450"/>
      <c r="K107" s="351"/>
      <c r="L107" s="351">
        <v>0</v>
      </c>
      <c r="M107" s="351">
        <v>0</v>
      </c>
      <c r="N107" s="351">
        <v>0</v>
      </c>
      <c r="O107" s="351">
        <v>0</v>
      </c>
      <c r="P107" s="351">
        <v>0</v>
      </c>
      <c r="Q107" s="351">
        <v>0</v>
      </c>
      <c r="R107" s="351">
        <v>0</v>
      </c>
      <c r="S107" s="351">
        <v>0</v>
      </c>
      <c r="T107" s="351">
        <v>0</v>
      </c>
      <c r="U107" s="351">
        <v>0</v>
      </c>
      <c r="V107" s="351">
        <v>1</v>
      </c>
      <c r="W107" s="351"/>
      <c r="X107" s="351">
        <v>0</v>
      </c>
      <c r="Y107" s="351">
        <v>0</v>
      </c>
      <c r="Z107" s="449">
        <f>SUM(F107:Y107)</f>
        <v>1</v>
      </c>
      <c r="AA107" s="350"/>
      <c r="AB107" s="350"/>
      <c r="AC107" s="352">
        <f t="shared" ref="AC107" si="806">F107*$D107</f>
        <v>0</v>
      </c>
      <c r="AD107" s="352">
        <f t="shared" ref="AD107" si="807">G107*$D107</f>
        <v>0</v>
      </c>
      <c r="AE107" s="352">
        <f t="shared" ref="AE107" si="808">H107*$D107</f>
        <v>0</v>
      </c>
      <c r="AF107" s="352">
        <f t="shared" ref="AF107" si="809">I107*$D107</f>
        <v>0</v>
      </c>
      <c r="AG107" s="352">
        <f t="shared" ref="AG107" si="810">J107*$D107</f>
        <v>0</v>
      </c>
      <c r="AH107" s="447">
        <f t="shared" ref="AH107" si="811">K107*$D107</f>
        <v>0</v>
      </c>
      <c r="AI107" s="352">
        <f t="shared" ref="AI107" si="812">L107*$D107</f>
        <v>0</v>
      </c>
      <c r="AJ107" s="447">
        <f t="shared" ref="AJ107" si="813">M107*$D107</f>
        <v>0</v>
      </c>
      <c r="AK107" s="352">
        <f t="shared" ref="AK107" si="814">N107*$D107</f>
        <v>0</v>
      </c>
      <c r="AL107" s="352">
        <f t="shared" ref="AL107" si="815">O107*$D107</f>
        <v>0</v>
      </c>
      <c r="AM107" s="447">
        <f t="shared" ref="AM107" si="816">P107*$D107</f>
        <v>0</v>
      </c>
      <c r="AN107" s="339">
        <f t="shared" ref="AN107" si="817">Q107*$D107</f>
        <v>0</v>
      </c>
      <c r="AO107" s="339">
        <f t="shared" ref="AO107" si="818">R107*$D107</f>
        <v>0</v>
      </c>
      <c r="AP107" s="352">
        <f t="shared" ref="AP107" si="819">S107*$D107</f>
        <v>0</v>
      </c>
      <c r="AQ107" s="339">
        <f t="shared" ref="AQ107" si="820">T107*$D107</f>
        <v>0</v>
      </c>
      <c r="AR107" s="339">
        <f t="shared" ref="AR107" si="821">U107*$D107</f>
        <v>0</v>
      </c>
      <c r="AS107" s="339">
        <f t="shared" ref="AS107:AT109" si="822">V107*$D107</f>
        <v>14000</v>
      </c>
      <c r="AT107" s="339">
        <f t="shared" ref="AT107:AT108" si="823">W107*$D107</f>
        <v>0</v>
      </c>
      <c r="AU107" s="339">
        <f t="shared" ref="AU107" si="824">X107*$D107</f>
        <v>0</v>
      </c>
      <c r="AV107" s="352"/>
      <c r="AW107" s="352"/>
      <c r="AX107" s="352">
        <f t="shared" ref="AX107:BG107" si="825">IF(AX$3=$E107,$D107,0)</f>
        <v>0</v>
      </c>
      <c r="AY107" s="352">
        <f t="shared" si="825"/>
        <v>0</v>
      </c>
      <c r="AZ107" s="352">
        <f t="shared" si="825"/>
        <v>0</v>
      </c>
      <c r="BA107" s="352">
        <f t="shared" si="825"/>
        <v>0</v>
      </c>
      <c r="BB107" s="352">
        <f t="shared" si="825"/>
        <v>0</v>
      </c>
      <c r="BC107" s="352">
        <f t="shared" si="825"/>
        <v>0</v>
      </c>
      <c r="BD107" s="352">
        <f t="shared" si="825"/>
        <v>0</v>
      </c>
      <c r="BE107" s="352">
        <f t="shared" si="825"/>
        <v>0</v>
      </c>
      <c r="BF107" s="352">
        <f t="shared" si="825"/>
        <v>0</v>
      </c>
      <c r="BG107" s="352">
        <f t="shared" si="825"/>
        <v>0</v>
      </c>
      <c r="BH107" s="352">
        <f t="shared" si="804"/>
        <v>0</v>
      </c>
      <c r="BI107" s="352">
        <f t="shared" si="804"/>
        <v>0</v>
      </c>
      <c r="BJ107" s="352">
        <f t="shared" si="804"/>
        <v>0</v>
      </c>
      <c r="BK107" s="339">
        <f t="shared" si="804"/>
        <v>0</v>
      </c>
      <c r="BL107" s="352">
        <f t="shared" si="804"/>
        <v>0</v>
      </c>
      <c r="BM107" s="352">
        <f t="shared" si="804"/>
        <v>14000</v>
      </c>
      <c r="BN107" s="352">
        <f t="shared" si="662"/>
        <v>0</v>
      </c>
      <c r="BO107" s="352">
        <f t="shared" si="662"/>
        <v>0</v>
      </c>
      <c r="BP107" s="352">
        <f t="shared" si="662"/>
        <v>0</v>
      </c>
      <c r="BQ107" s="352">
        <f t="shared" si="662"/>
        <v>0</v>
      </c>
      <c r="BR107" s="376">
        <f t="shared" ref="BR107" si="826">SUM(AC107:AV107)-SUM(AX107:BQ107)</f>
        <v>0</v>
      </c>
    </row>
    <row r="108" spans="1:70" s="240" customFormat="1" ht="14.45" customHeight="1" x14ac:dyDescent="0.25">
      <c r="A108" s="240" t="s">
        <v>139</v>
      </c>
      <c r="B108" s="458"/>
      <c r="C108" s="350"/>
      <c r="D108" s="447">
        <v>20000</v>
      </c>
      <c r="E108" s="350" t="s">
        <v>260</v>
      </c>
      <c r="F108" s="450"/>
      <c r="G108" s="450"/>
      <c r="H108" s="450"/>
      <c r="I108" s="450"/>
      <c r="J108" s="450"/>
      <c r="K108" s="351"/>
      <c r="L108" s="351">
        <v>0</v>
      </c>
      <c r="M108" s="351">
        <v>0</v>
      </c>
      <c r="N108" s="351">
        <v>0</v>
      </c>
      <c r="O108" s="351">
        <v>0</v>
      </c>
      <c r="P108" s="351">
        <v>0</v>
      </c>
      <c r="Q108" s="351">
        <v>0</v>
      </c>
      <c r="R108" s="351">
        <v>0</v>
      </c>
      <c r="S108" s="351">
        <v>0</v>
      </c>
      <c r="T108" s="351">
        <v>0</v>
      </c>
      <c r="U108" s="351">
        <v>0</v>
      </c>
      <c r="V108" s="351">
        <v>0.6</v>
      </c>
      <c r="W108" s="351">
        <v>0.4</v>
      </c>
      <c r="X108" s="351"/>
      <c r="Y108" s="351"/>
      <c r="Z108" s="449">
        <v>1</v>
      </c>
      <c r="AA108" s="350"/>
      <c r="AB108" s="350"/>
      <c r="AC108" s="352">
        <v>0</v>
      </c>
      <c r="AD108" s="352">
        <v>0</v>
      </c>
      <c r="AE108" s="352">
        <v>0</v>
      </c>
      <c r="AF108" s="352">
        <v>0</v>
      </c>
      <c r="AG108" s="352">
        <v>0</v>
      </c>
      <c r="AH108" s="447">
        <v>0</v>
      </c>
      <c r="AI108" s="352">
        <v>0</v>
      </c>
      <c r="AJ108" s="447">
        <v>0</v>
      </c>
      <c r="AK108" s="352">
        <v>0</v>
      </c>
      <c r="AL108" s="352">
        <v>0</v>
      </c>
      <c r="AM108" s="447">
        <v>0</v>
      </c>
      <c r="AN108" s="339">
        <v>0</v>
      </c>
      <c r="AO108" s="339">
        <v>0</v>
      </c>
      <c r="AP108" s="352">
        <v>0</v>
      </c>
      <c r="AQ108" s="339">
        <v>0</v>
      </c>
      <c r="AR108" s="339">
        <v>0</v>
      </c>
      <c r="AS108" s="339">
        <f t="shared" si="822"/>
        <v>12000</v>
      </c>
      <c r="AT108" s="339">
        <f t="shared" si="823"/>
        <v>8000</v>
      </c>
      <c r="AU108" s="339">
        <v>0</v>
      </c>
      <c r="AV108" s="352"/>
      <c r="AW108" s="352"/>
      <c r="AX108" s="352">
        <v>0</v>
      </c>
      <c r="AY108" s="352">
        <v>0</v>
      </c>
      <c r="AZ108" s="352">
        <v>0</v>
      </c>
      <c r="BA108" s="352">
        <v>0</v>
      </c>
      <c r="BB108" s="352">
        <v>0</v>
      </c>
      <c r="BC108" s="352">
        <v>0</v>
      </c>
      <c r="BD108" s="352">
        <v>0</v>
      </c>
      <c r="BE108" s="352">
        <v>0</v>
      </c>
      <c r="BF108" s="352">
        <v>0</v>
      </c>
      <c r="BG108" s="352">
        <v>0</v>
      </c>
      <c r="BH108" s="352">
        <v>0</v>
      </c>
      <c r="BI108" s="352">
        <v>0</v>
      </c>
      <c r="BJ108" s="352">
        <v>0</v>
      </c>
      <c r="BK108" s="339">
        <v>0</v>
      </c>
      <c r="BL108" s="352">
        <v>0</v>
      </c>
      <c r="BM108" s="352">
        <v>0</v>
      </c>
      <c r="BN108" s="352">
        <f t="shared" si="662"/>
        <v>20000</v>
      </c>
      <c r="BO108" s="352">
        <v>0</v>
      </c>
      <c r="BP108" s="352">
        <v>0</v>
      </c>
      <c r="BQ108" s="352">
        <v>0</v>
      </c>
      <c r="BR108" s="376">
        <v>0</v>
      </c>
    </row>
    <row r="109" spans="1:70" s="240" customFormat="1" ht="14.45" customHeight="1" x14ac:dyDescent="0.25">
      <c r="A109" s="240" t="s">
        <v>139</v>
      </c>
      <c r="B109" s="458"/>
      <c r="C109" s="350"/>
      <c r="D109" s="447">
        <v>40000</v>
      </c>
      <c r="E109" s="350" t="s">
        <v>260</v>
      </c>
      <c r="F109" s="450"/>
      <c r="G109" s="450"/>
      <c r="H109" s="450"/>
      <c r="I109" s="450"/>
      <c r="J109" s="450"/>
      <c r="K109" s="351"/>
      <c r="L109" s="351">
        <v>0</v>
      </c>
      <c r="M109" s="351">
        <v>0</v>
      </c>
      <c r="N109" s="351">
        <v>0</v>
      </c>
      <c r="O109" s="351">
        <v>0</v>
      </c>
      <c r="P109" s="351">
        <v>0</v>
      </c>
      <c r="Q109" s="351">
        <v>0</v>
      </c>
      <c r="R109" s="351">
        <v>0</v>
      </c>
      <c r="S109" s="351">
        <v>0</v>
      </c>
      <c r="T109" s="351">
        <v>0</v>
      </c>
      <c r="U109" s="351">
        <v>0</v>
      </c>
      <c r="V109" s="351">
        <v>0.6</v>
      </c>
      <c r="W109" s="351">
        <v>0.4</v>
      </c>
      <c r="X109" s="351"/>
      <c r="Y109" s="351"/>
      <c r="Z109" s="449">
        <v>1</v>
      </c>
      <c r="AA109" s="350"/>
      <c r="AB109" s="350"/>
      <c r="AC109" s="352">
        <v>0</v>
      </c>
      <c r="AD109" s="352">
        <v>0</v>
      </c>
      <c r="AE109" s="352">
        <v>0</v>
      </c>
      <c r="AF109" s="352">
        <v>0</v>
      </c>
      <c r="AG109" s="352">
        <v>0</v>
      </c>
      <c r="AH109" s="447">
        <v>0</v>
      </c>
      <c r="AI109" s="352">
        <v>0</v>
      </c>
      <c r="AJ109" s="447">
        <v>0</v>
      </c>
      <c r="AK109" s="352">
        <v>0</v>
      </c>
      <c r="AL109" s="352">
        <v>0</v>
      </c>
      <c r="AM109" s="447">
        <v>0</v>
      </c>
      <c r="AN109" s="339">
        <v>0</v>
      </c>
      <c r="AO109" s="339">
        <v>0</v>
      </c>
      <c r="AP109" s="352">
        <v>0</v>
      </c>
      <c r="AQ109" s="339">
        <v>0</v>
      </c>
      <c r="AR109" s="339">
        <v>0</v>
      </c>
      <c r="AS109" s="339">
        <f t="shared" si="822"/>
        <v>24000</v>
      </c>
      <c r="AT109" s="339">
        <f t="shared" si="822"/>
        <v>16000</v>
      </c>
      <c r="AU109" s="339">
        <v>0</v>
      </c>
      <c r="AV109" s="352"/>
      <c r="AW109" s="352"/>
      <c r="AX109" s="352">
        <v>0</v>
      </c>
      <c r="AY109" s="352">
        <v>0</v>
      </c>
      <c r="AZ109" s="352">
        <v>0</v>
      </c>
      <c r="BA109" s="352">
        <v>0</v>
      </c>
      <c r="BB109" s="352">
        <v>0</v>
      </c>
      <c r="BC109" s="352">
        <v>0</v>
      </c>
      <c r="BD109" s="352">
        <v>0</v>
      </c>
      <c r="BE109" s="352">
        <v>0</v>
      </c>
      <c r="BF109" s="352">
        <v>0</v>
      </c>
      <c r="BG109" s="352">
        <v>0</v>
      </c>
      <c r="BH109" s="352">
        <v>0</v>
      </c>
      <c r="BI109" s="352">
        <v>0</v>
      </c>
      <c r="BJ109" s="352">
        <v>0</v>
      </c>
      <c r="BK109" s="339">
        <v>0</v>
      </c>
      <c r="BL109" s="352">
        <v>0</v>
      </c>
      <c r="BM109" s="352">
        <v>0</v>
      </c>
      <c r="BN109" s="352">
        <f t="shared" si="662"/>
        <v>40000</v>
      </c>
      <c r="BO109" s="352">
        <v>0</v>
      </c>
      <c r="BP109" s="352">
        <v>0</v>
      </c>
      <c r="BQ109" s="352">
        <v>0</v>
      </c>
      <c r="BR109" s="376">
        <v>0</v>
      </c>
    </row>
    <row r="110" spans="1:70" s="240" customFormat="1" ht="14.45" customHeight="1" x14ac:dyDescent="0.25">
      <c r="A110" s="240" t="s">
        <v>139</v>
      </c>
      <c r="B110" s="458"/>
      <c r="C110" s="350"/>
      <c r="D110" s="447">
        <v>6500</v>
      </c>
      <c r="E110" s="350" t="s">
        <v>260</v>
      </c>
      <c r="F110" s="450"/>
      <c r="G110" s="450"/>
      <c r="H110" s="450"/>
      <c r="I110" s="450"/>
      <c r="J110" s="450"/>
      <c r="K110" s="351"/>
      <c r="L110" s="351">
        <v>0</v>
      </c>
      <c r="M110" s="351">
        <v>0</v>
      </c>
      <c r="N110" s="351">
        <v>0</v>
      </c>
      <c r="O110" s="351">
        <v>0</v>
      </c>
      <c r="P110" s="351">
        <v>0</v>
      </c>
      <c r="Q110" s="351">
        <v>0</v>
      </c>
      <c r="R110" s="351">
        <v>0</v>
      </c>
      <c r="S110" s="351">
        <v>0</v>
      </c>
      <c r="T110" s="351">
        <v>0</v>
      </c>
      <c r="U110" s="351">
        <v>0</v>
      </c>
      <c r="V110" s="351">
        <v>1</v>
      </c>
      <c r="W110" s="351">
        <v>0</v>
      </c>
      <c r="X110" s="351"/>
      <c r="Y110" s="351"/>
      <c r="Z110" s="449">
        <f t="shared" si="765"/>
        <v>1</v>
      </c>
      <c r="AA110" s="350"/>
      <c r="AB110" s="350"/>
      <c r="AC110" s="352">
        <f t="shared" si="766"/>
        <v>0</v>
      </c>
      <c r="AD110" s="352">
        <f t="shared" si="767"/>
        <v>0</v>
      </c>
      <c r="AE110" s="352">
        <f t="shared" si="768"/>
        <v>0</v>
      </c>
      <c r="AF110" s="352">
        <f t="shared" si="769"/>
        <v>0</v>
      </c>
      <c r="AG110" s="352">
        <f t="shared" si="770"/>
        <v>0</v>
      </c>
      <c r="AH110" s="447">
        <f t="shared" si="771"/>
        <v>0</v>
      </c>
      <c r="AI110" s="352">
        <f t="shared" si="772"/>
        <v>0</v>
      </c>
      <c r="AJ110" s="447">
        <f t="shared" si="773"/>
        <v>0</v>
      </c>
      <c r="AK110" s="352">
        <f t="shared" si="774"/>
        <v>0</v>
      </c>
      <c r="AL110" s="352">
        <f t="shared" si="775"/>
        <v>0</v>
      </c>
      <c r="AM110" s="447">
        <f t="shared" si="776"/>
        <v>0</v>
      </c>
      <c r="AN110" s="339">
        <f t="shared" si="777"/>
        <v>0</v>
      </c>
      <c r="AO110" s="339">
        <f t="shared" si="778"/>
        <v>0</v>
      </c>
      <c r="AP110" s="352">
        <f t="shared" si="779"/>
        <v>0</v>
      </c>
      <c r="AQ110" s="339">
        <f t="shared" si="780"/>
        <v>0</v>
      </c>
      <c r="AR110" s="339">
        <f t="shared" si="781"/>
        <v>0</v>
      </c>
      <c r="AS110" s="339">
        <f t="shared" si="782"/>
        <v>6500</v>
      </c>
      <c r="AT110" s="339">
        <f t="shared" si="783"/>
        <v>0</v>
      </c>
      <c r="AU110" s="339">
        <f t="shared" si="784"/>
        <v>0</v>
      </c>
      <c r="AV110" s="352"/>
      <c r="AW110" s="352"/>
      <c r="AX110" s="352">
        <f t="shared" si="724"/>
        <v>0</v>
      </c>
      <c r="AY110" s="352">
        <f t="shared" si="724"/>
        <v>0</v>
      </c>
      <c r="AZ110" s="352">
        <f t="shared" si="724"/>
        <v>0</v>
      </c>
      <c r="BA110" s="352">
        <f t="shared" si="724"/>
        <v>0</v>
      </c>
      <c r="BB110" s="352">
        <f t="shared" si="724"/>
        <v>0</v>
      </c>
      <c r="BC110" s="352">
        <f t="shared" si="724"/>
        <v>0</v>
      </c>
      <c r="BD110" s="352">
        <f t="shared" si="724"/>
        <v>0</v>
      </c>
      <c r="BE110" s="352">
        <f t="shared" si="724"/>
        <v>0</v>
      </c>
      <c r="BF110" s="352">
        <f t="shared" si="724"/>
        <v>0</v>
      </c>
      <c r="BG110" s="352">
        <f t="shared" si="724"/>
        <v>0</v>
      </c>
      <c r="BH110" s="352">
        <f t="shared" si="724"/>
        <v>0</v>
      </c>
      <c r="BI110" s="352">
        <f t="shared" si="724"/>
        <v>0</v>
      </c>
      <c r="BJ110" s="352">
        <f t="shared" si="724"/>
        <v>0</v>
      </c>
      <c r="BK110" s="339">
        <f t="shared" si="724"/>
        <v>0</v>
      </c>
      <c r="BL110" s="352">
        <f t="shared" si="724"/>
        <v>0</v>
      </c>
      <c r="BM110" s="352">
        <f t="shared" si="724"/>
        <v>0</v>
      </c>
      <c r="BN110" s="352">
        <f t="shared" si="662"/>
        <v>6500</v>
      </c>
      <c r="BO110" s="352">
        <f t="shared" si="662"/>
        <v>0</v>
      </c>
      <c r="BP110" s="352">
        <f t="shared" si="662"/>
        <v>0</v>
      </c>
      <c r="BQ110" s="352">
        <f t="shared" si="662"/>
        <v>0</v>
      </c>
      <c r="BR110" s="376">
        <f t="shared" si="614"/>
        <v>0</v>
      </c>
    </row>
    <row r="111" spans="1:70" s="240" customFormat="1" ht="14.25" customHeight="1" x14ac:dyDescent="0.25">
      <c r="A111" s="240" t="s">
        <v>139</v>
      </c>
      <c r="B111" s="458"/>
      <c r="C111" s="350"/>
      <c r="D111" s="447">
        <v>4000</v>
      </c>
      <c r="E111" s="350" t="s">
        <v>271</v>
      </c>
      <c r="F111" s="450"/>
      <c r="G111" s="450"/>
      <c r="H111" s="450"/>
      <c r="I111" s="450"/>
      <c r="J111" s="450"/>
      <c r="K111" s="351"/>
      <c r="L111" s="351">
        <v>0</v>
      </c>
      <c r="M111" s="351">
        <v>0</v>
      </c>
      <c r="N111" s="351">
        <v>0</v>
      </c>
      <c r="O111" s="351">
        <v>0</v>
      </c>
      <c r="P111" s="351">
        <v>0</v>
      </c>
      <c r="Q111" s="351">
        <v>0</v>
      </c>
      <c r="R111" s="351">
        <v>0</v>
      </c>
      <c r="S111" s="351">
        <v>0</v>
      </c>
      <c r="T111" s="351">
        <v>0</v>
      </c>
      <c r="U111" s="351">
        <v>1</v>
      </c>
      <c r="V111" s="351"/>
      <c r="W111" s="351"/>
      <c r="X111" s="351"/>
      <c r="Y111" s="351"/>
      <c r="Z111" s="449">
        <f t="shared" ref="Z111" si="827">SUM(F111:X111)</f>
        <v>1</v>
      </c>
      <c r="AA111" s="350"/>
      <c r="AB111" s="350"/>
      <c r="AC111" s="352">
        <f t="shared" ref="AC111" si="828">F111*$D111</f>
        <v>0</v>
      </c>
      <c r="AD111" s="352">
        <f t="shared" ref="AD111" si="829">G111*$D111</f>
        <v>0</v>
      </c>
      <c r="AE111" s="352">
        <f t="shared" ref="AE111" si="830">H111*$D111</f>
        <v>0</v>
      </c>
      <c r="AF111" s="352">
        <f t="shared" ref="AF111" si="831">I111*$D111</f>
        <v>0</v>
      </c>
      <c r="AG111" s="352">
        <f t="shared" ref="AG111" si="832">J111*$D111</f>
        <v>0</v>
      </c>
      <c r="AH111" s="447">
        <f t="shared" ref="AH111" si="833">K111*$D111</f>
        <v>0</v>
      </c>
      <c r="AI111" s="352">
        <f t="shared" ref="AI111" si="834">L111*$D111</f>
        <v>0</v>
      </c>
      <c r="AJ111" s="447">
        <f t="shared" ref="AJ111" si="835">M111*$D111</f>
        <v>0</v>
      </c>
      <c r="AK111" s="352">
        <f t="shared" ref="AK111" si="836">N111*$D111</f>
        <v>0</v>
      </c>
      <c r="AL111" s="352">
        <f t="shared" ref="AL111" si="837">O111*$D111</f>
        <v>0</v>
      </c>
      <c r="AM111" s="447">
        <f t="shared" ref="AM111" si="838">P111*$D111</f>
        <v>0</v>
      </c>
      <c r="AN111" s="339">
        <f t="shared" ref="AN111" si="839">Q111*$D111</f>
        <v>0</v>
      </c>
      <c r="AO111" s="339">
        <f t="shared" ref="AO111" si="840">R111*$D111</f>
        <v>0</v>
      </c>
      <c r="AP111" s="352">
        <f t="shared" ref="AP111" si="841">S111*$D111</f>
        <v>0</v>
      </c>
      <c r="AQ111" s="339">
        <f t="shared" ref="AQ111" si="842">T111*$D111</f>
        <v>0</v>
      </c>
      <c r="AR111" s="339">
        <f t="shared" ref="AR111" si="843">U111*$D111</f>
        <v>4000</v>
      </c>
      <c r="AS111" s="339">
        <f t="shared" ref="AS111" si="844">V111*$D111</f>
        <v>0</v>
      </c>
      <c r="AT111" s="339">
        <f t="shared" ref="AT111" si="845">W111*$D111</f>
        <v>0</v>
      </c>
      <c r="AU111" s="339">
        <f t="shared" ref="AU111" si="846">X111*$D111</f>
        <v>0</v>
      </c>
      <c r="AV111" s="352"/>
      <c r="AW111" s="352"/>
      <c r="AX111" s="352">
        <f t="shared" ref="AX111:BM111" si="847">IF(AX$3=$E111,$D111,0)</f>
        <v>0</v>
      </c>
      <c r="AY111" s="352">
        <f t="shared" si="847"/>
        <v>0</v>
      </c>
      <c r="AZ111" s="352">
        <f t="shared" si="847"/>
        <v>0</v>
      </c>
      <c r="BA111" s="352">
        <f t="shared" si="847"/>
        <v>0</v>
      </c>
      <c r="BB111" s="352">
        <f t="shared" si="847"/>
        <v>0</v>
      </c>
      <c r="BC111" s="352">
        <f t="shared" si="847"/>
        <v>0</v>
      </c>
      <c r="BD111" s="352">
        <f t="shared" si="847"/>
        <v>0</v>
      </c>
      <c r="BE111" s="352">
        <f t="shared" si="847"/>
        <v>0</v>
      </c>
      <c r="BF111" s="352">
        <f t="shared" si="847"/>
        <v>0</v>
      </c>
      <c r="BG111" s="352">
        <f t="shared" si="847"/>
        <v>0</v>
      </c>
      <c r="BH111" s="352">
        <f t="shared" si="847"/>
        <v>0</v>
      </c>
      <c r="BI111" s="352">
        <f t="shared" si="847"/>
        <v>0</v>
      </c>
      <c r="BJ111" s="352">
        <f t="shared" si="847"/>
        <v>0</v>
      </c>
      <c r="BK111" s="339">
        <f t="shared" si="847"/>
        <v>0</v>
      </c>
      <c r="BL111" s="352">
        <f t="shared" si="847"/>
        <v>0</v>
      </c>
      <c r="BM111" s="352">
        <f t="shared" si="847"/>
        <v>4000</v>
      </c>
      <c r="BN111" s="352">
        <f t="shared" si="662"/>
        <v>0</v>
      </c>
      <c r="BO111" s="352">
        <f t="shared" si="662"/>
        <v>0</v>
      </c>
      <c r="BP111" s="352">
        <f t="shared" si="662"/>
        <v>0</v>
      </c>
      <c r="BQ111" s="352">
        <f t="shared" si="662"/>
        <v>0</v>
      </c>
      <c r="BR111" s="376">
        <f t="shared" ref="BR111" si="848">SUM(AC111:AV111)-SUM(AX111:BQ111)</f>
        <v>0</v>
      </c>
    </row>
    <row r="112" spans="1:70" s="240" customFormat="1" ht="15" customHeight="1" x14ac:dyDescent="0.25">
      <c r="A112" s="240" t="s">
        <v>136</v>
      </c>
      <c r="B112" s="458"/>
      <c r="C112" s="350"/>
      <c r="D112" s="447">
        <v>6600</v>
      </c>
      <c r="E112" s="350" t="s">
        <v>208</v>
      </c>
      <c r="F112" s="351"/>
      <c r="G112" s="351"/>
      <c r="H112" s="351"/>
      <c r="I112" s="351">
        <v>0</v>
      </c>
      <c r="J112" s="351">
        <v>0</v>
      </c>
      <c r="K112" s="351">
        <v>0</v>
      </c>
      <c r="L112" s="450">
        <v>0</v>
      </c>
      <c r="M112" s="450">
        <v>0</v>
      </c>
      <c r="N112" s="450">
        <v>0</v>
      </c>
      <c r="O112" s="450">
        <v>0</v>
      </c>
      <c r="P112" s="450">
        <v>0</v>
      </c>
      <c r="Q112" s="351">
        <v>0</v>
      </c>
      <c r="R112" s="351">
        <v>0</v>
      </c>
      <c r="S112" s="351">
        <v>0</v>
      </c>
      <c r="T112" s="351">
        <v>0.16666666666666666</v>
      </c>
      <c r="U112" s="351">
        <v>0.5</v>
      </c>
      <c r="V112" s="351">
        <v>0.33333333333333331</v>
      </c>
      <c r="W112" s="351">
        <f>1-(U112+V112+T112)</f>
        <v>0</v>
      </c>
      <c r="X112" s="351"/>
      <c r="Y112" s="351"/>
      <c r="Z112" s="449">
        <f>SUM(F112:Y112)</f>
        <v>1</v>
      </c>
      <c r="AA112" s="350"/>
      <c r="AB112" s="350"/>
      <c r="AC112" s="352">
        <f t="shared" ref="AC112:AC120" si="849">F112*$D112</f>
        <v>0</v>
      </c>
      <c r="AD112" s="352">
        <f t="shared" ref="AD112:AD120" si="850">G112*$D112</f>
        <v>0</v>
      </c>
      <c r="AE112" s="352">
        <f t="shared" ref="AE112:AE120" si="851">H112*$D112</f>
        <v>0</v>
      </c>
      <c r="AF112" s="352">
        <f t="shared" ref="AF112:AF120" si="852">I112*$D112</f>
        <v>0</v>
      </c>
      <c r="AG112" s="352">
        <f t="shared" ref="AG112:AG120" si="853">J112*$D112</f>
        <v>0</v>
      </c>
      <c r="AH112" s="447">
        <f t="shared" ref="AH112:AH120" si="854">K112*$D112</f>
        <v>0</v>
      </c>
      <c r="AI112" s="352">
        <f t="shared" ref="AI112:AI120" si="855">L112*$D112</f>
        <v>0</v>
      </c>
      <c r="AJ112" s="447">
        <f t="shared" ref="AJ112:AJ120" si="856">M112*$D112</f>
        <v>0</v>
      </c>
      <c r="AK112" s="447">
        <f t="shared" ref="AK112:AK120" si="857">N112*$D112</f>
        <v>0</v>
      </c>
      <c r="AL112" s="352">
        <f t="shared" ref="AL112:AL120" si="858">O112*$D112</f>
        <v>0</v>
      </c>
      <c r="AM112" s="447">
        <f t="shared" ref="AM112:AM120" si="859">P112*$D112</f>
        <v>0</v>
      </c>
      <c r="AN112" s="339">
        <f t="shared" ref="AN112:AN120" si="860">Q112*$D112</f>
        <v>0</v>
      </c>
      <c r="AO112" s="339">
        <f t="shared" ref="AO112:AO120" si="861">R112*$D112</f>
        <v>0</v>
      </c>
      <c r="AP112" s="352">
        <f t="shared" ref="AP112:AQ120" si="862">S112*$D112</f>
        <v>0</v>
      </c>
      <c r="AQ112" s="339">
        <f t="shared" si="862"/>
        <v>1100</v>
      </c>
      <c r="AR112" s="339">
        <f t="shared" ref="AR112:AR120" si="863">U112*$D112</f>
        <v>3300</v>
      </c>
      <c r="AS112" s="339">
        <f t="shared" ref="AS112:AS120" si="864">V112*$D112</f>
        <v>2200</v>
      </c>
      <c r="AT112" s="339">
        <f t="shared" ref="AT112:AT120" si="865">W112*$D112</f>
        <v>0</v>
      </c>
      <c r="AU112" s="339">
        <f t="shared" ref="AU112:AU120" si="866">X112*$D112</f>
        <v>0</v>
      </c>
      <c r="AV112" s="352"/>
      <c r="AW112" s="352"/>
      <c r="AX112" s="352">
        <f t="shared" si="724"/>
        <v>0</v>
      </c>
      <c r="AY112" s="352">
        <f t="shared" si="724"/>
        <v>0</v>
      </c>
      <c r="AZ112" s="352">
        <f t="shared" si="724"/>
        <v>0</v>
      </c>
      <c r="BA112" s="352">
        <f t="shared" si="724"/>
        <v>0</v>
      </c>
      <c r="BB112" s="352">
        <f t="shared" si="724"/>
        <v>0</v>
      </c>
      <c r="BC112" s="352">
        <f t="shared" si="724"/>
        <v>0</v>
      </c>
      <c r="BD112" s="352">
        <f t="shared" si="724"/>
        <v>0</v>
      </c>
      <c r="BE112" s="352">
        <f t="shared" si="724"/>
        <v>0</v>
      </c>
      <c r="BF112" s="447">
        <f t="shared" si="724"/>
        <v>0</v>
      </c>
      <c r="BG112" s="352">
        <f t="shared" si="724"/>
        <v>0</v>
      </c>
      <c r="BH112" s="352">
        <f t="shared" si="724"/>
        <v>0</v>
      </c>
      <c r="BI112" s="352">
        <f t="shared" si="724"/>
        <v>0</v>
      </c>
      <c r="BJ112" s="352">
        <f t="shared" si="724"/>
        <v>0</v>
      </c>
      <c r="BK112" s="339">
        <f t="shared" si="724"/>
        <v>0</v>
      </c>
      <c r="BL112" s="352">
        <f t="shared" si="724"/>
        <v>6600</v>
      </c>
      <c r="BM112" s="352">
        <f t="shared" si="724"/>
        <v>0</v>
      </c>
      <c r="BN112" s="352">
        <f t="shared" si="724"/>
        <v>0</v>
      </c>
      <c r="BO112" s="352">
        <f t="shared" si="662"/>
        <v>0</v>
      </c>
      <c r="BP112" s="352">
        <f t="shared" si="662"/>
        <v>0</v>
      </c>
      <c r="BQ112" s="352">
        <f t="shared" si="662"/>
        <v>0</v>
      </c>
      <c r="BR112" s="376">
        <f t="shared" ref="BR112" si="867">SUM(AC112:AV112)-SUM(AX112:BQ112)</f>
        <v>0</v>
      </c>
    </row>
    <row r="113" spans="1:70" s="240" customFormat="1" ht="15" customHeight="1" x14ac:dyDescent="0.25">
      <c r="A113" s="240" t="s">
        <v>136</v>
      </c>
      <c r="B113" s="458"/>
      <c r="C113" s="350"/>
      <c r="D113" s="447">
        <v>26400</v>
      </c>
      <c r="E113" s="350" t="s">
        <v>271</v>
      </c>
      <c r="F113" s="351"/>
      <c r="G113" s="351"/>
      <c r="H113" s="351"/>
      <c r="I113" s="351">
        <v>0</v>
      </c>
      <c r="J113" s="351">
        <v>0</v>
      </c>
      <c r="K113" s="351">
        <v>0</v>
      </c>
      <c r="L113" s="450">
        <v>0</v>
      </c>
      <c r="M113" s="450">
        <v>0</v>
      </c>
      <c r="N113" s="450">
        <v>0</v>
      </c>
      <c r="O113" s="450">
        <v>0</v>
      </c>
      <c r="P113" s="450">
        <v>0</v>
      </c>
      <c r="Q113" s="351">
        <v>0</v>
      </c>
      <c r="R113" s="351">
        <v>0</v>
      </c>
      <c r="S113" s="351">
        <v>0</v>
      </c>
      <c r="T113" s="351">
        <v>0</v>
      </c>
      <c r="U113" s="351">
        <v>0.33333333333333331</v>
      </c>
      <c r="V113" s="351">
        <v>0.5</v>
      </c>
      <c r="W113" s="351">
        <v>0.16666666666666666</v>
      </c>
      <c r="X113" s="351"/>
      <c r="Y113" s="351"/>
      <c r="Z113" s="449">
        <f>SUM(F113:Y113)</f>
        <v>0.99999999999999989</v>
      </c>
      <c r="AA113" s="350"/>
      <c r="AB113" s="350"/>
      <c r="AC113" s="352">
        <f t="shared" ref="AC113" si="868">F113*$D113</f>
        <v>0</v>
      </c>
      <c r="AD113" s="352">
        <f t="shared" ref="AD113" si="869">G113*$D113</f>
        <v>0</v>
      </c>
      <c r="AE113" s="352">
        <f t="shared" ref="AE113" si="870">H113*$D113</f>
        <v>0</v>
      </c>
      <c r="AF113" s="352">
        <f t="shared" ref="AF113" si="871">I113*$D113</f>
        <v>0</v>
      </c>
      <c r="AG113" s="352">
        <f t="shared" ref="AG113" si="872">J113*$D113</f>
        <v>0</v>
      </c>
      <c r="AH113" s="447">
        <f t="shared" ref="AH113" si="873">K113*$D113</f>
        <v>0</v>
      </c>
      <c r="AI113" s="352">
        <f t="shared" ref="AI113" si="874">L113*$D113</f>
        <v>0</v>
      </c>
      <c r="AJ113" s="447">
        <f t="shared" ref="AJ113" si="875">M113*$D113</f>
        <v>0</v>
      </c>
      <c r="AK113" s="447">
        <f t="shared" ref="AK113" si="876">N113*$D113</f>
        <v>0</v>
      </c>
      <c r="AL113" s="352">
        <f t="shared" ref="AL113" si="877">O113*$D113</f>
        <v>0</v>
      </c>
      <c r="AM113" s="447">
        <f t="shared" ref="AM113" si="878">P113*$D113</f>
        <v>0</v>
      </c>
      <c r="AN113" s="339">
        <f t="shared" ref="AN113" si="879">Q113*$D113</f>
        <v>0</v>
      </c>
      <c r="AO113" s="339">
        <f t="shared" ref="AO113" si="880">R113*$D113</f>
        <v>0</v>
      </c>
      <c r="AP113" s="352">
        <f t="shared" ref="AP113" si="881">S113*$D113</f>
        <v>0</v>
      </c>
      <c r="AQ113" s="339">
        <f t="shared" ref="AQ113" si="882">T113*$D113</f>
        <v>0</v>
      </c>
      <c r="AR113" s="339">
        <f t="shared" ref="AR113" si="883">U113*$D113</f>
        <v>8800</v>
      </c>
      <c r="AS113" s="339">
        <f t="shared" ref="AS113" si="884">V113*$D113</f>
        <v>13200</v>
      </c>
      <c r="AT113" s="339">
        <f t="shared" ref="AT113" si="885">W113*$D113</f>
        <v>4400</v>
      </c>
      <c r="AU113" s="339">
        <f t="shared" ref="AU113" si="886">X113*$D113</f>
        <v>0</v>
      </c>
      <c r="AV113" s="352"/>
      <c r="AW113" s="352"/>
      <c r="AX113" s="352">
        <f t="shared" ref="AX113:BN113" si="887">IF(AX$3=$E113,$D113,0)</f>
        <v>0</v>
      </c>
      <c r="AY113" s="352">
        <f t="shared" si="887"/>
        <v>0</v>
      </c>
      <c r="AZ113" s="352">
        <f t="shared" si="887"/>
        <v>0</v>
      </c>
      <c r="BA113" s="352">
        <f t="shared" si="887"/>
        <v>0</v>
      </c>
      <c r="BB113" s="352">
        <f t="shared" si="887"/>
        <v>0</v>
      </c>
      <c r="BC113" s="352">
        <f t="shared" si="887"/>
        <v>0</v>
      </c>
      <c r="BD113" s="352">
        <f t="shared" si="887"/>
        <v>0</v>
      </c>
      <c r="BE113" s="352">
        <f t="shared" si="887"/>
        <v>0</v>
      </c>
      <c r="BF113" s="447">
        <f t="shared" si="887"/>
        <v>0</v>
      </c>
      <c r="BG113" s="352">
        <f t="shared" si="887"/>
        <v>0</v>
      </c>
      <c r="BH113" s="352">
        <f t="shared" si="887"/>
        <v>0</v>
      </c>
      <c r="BI113" s="352">
        <f t="shared" si="887"/>
        <v>0</v>
      </c>
      <c r="BJ113" s="352">
        <f t="shared" si="887"/>
        <v>0</v>
      </c>
      <c r="BK113" s="339">
        <f t="shared" si="887"/>
        <v>0</v>
      </c>
      <c r="BL113" s="352">
        <f t="shared" si="887"/>
        <v>0</v>
      </c>
      <c r="BM113" s="352">
        <f t="shared" si="887"/>
        <v>26400</v>
      </c>
      <c r="BN113" s="352">
        <f t="shared" si="887"/>
        <v>0</v>
      </c>
      <c r="BO113" s="352">
        <f t="shared" si="662"/>
        <v>0</v>
      </c>
      <c r="BP113" s="352">
        <f t="shared" si="662"/>
        <v>0</v>
      </c>
      <c r="BQ113" s="352">
        <f t="shared" si="662"/>
        <v>0</v>
      </c>
      <c r="BR113" s="376">
        <f t="shared" ref="BR113" si="888">SUM(AC113:AV113)-SUM(AX113:BQ113)</f>
        <v>0</v>
      </c>
    </row>
    <row r="114" spans="1:70" s="240" customFormat="1" ht="14.45" customHeight="1" x14ac:dyDescent="0.25">
      <c r="A114" s="240" t="s">
        <v>136</v>
      </c>
      <c r="B114" s="458"/>
      <c r="C114" s="350"/>
      <c r="D114" s="447">
        <v>20000</v>
      </c>
      <c r="E114" s="350" t="s">
        <v>271</v>
      </c>
      <c r="F114" s="450"/>
      <c r="G114" s="450"/>
      <c r="H114" s="450"/>
      <c r="I114" s="450"/>
      <c r="J114" s="450"/>
      <c r="K114" s="351"/>
      <c r="L114" s="351">
        <v>0</v>
      </c>
      <c r="M114" s="351">
        <v>0</v>
      </c>
      <c r="N114" s="351">
        <v>0</v>
      </c>
      <c r="O114" s="351">
        <v>0</v>
      </c>
      <c r="P114" s="351">
        <v>0</v>
      </c>
      <c r="Q114" s="351">
        <v>0</v>
      </c>
      <c r="R114" s="351">
        <v>0</v>
      </c>
      <c r="S114" s="351">
        <v>0</v>
      </c>
      <c r="T114" s="351">
        <v>0</v>
      </c>
      <c r="U114" s="351">
        <v>1</v>
      </c>
      <c r="V114" s="351">
        <v>0</v>
      </c>
      <c r="W114" s="351"/>
      <c r="X114" s="351"/>
      <c r="Y114" s="351"/>
      <c r="Z114" s="449">
        <f t="shared" ref="Z114:Z120" si="889">SUM(F114:X114)</f>
        <v>1</v>
      </c>
      <c r="AA114" s="350"/>
      <c r="AB114" s="350"/>
      <c r="AC114" s="352">
        <f t="shared" si="849"/>
        <v>0</v>
      </c>
      <c r="AD114" s="352">
        <f t="shared" si="850"/>
        <v>0</v>
      </c>
      <c r="AE114" s="352">
        <f t="shared" si="851"/>
        <v>0</v>
      </c>
      <c r="AF114" s="352">
        <f t="shared" si="852"/>
        <v>0</v>
      </c>
      <c r="AG114" s="352">
        <f t="shared" si="853"/>
        <v>0</v>
      </c>
      <c r="AH114" s="447">
        <f t="shared" si="854"/>
        <v>0</v>
      </c>
      <c r="AI114" s="352">
        <f t="shared" si="855"/>
        <v>0</v>
      </c>
      <c r="AJ114" s="447">
        <f t="shared" si="856"/>
        <v>0</v>
      </c>
      <c r="AK114" s="352">
        <f t="shared" si="857"/>
        <v>0</v>
      </c>
      <c r="AL114" s="352">
        <f t="shared" si="858"/>
        <v>0</v>
      </c>
      <c r="AM114" s="447">
        <f t="shared" si="859"/>
        <v>0</v>
      </c>
      <c r="AN114" s="339">
        <f t="shared" si="860"/>
        <v>0</v>
      </c>
      <c r="AO114" s="339">
        <f t="shared" si="861"/>
        <v>0</v>
      </c>
      <c r="AP114" s="352">
        <f t="shared" si="862"/>
        <v>0</v>
      </c>
      <c r="AQ114" s="339">
        <f t="shared" si="862"/>
        <v>0</v>
      </c>
      <c r="AR114" s="339">
        <f t="shared" si="863"/>
        <v>20000</v>
      </c>
      <c r="AS114" s="339">
        <f t="shared" si="864"/>
        <v>0</v>
      </c>
      <c r="AT114" s="339">
        <f t="shared" si="865"/>
        <v>0</v>
      </c>
      <c r="AU114" s="339">
        <f t="shared" si="866"/>
        <v>0</v>
      </c>
      <c r="AV114" s="352"/>
      <c r="AW114" s="352"/>
      <c r="AX114" s="352">
        <f t="shared" si="724"/>
        <v>0</v>
      </c>
      <c r="AY114" s="352">
        <f t="shared" si="724"/>
        <v>0</v>
      </c>
      <c r="AZ114" s="352">
        <f t="shared" si="724"/>
        <v>0</v>
      </c>
      <c r="BA114" s="352">
        <f t="shared" si="724"/>
        <v>0</v>
      </c>
      <c r="BB114" s="352">
        <f t="shared" si="724"/>
        <v>0</v>
      </c>
      <c r="BC114" s="352">
        <f t="shared" si="724"/>
        <v>0</v>
      </c>
      <c r="BD114" s="352">
        <f t="shared" si="724"/>
        <v>0</v>
      </c>
      <c r="BE114" s="352">
        <f t="shared" si="724"/>
        <v>0</v>
      </c>
      <c r="BF114" s="352">
        <f t="shared" si="724"/>
        <v>0</v>
      </c>
      <c r="BG114" s="352">
        <f t="shared" si="724"/>
        <v>0</v>
      </c>
      <c r="BH114" s="352">
        <f t="shared" si="724"/>
        <v>0</v>
      </c>
      <c r="BI114" s="352">
        <f t="shared" si="724"/>
        <v>0</v>
      </c>
      <c r="BJ114" s="352">
        <f t="shared" si="724"/>
        <v>0</v>
      </c>
      <c r="BK114" s="339">
        <f t="shared" si="724"/>
        <v>0</v>
      </c>
      <c r="BL114" s="352">
        <f t="shared" si="724"/>
        <v>0</v>
      </c>
      <c r="BM114" s="352">
        <f t="shared" si="724"/>
        <v>20000</v>
      </c>
      <c r="BN114" s="352">
        <f t="shared" si="662"/>
        <v>0</v>
      </c>
      <c r="BO114" s="352">
        <f t="shared" si="662"/>
        <v>0</v>
      </c>
      <c r="BP114" s="352">
        <f t="shared" si="662"/>
        <v>0</v>
      </c>
      <c r="BQ114" s="352">
        <f t="shared" si="662"/>
        <v>0</v>
      </c>
      <c r="BR114" s="376">
        <f t="shared" ref="BR114:BR119" si="890">SUM(AC114:AV114)-SUM(AX114:BQ114)</f>
        <v>0</v>
      </c>
    </row>
    <row r="115" spans="1:70" s="240" customFormat="1" ht="14.45" customHeight="1" x14ac:dyDescent="0.25">
      <c r="A115" s="240" t="s">
        <v>139</v>
      </c>
      <c r="B115" s="458"/>
      <c r="C115" s="350"/>
      <c r="D115" s="447">
        <v>8000</v>
      </c>
      <c r="E115" s="350" t="s">
        <v>260</v>
      </c>
      <c r="F115" s="450"/>
      <c r="G115" s="450"/>
      <c r="H115" s="450"/>
      <c r="I115" s="450"/>
      <c r="J115" s="450"/>
      <c r="K115" s="351"/>
      <c r="L115" s="351">
        <v>0</v>
      </c>
      <c r="M115" s="351">
        <v>0</v>
      </c>
      <c r="N115" s="351">
        <v>0</v>
      </c>
      <c r="O115" s="351">
        <v>0</v>
      </c>
      <c r="P115" s="351">
        <v>0</v>
      </c>
      <c r="Q115" s="351">
        <v>0</v>
      </c>
      <c r="R115" s="351">
        <v>0</v>
      </c>
      <c r="S115" s="351">
        <v>0</v>
      </c>
      <c r="T115" s="351">
        <v>0</v>
      </c>
      <c r="U115" s="351"/>
      <c r="V115" s="351">
        <v>0.25</v>
      </c>
      <c r="W115" s="351">
        <v>0.75</v>
      </c>
      <c r="X115" s="351"/>
      <c r="Y115" s="351"/>
      <c r="Z115" s="449">
        <f t="shared" si="889"/>
        <v>1</v>
      </c>
      <c r="AA115" s="350"/>
      <c r="AB115" s="350"/>
      <c r="AC115" s="352">
        <f t="shared" si="849"/>
        <v>0</v>
      </c>
      <c r="AD115" s="352">
        <f t="shared" si="850"/>
        <v>0</v>
      </c>
      <c r="AE115" s="352">
        <f t="shared" si="851"/>
        <v>0</v>
      </c>
      <c r="AF115" s="352">
        <f t="shared" si="852"/>
        <v>0</v>
      </c>
      <c r="AG115" s="352">
        <f t="shared" si="853"/>
        <v>0</v>
      </c>
      <c r="AH115" s="447">
        <f t="shared" si="854"/>
        <v>0</v>
      </c>
      <c r="AI115" s="352">
        <f t="shared" si="855"/>
        <v>0</v>
      </c>
      <c r="AJ115" s="447">
        <f t="shared" si="856"/>
        <v>0</v>
      </c>
      <c r="AK115" s="352">
        <f t="shared" si="857"/>
        <v>0</v>
      </c>
      <c r="AL115" s="352">
        <f t="shared" si="858"/>
        <v>0</v>
      </c>
      <c r="AM115" s="447">
        <f t="shared" si="859"/>
        <v>0</v>
      </c>
      <c r="AN115" s="339">
        <f t="shared" si="860"/>
        <v>0</v>
      </c>
      <c r="AO115" s="339">
        <f t="shared" si="861"/>
        <v>0</v>
      </c>
      <c r="AP115" s="352">
        <f t="shared" si="862"/>
        <v>0</v>
      </c>
      <c r="AQ115" s="339">
        <f t="shared" si="862"/>
        <v>0</v>
      </c>
      <c r="AR115" s="339">
        <f t="shared" si="863"/>
        <v>0</v>
      </c>
      <c r="AS115" s="339">
        <f t="shared" si="864"/>
        <v>2000</v>
      </c>
      <c r="AT115" s="339">
        <f t="shared" si="865"/>
        <v>6000</v>
      </c>
      <c r="AU115" s="339">
        <f t="shared" si="866"/>
        <v>0</v>
      </c>
      <c r="AV115" s="352"/>
      <c r="AW115" s="352"/>
      <c r="AX115" s="352">
        <f t="shared" si="724"/>
        <v>0</v>
      </c>
      <c r="AY115" s="352">
        <f t="shared" si="724"/>
        <v>0</v>
      </c>
      <c r="AZ115" s="352">
        <f t="shared" si="724"/>
        <v>0</v>
      </c>
      <c r="BA115" s="352">
        <f t="shared" si="724"/>
        <v>0</v>
      </c>
      <c r="BB115" s="352">
        <f t="shared" si="724"/>
        <v>0</v>
      </c>
      <c r="BC115" s="352">
        <f t="shared" si="724"/>
        <v>0</v>
      </c>
      <c r="BD115" s="352">
        <f t="shared" si="724"/>
        <v>0</v>
      </c>
      <c r="BE115" s="352">
        <f t="shared" si="724"/>
        <v>0</v>
      </c>
      <c r="BF115" s="352">
        <f t="shared" si="724"/>
        <v>0</v>
      </c>
      <c r="BG115" s="352">
        <f t="shared" si="724"/>
        <v>0</v>
      </c>
      <c r="BH115" s="352">
        <f t="shared" si="724"/>
        <v>0</v>
      </c>
      <c r="BI115" s="352">
        <f t="shared" si="724"/>
        <v>0</v>
      </c>
      <c r="BJ115" s="352">
        <f t="shared" si="724"/>
        <v>0</v>
      </c>
      <c r="BK115" s="339">
        <f t="shared" si="724"/>
        <v>0</v>
      </c>
      <c r="BL115" s="352">
        <f t="shared" si="724"/>
        <v>0</v>
      </c>
      <c r="BM115" s="352">
        <f t="shared" si="724"/>
        <v>0</v>
      </c>
      <c r="BN115" s="352">
        <f t="shared" si="662"/>
        <v>8000</v>
      </c>
      <c r="BO115" s="352">
        <f t="shared" si="662"/>
        <v>0</v>
      </c>
      <c r="BP115" s="352">
        <f t="shared" si="662"/>
        <v>0</v>
      </c>
      <c r="BQ115" s="352">
        <f t="shared" si="662"/>
        <v>0</v>
      </c>
      <c r="BR115" s="376">
        <f t="shared" si="890"/>
        <v>0</v>
      </c>
    </row>
    <row r="116" spans="1:70" s="240" customFormat="1" ht="14.45" customHeight="1" x14ac:dyDescent="0.25">
      <c r="A116" s="240" t="s">
        <v>139</v>
      </c>
      <c r="B116" s="458"/>
      <c r="C116" s="350"/>
      <c r="D116" s="447">
        <v>14722.43</v>
      </c>
      <c r="E116" s="350" t="s">
        <v>208</v>
      </c>
      <c r="F116" s="450"/>
      <c r="G116" s="450"/>
      <c r="H116" s="450"/>
      <c r="I116" s="450"/>
      <c r="J116" s="450"/>
      <c r="K116" s="351"/>
      <c r="L116" s="351">
        <v>0</v>
      </c>
      <c r="M116" s="351">
        <v>0</v>
      </c>
      <c r="N116" s="351">
        <v>0</v>
      </c>
      <c r="O116" s="351">
        <v>0</v>
      </c>
      <c r="P116" s="351">
        <v>0</v>
      </c>
      <c r="Q116" s="351">
        <v>0</v>
      </c>
      <c r="R116" s="351">
        <v>0</v>
      </c>
      <c r="S116" s="351">
        <v>0</v>
      </c>
      <c r="T116" s="351">
        <v>1</v>
      </c>
      <c r="U116" s="351"/>
      <c r="V116" s="351">
        <v>0</v>
      </c>
      <c r="W116" s="351">
        <v>0</v>
      </c>
      <c r="X116" s="351"/>
      <c r="Y116" s="351"/>
      <c r="Z116" s="449">
        <f t="shared" ref="Z116" si="891">SUM(F116:X116)</f>
        <v>1</v>
      </c>
      <c r="AA116" s="350"/>
      <c r="AB116" s="350"/>
      <c r="AC116" s="352">
        <f t="shared" ref="AC116" si="892">F116*$D116</f>
        <v>0</v>
      </c>
      <c r="AD116" s="352">
        <f t="shared" ref="AD116" si="893">G116*$D116</f>
        <v>0</v>
      </c>
      <c r="AE116" s="352">
        <f t="shared" ref="AE116" si="894">H116*$D116</f>
        <v>0</v>
      </c>
      <c r="AF116" s="352">
        <f t="shared" ref="AF116" si="895">I116*$D116</f>
        <v>0</v>
      </c>
      <c r="AG116" s="352">
        <f t="shared" ref="AG116" si="896">J116*$D116</f>
        <v>0</v>
      </c>
      <c r="AH116" s="447">
        <f t="shared" ref="AH116" si="897">K116*$D116</f>
        <v>0</v>
      </c>
      <c r="AI116" s="352">
        <f t="shared" ref="AI116" si="898">L116*$D116</f>
        <v>0</v>
      </c>
      <c r="AJ116" s="447">
        <f t="shared" ref="AJ116" si="899">M116*$D116</f>
        <v>0</v>
      </c>
      <c r="AK116" s="352">
        <f t="shared" ref="AK116" si="900">N116*$D116</f>
        <v>0</v>
      </c>
      <c r="AL116" s="352">
        <f t="shared" ref="AL116" si="901">O116*$D116</f>
        <v>0</v>
      </c>
      <c r="AM116" s="447">
        <f t="shared" ref="AM116" si="902">P116*$D116</f>
        <v>0</v>
      </c>
      <c r="AN116" s="339">
        <f t="shared" ref="AN116" si="903">Q116*$D116</f>
        <v>0</v>
      </c>
      <c r="AO116" s="339">
        <f t="shared" ref="AO116" si="904">R116*$D116</f>
        <v>0</v>
      </c>
      <c r="AP116" s="352">
        <f t="shared" ref="AP116" si="905">S116*$D116</f>
        <v>0</v>
      </c>
      <c r="AQ116" s="339">
        <f t="shared" ref="AQ116" si="906">T116*$D116</f>
        <v>14722.43</v>
      </c>
      <c r="AR116" s="339">
        <f t="shared" ref="AR116" si="907">U116*$D116</f>
        <v>0</v>
      </c>
      <c r="AS116" s="339">
        <f t="shared" ref="AS116" si="908">V116*$D116</f>
        <v>0</v>
      </c>
      <c r="AT116" s="339">
        <f t="shared" ref="AT116" si="909">W116*$D116</f>
        <v>0</v>
      </c>
      <c r="AU116" s="339">
        <f t="shared" ref="AU116" si="910">X116*$D116</f>
        <v>0</v>
      </c>
      <c r="AV116" s="352"/>
      <c r="AW116" s="352"/>
      <c r="AX116" s="352">
        <f t="shared" ref="AX116:BM116" si="911">IF(AX$3=$E116,$D116,0)</f>
        <v>0</v>
      </c>
      <c r="AY116" s="352">
        <f t="shared" si="911"/>
        <v>0</v>
      </c>
      <c r="AZ116" s="352">
        <f t="shared" si="911"/>
        <v>0</v>
      </c>
      <c r="BA116" s="352">
        <f t="shared" si="911"/>
        <v>0</v>
      </c>
      <c r="BB116" s="352">
        <f t="shared" si="911"/>
        <v>0</v>
      </c>
      <c r="BC116" s="352">
        <f t="shared" si="911"/>
        <v>0</v>
      </c>
      <c r="BD116" s="352">
        <f t="shared" si="911"/>
        <v>0</v>
      </c>
      <c r="BE116" s="352">
        <f t="shared" si="911"/>
        <v>0</v>
      </c>
      <c r="BF116" s="352">
        <f t="shared" si="911"/>
        <v>0</v>
      </c>
      <c r="BG116" s="352">
        <f t="shared" si="911"/>
        <v>0</v>
      </c>
      <c r="BH116" s="352">
        <f t="shared" si="911"/>
        <v>0</v>
      </c>
      <c r="BI116" s="352">
        <f t="shared" si="911"/>
        <v>0</v>
      </c>
      <c r="BJ116" s="352">
        <f t="shared" si="911"/>
        <v>0</v>
      </c>
      <c r="BK116" s="339">
        <f t="shared" si="911"/>
        <v>0</v>
      </c>
      <c r="BL116" s="352">
        <f t="shared" si="911"/>
        <v>14722.43</v>
      </c>
      <c r="BM116" s="352">
        <f t="shared" si="911"/>
        <v>0</v>
      </c>
      <c r="BN116" s="352">
        <f t="shared" si="662"/>
        <v>0</v>
      </c>
      <c r="BO116" s="352">
        <f t="shared" si="662"/>
        <v>0</v>
      </c>
      <c r="BP116" s="352">
        <f t="shared" si="662"/>
        <v>0</v>
      </c>
      <c r="BQ116" s="352">
        <f t="shared" si="662"/>
        <v>0</v>
      </c>
      <c r="BR116" s="376">
        <f t="shared" ref="BR116" si="912">SUM(AC116:AV116)-SUM(AX116:BQ116)</f>
        <v>0</v>
      </c>
    </row>
    <row r="117" spans="1:70" s="240" customFormat="1" ht="14.45" customHeight="1" x14ac:dyDescent="0.25">
      <c r="A117" s="240" t="s">
        <v>136</v>
      </c>
      <c r="B117" s="458"/>
      <c r="C117" s="350"/>
      <c r="D117" s="447">
        <v>170000</v>
      </c>
      <c r="E117" s="350" t="s">
        <v>261</v>
      </c>
      <c r="F117" s="450"/>
      <c r="G117" s="450"/>
      <c r="H117" s="450"/>
      <c r="I117" s="450"/>
      <c r="J117" s="450"/>
      <c r="K117" s="351"/>
      <c r="L117" s="351">
        <v>0</v>
      </c>
      <c r="M117" s="351">
        <v>0</v>
      </c>
      <c r="N117" s="351">
        <v>0</v>
      </c>
      <c r="O117" s="351">
        <v>0</v>
      </c>
      <c r="P117" s="351">
        <v>0</v>
      </c>
      <c r="Q117" s="351">
        <v>0</v>
      </c>
      <c r="R117" s="351">
        <v>0</v>
      </c>
      <c r="S117" s="351">
        <v>0</v>
      </c>
      <c r="T117" s="351">
        <v>0</v>
      </c>
      <c r="U117" s="351"/>
      <c r="V117" s="351"/>
      <c r="W117" s="351">
        <v>1</v>
      </c>
      <c r="X117" s="351"/>
      <c r="Y117" s="351"/>
      <c r="Z117" s="449">
        <f t="shared" si="889"/>
        <v>1</v>
      </c>
      <c r="AA117" s="350"/>
      <c r="AB117" s="350"/>
      <c r="AC117" s="352">
        <f t="shared" si="849"/>
        <v>0</v>
      </c>
      <c r="AD117" s="352">
        <f t="shared" si="850"/>
        <v>0</v>
      </c>
      <c r="AE117" s="352">
        <f t="shared" si="851"/>
        <v>0</v>
      </c>
      <c r="AF117" s="352">
        <f t="shared" si="852"/>
        <v>0</v>
      </c>
      <c r="AG117" s="352">
        <f t="shared" si="853"/>
        <v>0</v>
      </c>
      <c r="AH117" s="447">
        <f t="shared" si="854"/>
        <v>0</v>
      </c>
      <c r="AI117" s="352">
        <f t="shared" si="855"/>
        <v>0</v>
      </c>
      <c r="AJ117" s="447">
        <f t="shared" si="856"/>
        <v>0</v>
      </c>
      <c r="AK117" s="352">
        <f t="shared" si="857"/>
        <v>0</v>
      </c>
      <c r="AL117" s="352">
        <f t="shared" si="858"/>
        <v>0</v>
      </c>
      <c r="AM117" s="447">
        <f t="shared" si="859"/>
        <v>0</v>
      </c>
      <c r="AN117" s="339">
        <f t="shared" si="860"/>
        <v>0</v>
      </c>
      <c r="AO117" s="339">
        <f t="shared" si="861"/>
        <v>0</v>
      </c>
      <c r="AP117" s="352">
        <f t="shared" si="862"/>
        <v>0</v>
      </c>
      <c r="AQ117" s="339">
        <f t="shared" si="862"/>
        <v>0</v>
      </c>
      <c r="AR117" s="339">
        <f t="shared" si="863"/>
        <v>0</v>
      </c>
      <c r="AS117" s="339">
        <f t="shared" si="864"/>
        <v>0</v>
      </c>
      <c r="AT117" s="339">
        <f t="shared" si="865"/>
        <v>170000</v>
      </c>
      <c r="AU117" s="339">
        <f t="shared" si="866"/>
        <v>0</v>
      </c>
      <c r="AV117" s="352"/>
      <c r="AW117" s="352"/>
      <c r="AX117" s="352">
        <f t="shared" si="724"/>
        <v>0</v>
      </c>
      <c r="AY117" s="352">
        <f t="shared" si="724"/>
        <v>0</v>
      </c>
      <c r="AZ117" s="352">
        <f t="shared" si="724"/>
        <v>0</v>
      </c>
      <c r="BA117" s="352">
        <f t="shared" si="724"/>
        <v>0</v>
      </c>
      <c r="BB117" s="352">
        <f t="shared" si="724"/>
        <v>0</v>
      </c>
      <c r="BC117" s="352">
        <f t="shared" si="724"/>
        <v>0</v>
      </c>
      <c r="BD117" s="352">
        <f t="shared" si="724"/>
        <v>0</v>
      </c>
      <c r="BE117" s="352">
        <f t="shared" si="724"/>
        <v>0</v>
      </c>
      <c r="BF117" s="352">
        <f t="shared" si="724"/>
        <v>0</v>
      </c>
      <c r="BG117" s="352">
        <f t="shared" si="724"/>
        <v>0</v>
      </c>
      <c r="BH117" s="352">
        <f t="shared" si="724"/>
        <v>0</v>
      </c>
      <c r="BI117" s="352">
        <f t="shared" si="724"/>
        <v>0</v>
      </c>
      <c r="BJ117" s="352">
        <f t="shared" si="724"/>
        <v>0</v>
      </c>
      <c r="BK117" s="339">
        <f t="shared" si="724"/>
        <v>0</v>
      </c>
      <c r="BL117" s="352">
        <f t="shared" si="724"/>
        <v>0</v>
      </c>
      <c r="BM117" s="352">
        <f t="shared" si="724"/>
        <v>0</v>
      </c>
      <c r="BN117" s="352">
        <f t="shared" si="662"/>
        <v>0</v>
      </c>
      <c r="BO117" s="352">
        <f t="shared" si="662"/>
        <v>170000</v>
      </c>
      <c r="BP117" s="352">
        <f t="shared" si="662"/>
        <v>0</v>
      </c>
      <c r="BQ117" s="352">
        <f t="shared" si="662"/>
        <v>0</v>
      </c>
      <c r="BR117" s="376">
        <f t="shared" si="890"/>
        <v>0</v>
      </c>
    </row>
    <row r="118" spans="1:70" s="240" customFormat="1" ht="14.45" customHeight="1" x14ac:dyDescent="0.25">
      <c r="A118" s="240" t="s">
        <v>136</v>
      </c>
      <c r="B118" s="458"/>
      <c r="C118" s="350"/>
      <c r="D118" s="447">
        <v>25000</v>
      </c>
      <c r="E118" s="350" t="s">
        <v>261</v>
      </c>
      <c r="F118" s="450"/>
      <c r="G118" s="450"/>
      <c r="H118" s="450"/>
      <c r="I118" s="450"/>
      <c r="J118" s="450"/>
      <c r="K118" s="351"/>
      <c r="L118" s="351">
        <v>0</v>
      </c>
      <c r="M118" s="351">
        <v>0</v>
      </c>
      <c r="N118" s="351">
        <v>0</v>
      </c>
      <c r="O118" s="351">
        <v>0</v>
      </c>
      <c r="P118" s="351">
        <v>0</v>
      </c>
      <c r="Q118" s="351">
        <v>0</v>
      </c>
      <c r="R118" s="351">
        <v>0</v>
      </c>
      <c r="S118" s="351">
        <v>0</v>
      </c>
      <c r="T118" s="351">
        <v>0</v>
      </c>
      <c r="U118" s="351"/>
      <c r="V118" s="351"/>
      <c r="W118" s="351">
        <v>1</v>
      </c>
      <c r="X118" s="351"/>
      <c r="Y118" s="351"/>
      <c r="Z118" s="449">
        <f t="shared" si="889"/>
        <v>1</v>
      </c>
      <c r="AA118" s="350"/>
      <c r="AB118" s="350"/>
      <c r="AC118" s="352">
        <f t="shared" si="849"/>
        <v>0</v>
      </c>
      <c r="AD118" s="352">
        <f t="shared" si="850"/>
        <v>0</v>
      </c>
      <c r="AE118" s="352">
        <f t="shared" si="851"/>
        <v>0</v>
      </c>
      <c r="AF118" s="352">
        <f t="shared" si="852"/>
        <v>0</v>
      </c>
      <c r="AG118" s="352">
        <f t="shared" si="853"/>
        <v>0</v>
      </c>
      <c r="AH118" s="447">
        <f t="shared" si="854"/>
        <v>0</v>
      </c>
      <c r="AI118" s="352">
        <f t="shared" si="855"/>
        <v>0</v>
      </c>
      <c r="AJ118" s="447">
        <f t="shared" si="856"/>
        <v>0</v>
      </c>
      <c r="AK118" s="352">
        <f t="shared" si="857"/>
        <v>0</v>
      </c>
      <c r="AL118" s="352">
        <f t="shared" si="858"/>
        <v>0</v>
      </c>
      <c r="AM118" s="447">
        <f t="shared" si="859"/>
        <v>0</v>
      </c>
      <c r="AN118" s="339">
        <f t="shared" si="860"/>
        <v>0</v>
      </c>
      <c r="AO118" s="339">
        <f t="shared" si="861"/>
        <v>0</v>
      </c>
      <c r="AP118" s="339">
        <f t="shared" si="862"/>
        <v>0</v>
      </c>
      <c r="AQ118" s="339">
        <f t="shared" si="862"/>
        <v>0</v>
      </c>
      <c r="AR118" s="339">
        <f t="shared" si="863"/>
        <v>0</v>
      </c>
      <c r="AS118" s="339">
        <f t="shared" si="864"/>
        <v>0</v>
      </c>
      <c r="AT118" s="339">
        <f t="shared" si="865"/>
        <v>25000</v>
      </c>
      <c r="AU118" s="339">
        <f t="shared" si="866"/>
        <v>0</v>
      </c>
      <c r="AV118" s="352"/>
      <c r="AW118" s="352"/>
      <c r="AX118" s="352">
        <f t="shared" si="724"/>
        <v>0</v>
      </c>
      <c r="AY118" s="352">
        <f t="shared" si="724"/>
        <v>0</v>
      </c>
      <c r="AZ118" s="352">
        <f t="shared" si="724"/>
        <v>0</v>
      </c>
      <c r="BA118" s="352">
        <f t="shared" si="724"/>
        <v>0</v>
      </c>
      <c r="BB118" s="352">
        <f t="shared" si="724"/>
        <v>0</v>
      </c>
      <c r="BC118" s="352">
        <f t="shared" si="724"/>
        <v>0</v>
      </c>
      <c r="BD118" s="352">
        <f t="shared" si="724"/>
        <v>0</v>
      </c>
      <c r="BE118" s="352">
        <f t="shared" si="724"/>
        <v>0</v>
      </c>
      <c r="BF118" s="352">
        <f t="shared" si="724"/>
        <v>0</v>
      </c>
      <c r="BG118" s="352">
        <f t="shared" si="724"/>
        <v>0</v>
      </c>
      <c r="BH118" s="352">
        <f t="shared" si="724"/>
        <v>0</v>
      </c>
      <c r="BI118" s="352">
        <f t="shared" si="724"/>
        <v>0</v>
      </c>
      <c r="BJ118" s="352">
        <f t="shared" si="724"/>
        <v>0</v>
      </c>
      <c r="BK118" s="339">
        <f t="shared" si="724"/>
        <v>0</v>
      </c>
      <c r="BL118" s="352">
        <f t="shared" si="724"/>
        <v>0</v>
      </c>
      <c r="BM118" s="352">
        <f t="shared" si="724"/>
        <v>0</v>
      </c>
      <c r="BN118" s="352">
        <f t="shared" si="662"/>
        <v>0</v>
      </c>
      <c r="BO118" s="352">
        <f t="shared" si="662"/>
        <v>25000</v>
      </c>
      <c r="BP118" s="352">
        <f t="shared" si="662"/>
        <v>0</v>
      </c>
      <c r="BQ118" s="352">
        <f t="shared" si="662"/>
        <v>0</v>
      </c>
      <c r="BR118" s="376">
        <f t="shared" si="890"/>
        <v>0</v>
      </c>
    </row>
    <row r="119" spans="1:70" s="240" customFormat="1" ht="14.45" customHeight="1" x14ac:dyDescent="0.25">
      <c r="A119" s="240" t="s">
        <v>136</v>
      </c>
      <c r="B119" s="458"/>
      <c r="C119" s="350"/>
      <c r="D119" s="447">
        <v>40000</v>
      </c>
      <c r="E119" s="350" t="s">
        <v>261</v>
      </c>
      <c r="F119" s="450"/>
      <c r="G119" s="450"/>
      <c r="H119" s="450"/>
      <c r="I119" s="450"/>
      <c r="J119" s="450"/>
      <c r="K119" s="351"/>
      <c r="L119" s="351">
        <v>0</v>
      </c>
      <c r="M119" s="351">
        <v>0</v>
      </c>
      <c r="N119" s="351">
        <v>0</v>
      </c>
      <c r="O119" s="351">
        <v>0</v>
      </c>
      <c r="P119" s="351">
        <v>0</v>
      </c>
      <c r="Q119" s="351">
        <v>0</v>
      </c>
      <c r="R119" s="351">
        <v>0</v>
      </c>
      <c r="S119" s="351">
        <v>0</v>
      </c>
      <c r="T119" s="351">
        <v>0</v>
      </c>
      <c r="U119" s="351"/>
      <c r="V119" s="351"/>
      <c r="W119" s="351">
        <v>1</v>
      </c>
      <c r="X119" s="351"/>
      <c r="Y119" s="351"/>
      <c r="Z119" s="449">
        <f t="shared" si="889"/>
        <v>1</v>
      </c>
      <c r="AA119" s="350"/>
      <c r="AB119" s="350"/>
      <c r="AC119" s="352">
        <f t="shared" si="849"/>
        <v>0</v>
      </c>
      <c r="AD119" s="352">
        <f t="shared" si="850"/>
        <v>0</v>
      </c>
      <c r="AE119" s="352">
        <f t="shared" si="851"/>
        <v>0</v>
      </c>
      <c r="AF119" s="352">
        <f t="shared" si="852"/>
        <v>0</v>
      </c>
      <c r="AG119" s="352">
        <f t="shared" si="853"/>
        <v>0</v>
      </c>
      <c r="AH119" s="447">
        <f t="shared" si="854"/>
        <v>0</v>
      </c>
      <c r="AI119" s="352">
        <f t="shared" si="855"/>
        <v>0</v>
      </c>
      <c r="AJ119" s="447">
        <f t="shared" si="856"/>
        <v>0</v>
      </c>
      <c r="AK119" s="352">
        <f t="shared" si="857"/>
        <v>0</v>
      </c>
      <c r="AL119" s="352">
        <f t="shared" si="858"/>
        <v>0</v>
      </c>
      <c r="AM119" s="447">
        <f t="shared" si="859"/>
        <v>0</v>
      </c>
      <c r="AN119" s="339">
        <f t="shared" si="860"/>
        <v>0</v>
      </c>
      <c r="AO119" s="339">
        <f t="shared" si="861"/>
        <v>0</v>
      </c>
      <c r="AP119" s="339">
        <f t="shared" si="862"/>
        <v>0</v>
      </c>
      <c r="AQ119" s="339">
        <f t="shared" si="862"/>
        <v>0</v>
      </c>
      <c r="AR119" s="339">
        <f t="shared" si="863"/>
        <v>0</v>
      </c>
      <c r="AS119" s="339">
        <f t="shared" si="864"/>
        <v>0</v>
      </c>
      <c r="AT119" s="339">
        <f t="shared" si="865"/>
        <v>40000</v>
      </c>
      <c r="AU119" s="339">
        <f t="shared" si="866"/>
        <v>0</v>
      </c>
      <c r="AV119" s="352"/>
      <c r="AW119" s="352"/>
      <c r="AX119" s="352">
        <f t="shared" si="724"/>
        <v>0</v>
      </c>
      <c r="AY119" s="352">
        <f t="shared" si="724"/>
        <v>0</v>
      </c>
      <c r="AZ119" s="352">
        <f t="shared" si="724"/>
        <v>0</v>
      </c>
      <c r="BA119" s="352">
        <f t="shared" si="724"/>
        <v>0</v>
      </c>
      <c r="BB119" s="352">
        <f t="shared" si="724"/>
        <v>0</v>
      </c>
      <c r="BC119" s="352">
        <f t="shared" si="724"/>
        <v>0</v>
      </c>
      <c r="BD119" s="352">
        <f t="shared" si="724"/>
        <v>0</v>
      </c>
      <c r="BE119" s="352">
        <f t="shared" si="724"/>
        <v>0</v>
      </c>
      <c r="BF119" s="352">
        <f t="shared" si="724"/>
        <v>0</v>
      </c>
      <c r="BG119" s="352">
        <f t="shared" si="724"/>
        <v>0</v>
      </c>
      <c r="BH119" s="352">
        <f t="shared" si="724"/>
        <v>0</v>
      </c>
      <c r="BI119" s="352">
        <f t="shared" si="724"/>
        <v>0</v>
      </c>
      <c r="BJ119" s="352">
        <f t="shared" si="724"/>
        <v>0</v>
      </c>
      <c r="BK119" s="339">
        <f t="shared" si="724"/>
        <v>0</v>
      </c>
      <c r="BL119" s="352">
        <f t="shared" si="724"/>
        <v>0</v>
      </c>
      <c r="BM119" s="352">
        <f t="shared" si="724"/>
        <v>0</v>
      </c>
      <c r="BN119" s="352">
        <f t="shared" si="662"/>
        <v>0</v>
      </c>
      <c r="BO119" s="352">
        <f t="shared" si="662"/>
        <v>40000</v>
      </c>
      <c r="BP119" s="352">
        <f t="shared" si="662"/>
        <v>0</v>
      </c>
      <c r="BQ119" s="352">
        <f t="shared" si="662"/>
        <v>0</v>
      </c>
      <c r="BR119" s="376">
        <f t="shared" si="890"/>
        <v>0</v>
      </c>
    </row>
    <row r="120" spans="1:70" s="240" customFormat="1" ht="14.45" customHeight="1" x14ac:dyDescent="0.25">
      <c r="A120" s="240" t="s">
        <v>139</v>
      </c>
      <c r="B120" s="458"/>
      <c r="C120" s="350"/>
      <c r="D120" s="447">
        <v>1873.22</v>
      </c>
      <c r="E120" s="350" t="s">
        <v>256</v>
      </c>
      <c r="F120" s="450"/>
      <c r="G120" s="450"/>
      <c r="H120" s="450"/>
      <c r="I120" s="450"/>
      <c r="J120" s="450"/>
      <c r="K120" s="351"/>
      <c r="L120" s="351">
        <v>0</v>
      </c>
      <c r="M120" s="351">
        <v>0</v>
      </c>
      <c r="N120" s="351">
        <v>0</v>
      </c>
      <c r="O120" s="351">
        <v>0</v>
      </c>
      <c r="P120" s="351">
        <v>0</v>
      </c>
      <c r="Q120" s="351">
        <v>0</v>
      </c>
      <c r="R120" s="351">
        <v>0</v>
      </c>
      <c r="S120" s="351">
        <v>1</v>
      </c>
      <c r="T120" s="351">
        <v>0</v>
      </c>
      <c r="U120" s="351"/>
      <c r="V120" s="351"/>
      <c r="W120" s="351"/>
      <c r="X120" s="351">
        <v>0</v>
      </c>
      <c r="Y120" s="351"/>
      <c r="Z120" s="449">
        <f t="shared" si="889"/>
        <v>1</v>
      </c>
      <c r="AA120" s="350"/>
      <c r="AB120" s="350"/>
      <c r="AC120" s="352">
        <f t="shared" si="849"/>
        <v>0</v>
      </c>
      <c r="AD120" s="352">
        <f t="shared" si="850"/>
        <v>0</v>
      </c>
      <c r="AE120" s="352">
        <f t="shared" si="851"/>
        <v>0</v>
      </c>
      <c r="AF120" s="352">
        <f t="shared" si="852"/>
        <v>0</v>
      </c>
      <c r="AG120" s="352">
        <f t="shared" si="853"/>
        <v>0</v>
      </c>
      <c r="AH120" s="447">
        <f t="shared" si="854"/>
        <v>0</v>
      </c>
      <c r="AI120" s="352">
        <f t="shared" si="855"/>
        <v>0</v>
      </c>
      <c r="AJ120" s="447">
        <f t="shared" si="856"/>
        <v>0</v>
      </c>
      <c r="AK120" s="352">
        <f t="shared" si="857"/>
        <v>0</v>
      </c>
      <c r="AL120" s="352">
        <f t="shared" si="858"/>
        <v>0</v>
      </c>
      <c r="AM120" s="447">
        <f t="shared" si="859"/>
        <v>0</v>
      </c>
      <c r="AN120" s="339">
        <f t="shared" si="860"/>
        <v>0</v>
      </c>
      <c r="AO120" s="339">
        <f t="shared" si="861"/>
        <v>0</v>
      </c>
      <c r="AP120" s="339">
        <f t="shared" si="862"/>
        <v>1873.22</v>
      </c>
      <c r="AQ120" s="339">
        <f t="shared" si="862"/>
        <v>0</v>
      </c>
      <c r="AR120" s="339">
        <f t="shared" si="863"/>
        <v>0</v>
      </c>
      <c r="AS120" s="339">
        <f t="shared" si="864"/>
        <v>0</v>
      </c>
      <c r="AT120" s="339">
        <f t="shared" si="865"/>
        <v>0</v>
      </c>
      <c r="AU120" s="339">
        <f t="shared" si="866"/>
        <v>0</v>
      </c>
      <c r="AV120" s="352"/>
      <c r="AW120" s="352"/>
      <c r="AX120" s="352">
        <f t="shared" ref="AX120:BM120" si="913">IF(AX$3=$E120,$D120,0)</f>
        <v>0</v>
      </c>
      <c r="AY120" s="352">
        <f t="shared" si="913"/>
        <v>0</v>
      </c>
      <c r="AZ120" s="352">
        <f t="shared" si="913"/>
        <v>0</v>
      </c>
      <c r="BA120" s="352">
        <f t="shared" si="913"/>
        <v>0</v>
      </c>
      <c r="BB120" s="352">
        <f t="shared" si="913"/>
        <v>0</v>
      </c>
      <c r="BC120" s="352">
        <f t="shared" si="913"/>
        <v>0</v>
      </c>
      <c r="BD120" s="352">
        <f t="shared" si="913"/>
        <v>0</v>
      </c>
      <c r="BE120" s="352">
        <f t="shared" si="913"/>
        <v>0</v>
      </c>
      <c r="BF120" s="352">
        <f t="shared" si="913"/>
        <v>0</v>
      </c>
      <c r="BG120" s="352">
        <f t="shared" si="913"/>
        <v>0</v>
      </c>
      <c r="BH120" s="352">
        <f t="shared" si="913"/>
        <v>0</v>
      </c>
      <c r="BI120" s="352">
        <f t="shared" si="913"/>
        <v>0</v>
      </c>
      <c r="BJ120" s="352">
        <f t="shared" si="913"/>
        <v>0</v>
      </c>
      <c r="BK120" s="339">
        <f t="shared" si="913"/>
        <v>1873.22</v>
      </c>
      <c r="BL120" s="352">
        <f t="shared" si="913"/>
        <v>0</v>
      </c>
      <c r="BM120" s="352">
        <f t="shared" si="913"/>
        <v>0</v>
      </c>
      <c r="BN120" s="352">
        <f t="shared" si="662"/>
        <v>0</v>
      </c>
      <c r="BO120" s="352">
        <f t="shared" si="662"/>
        <v>0</v>
      </c>
      <c r="BP120" s="352">
        <f t="shared" si="662"/>
        <v>0</v>
      </c>
      <c r="BQ120" s="352">
        <f t="shared" si="662"/>
        <v>0</v>
      </c>
      <c r="BR120" s="376">
        <f t="shared" ref="BR120" si="914">SUM(AC120:AV120)-SUM(AX120:BQ120)</f>
        <v>0</v>
      </c>
    </row>
    <row r="121" spans="1:70" s="240" customFormat="1" ht="14.45" customHeight="1" x14ac:dyDescent="0.25">
      <c r="A121" s="240" t="s">
        <v>139</v>
      </c>
      <c r="B121" s="458"/>
      <c r="C121" s="350"/>
      <c r="D121" s="447">
        <v>30000</v>
      </c>
      <c r="E121" s="350" t="s">
        <v>266</v>
      </c>
      <c r="F121" s="450"/>
      <c r="G121" s="450"/>
      <c r="H121" s="450"/>
      <c r="I121" s="450"/>
      <c r="J121" s="450"/>
      <c r="K121" s="351"/>
      <c r="L121" s="351">
        <v>0</v>
      </c>
      <c r="M121" s="351">
        <v>0</v>
      </c>
      <c r="N121" s="351">
        <v>0</v>
      </c>
      <c r="O121" s="351">
        <v>0</v>
      </c>
      <c r="P121" s="351">
        <v>0</v>
      </c>
      <c r="Q121" s="351">
        <v>0</v>
      </c>
      <c r="R121" s="351">
        <v>0</v>
      </c>
      <c r="S121" s="351">
        <v>0</v>
      </c>
      <c r="T121" s="351">
        <v>0</v>
      </c>
      <c r="U121" s="351"/>
      <c r="V121" s="351"/>
      <c r="W121" s="351"/>
      <c r="X121" s="351">
        <v>1</v>
      </c>
      <c r="Y121" s="351"/>
      <c r="Z121" s="449">
        <f t="shared" si="765"/>
        <v>1</v>
      </c>
      <c r="AA121" s="350"/>
      <c r="AB121" s="350"/>
      <c r="AC121" s="352">
        <f t="shared" si="766"/>
        <v>0</v>
      </c>
      <c r="AD121" s="352">
        <f t="shared" si="767"/>
        <v>0</v>
      </c>
      <c r="AE121" s="352">
        <f t="shared" si="768"/>
        <v>0</v>
      </c>
      <c r="AF121" s="352">
        <f t="shared" si="769"/>
        <v>0</v>
      </c>
      <c r="AG121" s="352">
        <f t="shared" si="770"/>
        <v>0</v>
      </c>
      <c r="AH121" s="447">
        <f t="shared" si="771"/>
        <v>0</v>
      </c>
      <c r="AI121" s="352">
        <f t="shared" si="772"/>
        <v>0</v>
      </c>
      <c r="AJ121" s="447">
        <f t="shared" si="773"/>
        <v>0</v>
      </c>
      <c r="AK121" s="352">
        <f t="shared" si="774"/>
        <v>0</v>
      </c>
      <c r="AL121" s="352">
        <f t="shared" si="775"/>
        <v>0</v>
      </c>
      <c r="AM121" s="447">
        <f t="shared" si="776"/>
        <v>0</v>
      </c>
      <c r="AN121" s="339">
        <f t="shared" si="777"/>
        <v>0</v>
      </c>
      <c r="AO121" s="339">
        <f t="shared" si="778"/>
        <v>0</v>
      </c>
      <c r="AP121" s="339">
        <f t="shared" si="779"/>
        <v>0</v>
      </c>
      <c r="AQ121" s="339">
        <f t="shared" si="780"/>
        <v>0</v>
      </c>
      <c r="AR121" s="339">
        <f t="shared" si="781"/>
        <v>0</v>
      </c>
      <c r="AS121" s="339">
        <f t="shared" si="782"/>
        <v>0</v>
      </c>
      <c r="AT121" s="339">
        <f t="shared" si="783"/>
        <v>0</v>
      </c>
      <c r="AU121" s="339">
        <f t="shared" si="784"/>
        <v>30000</v>
      </c>
      <c r="AV121" s="352"/>
      <c r="AW121" s="352"/>
      <c r="AX121" s="352">
        <f t="shared" si="724"/>
        <v>0</v>
      </c>
      <c r="AY121" s="352">
        <f t="shared" si="724"/>
        <v>0</v>
      </c>
      <c r="AZ121" s="352">
        <f t="shared" si="724"/>
        <v>0</v>
      </c>
      <c r="BA121" s="352">
        <f t="shared" si="724"/>
        <v>0</v>
      </c>
      <c r="BB121" s="352">
        <f t="shared" si="724"/>
        <v>0</v>
      </c>
      <c r="BC121" s="352">
        <f t="shared" si="724"/>
        <v>0</v>
      </c>
      <c r="BD121" s="352">
        <f t="shared" si="724"/>
        <v>0</v>
      </c>
      <c r="BE121" s="352">
        <f t="shared" si="724"/>
        <v>0</v>
      </c>
      <c r="BF121" s="352">
        <f t="shared" si="724"/>
        <v>0</v>
      </c>
      <c r="BG121" s="352">
        <f t="shared" si="724"/>
        <v>0</v>
      </c>
      <c r="BH121" s="352">
        <f t="shared" si="724"/>
        <v>0</v>
      </c>
      <c r="BI121" s="352">
        <f t="shared" si="724"/>
        <v>0</v>
      </c>
      <c r="BJ121" s="352">
        <f t="shared" si="724"/>
        <v>0</v>
      </c>
      <c r="BK121" s="339">
        <f t="shared" si="724"/>
        <v>0</v>
      </c>
      <c r="BL121" s="352">
        <f t="shared" si="724"/>
        <v>0</v>
      </c>
      <c r="BM121" s="352">
        <f t="shared" si="724"/>
        <v>0</v>
      </c>
      <c r="BN121" s="352">
        <f t="shared" si="662"/>
        <v>0</v>
      </c>
      <c r="BO121" s="352">
        <f t="shared" si="662"/>
        <v>0</v>
      </c>
      <c r="BP121" s="352">
        <f t="shared" si="662"/>
        <v>30000</v>
      </c>
      <c r="BQ121" s="352">
        <f t="shared" si="662"/>
        <v>0</v>
      </c>
      <c r="BR121" s="376">
        <f t="shared" si="614"/>
        <v>0</v>
      </c>
    </row>
    <row r="122" spans="1:70" s="240" customFormat="1" ht="14.45" customHeight="1" x14ac:dyDescent="0.25">
      <c r="A122" s="240" t="s">
        <v>142</v>
      </c>
      <c r="B122" s="458"/>
      <c r="C122" s="350"/>
      <c r="D122" s="352">
        <v>120000</v>
      </c>
      <c r="E122" s="350" t="s">
        <v>216</v>
      </c>
      <c r="F122" s="450"/>
      <c r="G122" s="450"/>
      <c r="H122" s="450"/>
      <c r="I122" s="450"/>
      <c r="J122" s="450"/>
      <c r="K122" s="460">
        <v>0</v>
      </c>
      <c r="L122" s="460">
        <v>0</v>
      </c>
      <c r="M122" s="460">
        <v>8.3333333333333329E-2</v>
      </c>
      <c r="N122" s="460">
        <v>4.1666666666666664E-2</v>
      </c>
      <c r="O122" s="460">
        <v>4.1666666666666664E-2</v>
      </c>
      <c r="P122" s="460">
        <v>9.166666666666666E-2</v>
      </c>
      <c r="Q122" s="460">
        <v>0.1</v>
      </c>
      <c r="R122" s="451">
        <v>0.05</v>
      </c>
      <c r="S122" s="351">
        <v>0.05</v>
      </c>
      <c r="T122" s="460">
        <v>0.15</v>
      </c>
      <c r="U122" s="460">
        <v>0.1</v>
      </c>
      <c r="V122" s="460">
        <v>0</v>
      </c>
      <c r="W122" s="460">
        <v>0.20833333333333334</v>
      </c>
      <c r="X122" s="460">
        <v>8.3333333333333329E-2</v>
      </c>
      <c r="Y122" s="460">
        <v>0</v>
      </c>
      <c r="Z122" s="449">
        <f>SUM(F122:Y122)</f>
        <v>1</v>
      </c>
      <c r="AA122" s="350"/>
      <c r="AB122" s="350"/>
      <c r="AC122" s="352">
        <f t="shared" si="0"/>
        <v>0</v>
      </c>
      <c r="AD122" s="352">
        <f t="shared" si="1"/>
        <v>0</v>
      </c>
      <c r="AE122" s="352">
        <f t="shared" si="2"/>
        <v>0</v>
      </c>
      <c r="AF122" s="352">
        <f t="shared" si="3"/>
        <v>0</v>
      </c>
      <c r="AG122" s="352">
        <f t="shared" ref="AG122:AG134" si="915">J122*$D122</f>
        <v>0</v>
      </c>
      <c r="AH122" s="352">
        <f t="shared" si="22"/>
        <v>0</v>
      </c>
      <c r="AI122" s="352">
        <f t="shared" si="23"/>
        <v>0</v>
      </c>
      <c r="AJ122" s="352">
        <f t="shared" si="24"/>
        <v>10000</v>
      </c>
      <c r="AK122" s="447">
        <f>N122*$D122</f>
        <v>5000</v>
      </c>
      <c r="AL122" s="352">
        <f t="shared" si="19"/>
        <v>5000</v>
      </c>
      <c r="AM122" s="352">
        <f t="shared" si="8"/>
        <v>11000</v>
      </c>
      <c r="AN122" s="339">
        <f t="shared" si="9"/>
        <v>12000</v>
      </c>
      <c r="AO122" s="352">
        <f t="shared" si="10"/>
        <v>6000</v>
      </c>
      <c r="AP122" s="352">
        <f t="shared" si="11"/>
        <v>6000</v>
      </c>
      <c r="AQ122" s="352">
        <f t="shared" si="12"/>
        <v>18000</v>
      </c>
      <c r="AR122" s="352">
        <f t="shared" si="591"/>
        <v>12000</v>
      </c>
      <c r="AS122" s="352">
        <f t="shared" si="14"/>
        <v>0</v>
      </c>
      <c r="AT122" s="352">
        <f t="shared" si="15"/>
        <v>25000</v>
      </c>
      <c r="AU122" s="352">
        <f t="shared" si="16"/>
        <v>10000</v>
      </c>
      <c r="AV122" s="352">
        <f t="shared" si="16"/>
        <v>0</v>
      </c>
      <c r="AW122" s="352"/>
      <c r="AX122" s="352">
        <f t="shared" si="592"/>
        <v>0</v>
      </c>
      <c r="AY122" s="352">
        <f t="shared" si="592"/>
        <v>0</v>
      </c>
      <c r="AZ122" s="352">
        <f t="shared" si="592"/>
        <v>0</v>
      </c>
      <c r="BA122" s="352">
        <f t="shared" si="592"/>
        <v>0</v>
      </c>
      <c r="BB122" s="352">
        <f t="shared" si="592"/>
        <v>0</v>
      </c>
      <c r="BC122" s="352">
        <f t="shared" si="592"/>
        <v>0</v>
      </c>
      <c r="BD122" s="352">
        <f t="shared" si="592"/>
        <v>0</v>
      </c>
      <c r="BE122" s="352">
        <f t="shared" si="592"/>
        <v>120000</v>
      </c>
      <c r="BF122" s="352">
        <f t="shared" si="592"/>
        <v>0</v>
      </c>
      <c r="BG122" s="352">
        <f t="shared" si="592"/>
        <v>0</v>
      </c>
      <c r="BH122" s="352">
        <f t="shared" si="592"/>
        <v>0</v>
      </c>
      <c r="BI122" s="352">
        <f t="shared" si="592"/>
        <v>0</v>
      </c>
      <c r="BJ122" s="352">
        <f t="shared" si="592"/>
        <v>0</v>
      </c>
      <c r="BK122" s="352">
        <f t="shared" si="592"/>
        <v>0</v>
      </c>
      <c r="BL122" s="352">
        <f t="shared" si="592"/>
        <v>0</v>
      </c>
      <c r="BM122" s="352">
        <f t="shared" si="662"/>
        <v>0</v>
      </c>
      <c r="BN122" s="352">
        <f t="shared" si="662"/>
        <v>0</v>
      </c>
      <c r="BO122" s="352">
        <f t="shared" si="662"/>
        <v>0</v>
      </c>
      <c r="BP122" s="352">
        <f t="shared" si="662"/>
        <v>0</v>
      </c>
      <c r="BQ122" s="352">
        <f t="shared" si="662"/>
        <v>0</v>
      </c>
      <c r="BR122" s="376">
        <f t="shared" si="614"/>
        <v>0</v>
      </c>
    </row>
    <row r="123" spans="1:70" s="240" customFormat="1" ht="14.45" customHeight="1" x14ac:dyDescent="0.25">
      <c r="A123" s="240" t="s">
        <v>143</v>
      </c>
      <c r="B123" s="458"/>
      <c r="C123" s="350"/>
      <c r="D123" s="339">
        <v>7666.96</v>
      </c>
      <c r="E123" s="350" t="s">
        <v>192</v>
      </c>
      <c r="F123" s="351"/>
      <c r="G123" s="351">
        <v>1</v>
      </c>
      <c r="H123" s="351">
        <v>0</v>
      </c>
      <c r="I123" s="351">
        <v>0</v>
      </c>
      <c r="J123" s="450"/>
      <c r="K123" s="450"/>
      <c r="L123" s="450"/>
      <c r="M123" s="450"/>
      <c r="N123" s="450"/>
      <c r="O123" s="450"/>
      <c r="P123" s="450"/>
      <c r="Q123" s="450"/>
      <c r="R123" s="450"/>
      <c r="S123" s="450"/>
      <c r="T123" s="450"/>
      <c r="U123" s="450"/>
      <c r="V123" s="450"/>
      <c r="W123" s="450"/>
      <c r="X123" s="450"/>
      <c r="Y123" s="450"/>
      <c r="Z123" s="449">
        <f t="shared" ref="Z123:Z126" si="916">SUM(F123:Y123)</f>
        <v>1</v>
      </c>
      <c r="AA123" s="350"/>
      <c r="AB123" s="350"/>
      <c r="AC123" s="352">
        <f t="shared" si="0"/>
        <v>0</v>
      </c>
      <c r="AD123" s="339">
        <f t="shared" si="1"/>
        <v>7666.96</v>
      </c>
      <c r="AE123" s="352">
        <f t="shared" si="2"/>
        <v>0</v>
      </c>
      <c r="AF123" s="352">
        <f t="shared" si="3"/>
        <v>0</v>
      </c>
      <c r="AG123" s="352">
        <f t="shared" si="915"/>
        <v>0</v>
      </c>
      <c r="AH123" s="352">
        <f t="shared" si="22"/>
        <v>0</v>
      </c>
      <c r="AI123" s="352">
        <f t="shared" si="23"/>
        <v>0</v>
      </c>
      <c r="AJ123" s="352">
        <f t="shared" si="24"/>
        <v>0</v>
      </c>
      <c r="AK123" s="447">
        <f>N123*$D123</f>
        <v>0</v>
      </c>
      <c r="AL123" s="339">
        <f t="shared" si="19"/>
        <v>0</v>
      </c>
      <c r="AM123" s="352">
        <f t="shared" si="8"/>
        <v>0</v>
      </c>
      <c r="AN123" s="339">
        <f t="shared" si="9"/>
        <v>0</v>
      </c>
      <c r="AO123" s="352">
        <f t="shared" si="10"/>
        <v>0</v>
      </c>
      <c r="AP123" s="352">
        <f t="shared" si="11"/>
        <v>0</v>
      </c>
      <c r="AQ123" s="352">
        <f t="shared" si="12"/>
        <v>0</v>
      </c>
      <c r="AR123" s="352">
        <f t="shared" si="591"/>
        <v>0</v>
      </c>
      <c r="AS123" s="352">
        <f t="shared" si="14"/>
        <v>0</v>
      </c>
      <c r="AT123" s="352">
        <f t="shared" si="15"/>
        <v>0</v>
      </c>
      <c r="AU123" s="352">
        <f t="shared" si="16"/>
        <v>0</v>
      </c>
      <c r="AV123" s="352">
        <f t="shared" si="16"/>
        <v>0</v>
      </c>
      <c r="AW123" s="352"/>
      <c r="AX123" s="352">
        <f t="shared" si="592"/>
        <v>0</v>
      </c>
      <c r="AY123" s="352">
        <f t="shared" si="592"/>
        <v>7666.96</v>
      </c>
      <c r="AZ123" s="352">
        <f t="shared" si="592"/>
        <v>0</v>
      </c>
      <c r="BA123" s="352">
        <f t="shared" si="592"/>
        <v>0</v>
      </c>
      <c r="BB123" s="352">
        <f t="shared" si="592"/>
        <v>0</v>
      </c>
      <c r="BC123" s="352">
        <f t="shared" si="592"/>
        <v>0</v>
      </c>
      <c r="BD123" s="352">
        <f t="shared" si="592"/>
        <v>0</v>
      </c>
      <c r="BE123" s="352">
        <f t="shared" si="592"/>
        <v>0</v>
      </c>
      <c r="BF123" s="352">
        <f t="shared" si="592"/>
        <v>0</v>
      </c>
      <c r="BG123" s="352">
        <f t="shared" si="592"/>
        <v>0</v>
      </c>
      <c r="BH123" s="352">
        <f t="shared" si="592"/>
        <v>0</v>
      </c>
      <c r="BI123" s="352">
        <f t="shared" si="592"/>
        <v>0</v>
      </c>
      <c r="BJ123" s="352">
        <f t="shared" si="592"/>
        <v>0</v>
      </c>
      <c r="BK123" s="352">
        <f t="shared" si="592"/>
        <v>0</v>
      </c>
      <c r="BL123" s="352">
        <f t="shared" si="592"/>
        <v>0</v>
      </c>
      <c r="BM123" s="352">
        <f t="shared" si="662"/>
        <v>0</v>
      </c>
      <c r="BN123" s="352">
        <f t="shared" si="662"/>
        <v>0</v>
      </c>
      <c r="BO123" s="352">
        <f t="shared" si="662"/>
        <v>0</v>
      </c>
      <c r="BP123" s="352">
        <f t="shared" si="662"/>
        <v>0</v>
      </c>
      <c r="BQ123" s="352">
        <f t="shared" si="662"/>
        <v>0</v>
      </c>
      <c r="BR123" s="376">
        <f t="shared" si="614"/>
        <v>0</v>
      </c>
    </row>
    <row r="124" spans="1:70" s="240" customFormat="1" ht="14.45" customHeight="1" x14ac:dyDescent="0.25">
      <c r="A124" s="240" t="s">
        <v>143</v>
      </c>
      <c r="B124" s="458"/>
      <c r="C124" s="350"/>
      <c r="D124" s="339">
        <v>1124.3800000000001</v>
      </c>
      <c r="E124" s="350" t="s">
        <v>164</v>
      </c>
      <c r="F124" s="351"/>
      <c r="G124" s="351">
        <v>0</v>
      </c>
      <c r="H124" s="351">
        <v>0</v>
      </c>
      <c r="I124" s="351">
        <v>1</v>
      </c>
      <c r="J124" s="450"/>
      <c r="K124" s="450"/>
      <c r="L124" s="450"/>
      <c r="M124" s="450"/>
      <c r="N124" s="450"/>
      <c r="O124" s="450"/>
      <c r="P124" s="450"/>
      <c r="Q124" s="450"/>
      <c r="R124" s="450"/>
      <c r="S124" s="450"/>
      <c r="T124" s="450"/>
      <c r="U124" s="450"/>
      <c r="V124" s="450"/>
      <c r="W124" s="450"/>
      <c r="X124" s="450"/>
      <c r="Y124" s="450"/>
      <c r="Z124" s="449">
        <f t="shared" si="916"/>
        <v>1</v>
      </c>
      <c r="AA124" s="350"/>
      <c r="AB124" s="350"/>
      <c r="AC124" s="352">
        <f t="shared" ref="AC124" si="917">F124*$D124</f>
        <v>0</v>
      </c>
      <c r="AD124" s="339">
        <f t="shared" ref="AD124" si="918">G124*$D124</f>
        <v>0</v>
      </c>
      <c r="AE124" s="352">
        <f t="shared" ref="AE124" si="919">H124*$D124</f>
        <v>0</v>
      </c>
      <c r="AF124" s="352">
        <f t="shared" ref="AF124" si="920">I124*$D124</f>
        <v>1124.3800000000001</v>
      </c>
      <c r="AG124" s="352">
        <f t="shared" si="915"/>
        <v>0</v>
      </c>
      <c r="AH124" s="352">
        <f t="shared" ref="AH124" si="921">K124*$D124</f>
        <v>0</v>
      </c>
      <c r="AI124" s="352">
        <f t="shared" ref="AI124" si="922">L124*$D124</f>
        <v>0</v>
      </c>
      <c r="AJ124" s="352">
        <f t="shared" ref="AJ124" si="923">M124*$D124</f>
        <v>0</v>
      </c>
      <c r="AK124" s="447">
        <f t="shared" ref="AK124" si="924">N124*$D124</f>
        <v>0</v>
      </c>
      <c r="AL124" s="339">
        <f t="shared" ref="AL124" si="925">O124*$D124</f>
        <v>0</v>
      </c>
      <c r="AM124" s="352">
        <f t="shared" ref="AM124" si="926">P124*$D124</f>
        <v>0</v>
      </c>
      <c r="AN124" s="339">
        <f t="shared" ref="AN124" si="927">Q124*$D124</f>
        <v>0</v>
      </c>
      <c r="AO124" s="352">
        <f t="shared" ref="AO124" si="928">R124*$D124</f>
        <v>0</v>
      </c>
      <c r="AP124" s="352">
        <f t="shared" ref="AP124" si="929">S124*$D124</f>
        <v>0</v>
      </c>
      <c r="AQ124" s="352">
        <f t="shared" ref="AQ124" si="930">T124*$D124</f>
        <v>0</v>
      </c>
      <c r="AR124" s="352">
        <f t="shared" si="591"/>
        <v>0</v>
      </c>
      <c r="AS124" s="352">
        <f t="shared" si="14"/>
        <v>0</v>
      </c>
      <c r="AT124" s="352">
        <f t="shared" si="15"/>
        <v>0</v>
      </c>
      <c r="AU124" s="352">
        <f t="shared" si="16"/>
        <v>0</v>
      </c>
      <c r="AV124" s="352">
        <f t="shared" si="16"/>
        <v>0</v>
      </c>
      <c r="AW124" s="352"/>
      <c r="AX124" s="352">
        <f t="shared" ref="AX124:BL133" si="931">IF(AX$3=$E124,$D124,0)</f>
        <v>0</v>
      </c>
      <c r="AY124" s="352">
        <f t="shared" si="931"/>
        <v>0</v>
      </c>
      <c r="AZ124" s="352">
        <f t="shared" si="931"/>
        <v>1124.3800000000001</v>
      </c>
      <c r="BA124" s="352">
        <f t="shared" si="931"/>
        <v>0</v>
      </c>
      <c r="BB124" s="352">
        <f t="shared" si="931"/>
        <v>0</v>
      </c>
      <c r="BC124" s="352">
        <f t="shared" si="931"/>
        <v>0</v>
      </c>
      <c r="BD124" s="352">
        <f t="shared" si="931"/>
        <v>0</v>
      </c>
      <c r="BE124" s="352">
        <f t="shared" si="931"/>
        <v>0</v>
      </c>
      <c r="BF124" s="352">
        <f t="shared" si="931"/>
        <v>0</v>
      </c>
      <c r="BG124" s="352">
        <f t="shared" si="931"/>
        <v>0</v>
      </c>
      <c r="BH124" s="352">
        <f t="shared" si="931"/>
        <v>0</v>
      </c>
      <c r="BI124" s="352">
        <f t="shared" si="931"/>
        <v>0</v>
      </c>
      <c r="BJ124" s="352">
        <f t="shared" si="931"/>
        <v>0</v>
      </c>
      <c r="BK124" s="352">
        <f t="shared" si="931"/>
        <v>0</v>
      </c>
      <c r="BL124" s="352">
        <f t="shared" si="931"/>
        <v>0</v>
      </c>
      <c r="BM124" s="352">
        <f t="shared" si="662"/>
        <v>0</v>
      </c>
      <c r="BN124" s="352">
        <f t="shared" si="662"/>
        <v>0</v>
      </c>
      <c r="BO124" s="352">
        <f t="shared" si="662"/>
        <v>0</v>
      </c>
      <c r="BP124" s="352">
        <f t="shared" si="662"/>
        <v>0</v>
      </c>
      <c r="BQ124" s="352">
        <f t="shared" si="662"/>
        <v>0</v>
      </c>
      <c r="BR124" s="376">
        <f t="shared" si="614"/>
        <v>0</v>
      </c>
    </row>
    <row r="125" spans="1:70" s="240" customFormat="1" ht="14.45" customHeight="1" x14ac:dyDescent="0.25">
      <c r="A125" s="240" t="s">
        <v>143</v>
      </c>
      <c r="B125" s="458"/>
      <c r="C125" s="350"/>
      <c r="D125" s="339">
        <v>2343.7800000000002</v>
      </c>
      <c r="E125" s="350" t="s">
        <v>208</v>
      </c>
      <c r="F125" s="351"/>
      <c r="G125" s="351">
        <v>0</v>
      </c>
      <c r="H125" s="351">
        <v>0</v>
      </c>
      <c r="I125" s="351">
        <v>0</v>
      </c>
      <c r="J125" s="450"/>
      <c r="K125" s="450"/>
      <c r="L125" s="450"/>
      <c r="M125" s="450"/>
      <c r="N125" s="450"/>
      <c r="O125" s="450"/>
      <c r="P125" s="450"/>
      <c r="Q125" s="450"/>
      <c r="R125" s="450"/>
      <c r="S125" s="450"/>
      <c r="T125" s="450">
        <v>0</v>
      </c>
      <c r="U125" s="451">
        <v>1</v>
      </c>
      <c r="V125" s="450">
        <v>0</v>
      </c>
      <c r="W125" s="450"/>
      <c r="X125" s="450"/>
      <c r="Y125" s="450"/>
      <c r="Z125" s="449">
        <f t="shared" ref="Z125" si="932">SUM(F125:Y125)</f>
        <v>1</v>
      </c>
      <c r="AA125" s="350"/>
      <c r="AB125" s="350"/>
      <c r="AC125" s="352">
        <f t="shared" ref="AC125" si="933">F125*$D125</f>
        <v>0</v>
      </c>
      <c r="AD125" s="339">
        <f t="shared" ref="AD125" si="934">G125*$D125</f>
        <v>0</v>
      </c>
      <c r="AE125" s="352">
        <f t="shared" ref="AE125" si="935">H125*$D125</f>
        <v>0</v>
      </c>
      <c r="AF125" s="352">
        <f t="shared" ref="AF125" si="936">I125*$D125</f>
        <v>0</v>
      </c>
      <c r="AG125" s="352">
        <f t="shared" ref="AG125" si="937">J125*$D125</f>
        <v>0</v>
      </c>
      <c r="AH125" s="352">
        <f t="shared" ref="AH125" si="938">K125*$D125</f>
        <v>0</v>
      </c>
      <c r="AI125" s="352">
        <f t="shared" ref="AI125" si="939">L125*$D125</f>
        <v>0</v>
      </c>
      <c r="AJ125" s="352">
        <f t="shared" ref="AJ125" si="940">M125*$D125</f>
        <v>0</v>
      </c>
      <c r="AK125" s="447">
        <f t="shared" ref="AK125" si="941">N125*$D125</f>
        <v>0</v>
      </c>
      <c r="AL125" s="339">
        <f t="shared" ref="AL125" si="942">O125*$D125</f>
        <v>0</v>
      </c>
      <c r="AM125" s="352">
        <f t="shared" ref="AM125" si="943">P125*$D125</f>
        <v>0</v>
      </c>
      <c r="AN125" s="339">
        <f t="shared" ref="AN125" si="944">Q125*$D125</f>
        <v>0</v>
      </c>
      <c r="AO125" s="352">
        <f t="shared" ref="AO125" si="945">R125*$D125</f>
        <v>0</v>
      </c>
      <c r="AP125" s="352">
        <f t="shared" ref="AP125" si="946">S125*$D125</f>
        <v>0</v>
      </c>
      <c r="AQ125" s="352">
        <f t="shared" ref="AQ125" si="947">T125*$D125</f>
        <v>0</v>
      </c>
      <c r="AR125" s="339">
        <f t="shared" ref="AR125" si="948">U125*$D125</f>
        <v>2343.7800000000002</v>
      </c>
      <c r="AS125" s="352">
        <f t="shared" ref="AS125" si="949">V125*$D125</f>
        <v>0</v>
      </c>
      <c r="AT125" s="352">
        <f t="shared" ref="AT125" si="950">W125*$D125</f>
        <v>0</v>
      </c>
      <c r="AU125" s="352">
        <f t="shared" ref="AU125" si="951">X125*$D125</f>
        <v>0</v>
      </c>
      <c r="AV125" s="352">
        <f t="shared" ref="AV125" si="952">Y125*$D125</f>
        <v>0</v>
      </c>
      <c r="AW125" s="352"/>
      <c r="AX125" s="352">
        <f t="shared" si="931"/>
        <v>0</v>
      </c>
      <c r="AY125" s="352">
        <f t="shared" si="931"/>
        <v>0</v>
      </c>
      <c r="AZ125" s="352">
        <f t="shared" si="931"/>
        <v>0</v>
      </c>
      <c r="BA125" s="352">
        <f t="shared" si="931"/>
        <v>0</v>
      </c>
      <c r="BB125" s="352">
        <f t="shared" si="931"/>
        <v>0</v>
      </c>
      <c r="BC125" s="352">
        <f t="shared" si="931"/>
        <v>0</v>
      </c>
      <c r="BD125" s="352">
        <f t="shared" si="931"/>
        <v>0</v>
      </c>
      <c r="BE125" s="352">
        <f t="shared" si="931"/>
        <v>0</v>
      </c>
      <c r="BF125" s="352">
        <f t="shared" si="931"/>
        <v>0</v>
      </c>
      <c r="BG125" s="352">
        <f t="shared" si="931"/>
        <v>0</v>
      </c>
      <c r="BH125" s="352">
        <f t="shared" si="931"/>
        <v>0</v>
      </c>
      <c r="BI125" s="352">
        <f t="shared" si="931"/>
        <v>0</v>
      </c>
      <c r="BJ125" s="352">
        <f t="shared" si="931"/>
        <v>0</v>
      </c>
      <c r="BK125" s="352">
        <f t="shared" si="931"/>
        <v>0</v>
      </c>
      <c r="BL125" s="352">
        <f t="shared" si="931"/>
        <v>2343.7800000000002</v>
      </c>
      <c r="BM125" s="352">
        <f t="shared" si="662"/>
        <v>0</v>
      </c>
      <c r="BN125" s="352">
        <f t="shared" si="662"/>
        <v>0</v>
      </c>
      <c r="BO125" s="352">
        <f t="shared" si="662"/>
        <v>0</v>
      </c>
      <c r="BP125" s="352">
        <f t="shared" si="662"/>
        <v>0</v>
      </c>
      <c r="BQ125" s="352">
        <f t="shared" si="662"/>
        <v>0</v>
      </c>
      <c r="BR125" s="376">
        <f t="shared" ref="BR125" si="953">SUM(AC125:AV125)-SUM(AX125:BQ125)</f>
        <v>0</v>
      </c>
    </row>
    <row r="126" spans="1:70" s="240" customFormat="1" ht="14.45" customHeight="1" x14ac:dyDescent="0.25">
      <c r="A126" s="240" t="s">
        <v>143</v>
      </c>
      <c r="B126" s="458"/>
      <c r="C126" s="350"/>
      <c r="D126" s="339">
        <v>982.1</v>
      </c>
      <c r="E126" s="350" t="s">
        <v>164</v>
      </c>
      <c r="F126" s="351"/>
      <c r="G126" s="351">
        <v>0</v>
      </c>
      <c r="H126" s="351">
        <v>0.18181818181818182</v>
      </c>
      <c r="I126" s="351">
        <v>0.27272727272727271</v>
      </c>
      <c r="J126" s="461">
        <v>0.27272727272727271</v>
      </c>
      <c r="K126" s="461">
        <v>0.27272727272727271</v>
      </c>
      <c r="L126" s="450"/>
      <c r="M126" s="450"/>
      <c r="N126" s="450"/>
      <c r="O126" s="450"/>
      <c r="P126" s="450"/>
      <c r="Q126" s="450"/>
      <c r="R126" s="450"/>
      <c r="S126" s="450"/>
      <c r="T126" s="450"/>
      <c r="U126" s="450"/>
      <c r="V126" s="450"/>
      <c r="W126" s="450"/>
      <c r="X126" s="450"/>
      <c r="Y126" s="450"/>
      <c r="Z126" s="449">
        <f t="shared" si="916"/>
        <v>1</v>
      </c>
      <c r="AA126" s="350"/>
      <c r="AB126" s="350"/>
      <c r="AC126" s="352">
        <f t="shared" ref="AC126:AV126" si="954">F126*$D126</f>
        <v>0</v>
      </c>
      <c r="AD126" s="339">
        <f t="shared" si="954"/>
        <v>0</v>
      </c>
      <c r="AE126" s="352">
        <f t="shared" si="954"/>
        <v>178.56363636363636</v>
      </c>
      <c r="AF126" s="352">
        <f t="shared" si="954"/>
        <v>267.84545454545452</v>
      </c>
      <c r="AG126" s="352">
        <f t="shared" si="954"/>
        <v>267.84545454545452</v>
      </c>
      <c r="AH126" s="352">
        <f t="shared" si="954"/>
        <v>267.84545454545452</v>
      </c>
      <c r="AI126" s="352">
        <f t="shared" si="954"/>
        <v>0</v>
      </c>
      <c r="AJ126" s="352">
        <f t="shared" si="954"/>
        <v>0</v>
      </c>
      <c r="AK126" s="447">
        <f t="shared" si="954"/>
        <v>0</v>
      </c>
      <c r="AL126" s="339">
        <f t="shared" si="954"/>
        <v>0</v>
      </c>
      <c r="AM126" s="352">
        <f t="shared" si="954"/>
        <v>0</v>
      </c>
      <c r="AN126" s="339">
        <f t="shared" si="954"/>
        <v>0</v>
      </c>
      <c r="AO126" s="352">
        <f t="shared" si="954"/>
        <v>0</v>
      </c>
      <c r="AP126" s="352">
        <f t="shared" si="954"/>
        <v>0</v>
      </c>
      <c r="AQ126" s="352">
        <f t="shared" si="954"/>
        <v>0</v>
      </c>
      <c r="AR126" s="352">
        <f t="shared" si="954"/>
        <v>0</v>
      </c>
      <c r="AS126" s="352">
        <f t="shared" si="954"/>
        <v>0</v>
      </c>
      <c r="AT126" s="352">
        <f t="shared" si="954"/>
        <v>0</v>
      </c>
      <c r="AU126" s="352">
        <f t="shared" si="954"/>
        <v>0</v>
      </c>
      <c r="AV126" s="352">
        <f t="shared" si="954"/>
        <v>0</v>
      </c>
      <c r="AW126" s="352"/>
      <c r="AX126" s="352">
        <f t="shared" ref="AX126:BQ126" si="955">IF(AX$3=$E126,$D126,0)</f>
        <v>0</v>
      </c>
      <c r="AY126" s="352">
        <f t="shared" si="955"/>
        <v>0</v>
      </c>
      <c r="AZ126" s="352">
        <f t="shared" si="955"/>
        <v>982.1</v>
      </c>
      <c r="BA126" s="352">
        <f t="shared" si="955"/>
        <v>0</v>
      </c>
      <c r="BB126" s="352">
        <f t="shared" si="955"/>
        <v>0</v>
      </c>
      <c r="BC126" s="352">
        <f t="shared" si="955"/>
        <v>0</v>
      </c>
      <c r="BD126" s="352">
        <f t="shared" si="955"/>
        <v>0</v>
      </c>
      <c r="BE126" s="352">
        <f t="shared" si="955"/>
        <v>0</v>
      </c>
      <c r="BF126" s="352">
        <f t="shared" si="955"/>
        <v>0</v>
      </c>
      <c r="BG126" s="352">
        <f t="shared" si="955"/>
        <v>0</v>
      </c>
      <c r="BH126" s="352">
        <f t="shared" si="955"/>
        <v>0</v>
      </c>
      <c r="BI126" s="352">
        <f t="shared" si="955"/>
        <v>0</v>
      </c>
      <c r="BJ126" s="352">
        <f t="shared" si="955"/>
        <v>0</v>
      </c>
      <c r="BK126" s="352">
        <f t="shared" si="955"/>
        <v>0</v>
      </c>
      <c r="BL126" s="352">
        <f t="shared" si="955"/>
        <v>0</v>
      </c>
      <c r="BM126" s="352">
        <f t="shared" si="955"/>
        <v>0</v>
      </c>
      <c r="BN126" s="352">
        <f t="shared" si="955"/>
        <v>0</v>
      </c>
      <c r="BO126" s="352">
        <f t="shared" si="955"/>
        <v>0</v>
      </c>
      <c r="BP126" s="352">
        <f t="shared" si="955"/>
        <v>0</v>
      </c>
      <c r="BQ126" s="352">
        <f t="shared" si="955"/>
        <v>0</v>
      </c>
      <c r="BR126" s="376">
        <f t="shared" si="614"/>
        <v>0</v>
      </c>
    </row>
    <row r="127" spans="1:70" s="240" customFormat="1" ht="14.45" customHeight="1" outlineLevel="1" x14ac:dyDescent="0.25">
      <c r="A127" s="240" t="s">
        <v>140</v>
      </c>
      <c r="B127" s="458"/>
      <c r="C127" s="350"/>
      <c r="D127" s="352">
        <f>SUM(F127:X127)</f>
        <v>15389.66</v>
      </c>
      <c r="E127" s="450" t="s">
        <v>164</v>
      </c>
      <c r="F127" s="457"/>
      <c r="G127" s="457">
        <v>0</v>
      </c>
      <c r="H127" s="457">
        <v>375</v>
      </c>
      <c r="I127" s="457">
        <v>4500</v>
      </c>
      <c r="J127" s="457">
        <v>4848.4799999999996</v>
      </c>
      <c r="K127" s="457">
        <v>4771.5200000000004</v>
      </c>
      <c r="L127" s="457">
        <v>894.66</v>
      </c>
      <c r="M127" s="457">
        <v>0</v>
      </c>
      <c r="N127" s="457">
        <v>0</v>
      </c>
      <c r="O127" s="457">
        <v>0</v>
      </c>
      <c r="P127" s="457">
        <v>0</v>
      </c>
      <c r="Q127" s="457">
        <v>0</v>
      </c>
      <c r="R127" s="457">
        <v>0</v>
      </c>
      <c r="S127" s="457">
        <v>0</v>
      </c>
      <c r="T127" s="462">
        <v>0</v>
      </c>
      <c r="U127" s="462">
        <v>0</v>
      </c>
      <c r="V127" s="462">
        <v>0</v>
      </c>
      <c r="W127" s="462">
        <v>0</v>
      </c>
      <c r="X127" s="462">
        <v>0</v>
      </c>
      <c r="Y127" s="462"/>
      <c r="Z127" s="352">
        <f t="shared" ref="Z127:Z132" si="956">SUM(F127:Y127)</f>
        <v>15389.66</v>
      </c>
      <c r="AA127" s="350"/>
      <c r="AB127" s="350"/>
      <c r="AC127" s="352">
        <f t="shared" ref="AC127:AV127" si="957">F127</f>
        <v>0</v>
      </c>
      <c r="AD127" s="352">
        <f t="shared" si="957"/>
        <v>0</v>
      </c>
      <c r="AE127" s="352">
        <f t="shared" si="957"/>
        <v>375</v>
      </c>
      <c r="AF127" s="352">
        <f t="shared" si="957"/>
        <v>4500</v>
      </c>
      <c r="AG127" s="352">
        <f t="shared" si="957"/>
        <v>4848.4799999999996</v>
      </c>
      <c r="AH127" s="352">
        <f t="shared" si="957"/>
        <v>4771.5200000000004</v>
      </c>
      <c r="AI127" s="352">
        <f t="shared" si="957"/>
        <v>894.66</v>
      </c>
      <c r="AJ127" s="352">
        <f t="shared" si="957"/>
        <v>0</v>
      </c>
      <c r="AK127" s="447">
        <f t="shared" si="957"/>
        <v>0</v>
      </c>
      <c r="AL127" s="352">
        <f t="shared" si="957"/>
        <v>0</v>
      </c>
      <c r="AM127" s="352">
        <f t="shared" si="957"/>
        <v>0</v>
      </c>
      <c r="AN127" s="339">
        <f t="shared" si="957"/>
        <v>0</v>
      </c>
      <c r="AO127" s="352">
        <f t="shared" si="957"/>
        <v>0</v>
      </c>
      <c r="AP127" s="352">
        <f t="shared" si="957"/>
        <v>0</v>
      </c>
      <c r="AQ127" s="352">
        <f t="shared" si="957"/>
        <v>0</v>
      </c>
      <c r="AR127" s="352">
        <f t="shared" si="957"/>
        <v>0</v>
      </c>
      <c r="AS127" s="352">
        <f t="shared" si="957"/>
        <v>0</v>
      </c>
      <c r="AT127" s="352">
        <f t="shared" si="957"/>
        <v>0</v>
      </c>
      <c r="AU127" s="352">
        <f t="shared" si="957"/>
        <v>0</v>
      </c>
      <c r="AV127" s="352">
        <f t="shared" si="957"/>
        <v>0</v>
      </c>
      <c r="AW127" s="352"/>
      <c r="AX127" s="352">
        <f>IF(AX$144=$E127,SUM(AC127:AF127),0)</f>
        <v>0</v>
      </c>
      <c r="AY127" s="352">
        <f>IF(AY$144=$E127,SUM(AD127:AG127),0)</f>
        <v>0</v>
      </c>
      <c r="AZ127" s="352">
        <f>IF(AZ$144=$E127,SUM(AE127:AH127),0)</f>
        <v>14495</v>
      </c>
      <c r="BA127" s="352">
        <v>894.66</v>
      </c>
      <c r="BB127" s="352">
        <v>0</v>
      </c>
      <c r="BC127" s="352">
        <f>IF(BC$144=$E127,SUM(AH127:AK127),0)</f>
        <v>0</v>
      </c>
      <c r="BD127" s="352">
        <v>0</v>
      </c>
      <c r="BE127" s="352">
        <f t="shared" ref="BE127:BG128" si="958">IF(BE$144=$E127,SUM(AJ127:AM127),0)</f>
        <v>0</v>
      </c>
      <c r="BF127" s="352">
        <f t="shared" si="958"/>
        <v>0</v>
      </c>
      <c r="BG127" s="352">
        <f t="shared" si="958"/>
        <v>0</v>
      </c>
      <c r="BH127" s="352">
        <v>0</v>
      </c>
      <c r="BI127" s="352">
        <f>IF(BI$144=$E127,SUM(AN127:AQ127),0)</f>
        <v>0</v>
      </c>
      <c r="BJ127" s="352">
        <f>IF(BJ$144=$E127,SUM(AO127:$AQ127),0)</f>
        <v>0</v>
      </c>
      <c r="BK127" s="339">
        <f>IF(BK$144=$E127,SUM(AP127:$AQ127),0)</f>
        <v>0</v>
      </c>
      <c r="BL127" s="352">
        <f>IF(BL$144=$E127,SUM(AQ127:$AQ127),0)</f>
        <v>0</v>
      </c>
      <c r="BM127" s="352">
        <f>IF(BM$144=$E127,SUM($AQ127:AR127),0)</f>
        <v>0</v>
      </c>
      <c r="BN127" s="352">
        <f>IF(BN$144=$E127,SUM($AQ127:AS127),0)</f>
        <v>0</v>
      </c>
      <c r="BO127" s="352">
        <f>IF(BO$144=$E127,SUM($AQ127:AT127),0)</f>
        <v>0</v>
      </c>
      <c r="BP127" s="352">
        <f>IF(BP$144=$E127,SUM($AQ127:AU127),0)</f>
        <v>0</v>
      </c>
      <c r="BQ127" s="352">
        <f>IF(BQ$144=$E127,SUM($AQ127:AV127),0)</f>
        <v>0</v>
      </c>
      <c r="BR127" s="376">
        <f t="shared" si="614"/>
        <v>0</v>
      </c>
    </row>
    <row r="128" spans="1:70" s="240" customFormat="1" ht="14.45" customHeight="1" x14ac:dyDescent="0.25">
      <c r="A128" s="240" t="s">
        <v>143</v>
      </c>
      <c r="B128" s="458"/>
      <c r="C128" s="350"/>
      <c r="D128" s="339">
        <v>7222.5</v>
      </c>
      <c r="E128" s="450" t="s">
        <v>164</v>
      </c>
      <c r="F128" s="457"/>
      <c r="G128" s="457"/>
      <c r="H128" s="457"/>
      <c r="I128" s="457" t="s">
        <v>101</v>
      </c>
      <c r="J128" s="457"/>
      <c r="K128" s="457">
        <v>0</v>
      </c>
      <c r="L128" s="457">
        <v>0</v>
      </c>
      <c r="M128" s="457">
        <v>0</v>
      </c>
      <c r="N128" s="457">
        <v>0</v>
      </c>
      <c r="O128" s="457">
        <v>7222.5</v>
      </c>
      <c r="P128" s="457"/>
      <c r="Q128" s="457"/>
      <c r="R128" s="457"/>
      <c r="S128" s="457"/>
      <c r="T128" s="462"/>
      <c r="U128" s="462"/>
      <c r="V128" s="462"/>
      <c r="W128" s="462"/>
      <c r="X128" s="462"/>
      <c r="Y128" s="462"/>
      <c r="Z128" s="352">
        <f t="shared" si="956"/>
        <v>7222.5</v>
      </c>
      <c r="AA128" s="350"/>
      <c r="AB128" s="350"/>
      <c r="AC128" s="352">
        <f t="shared" ref="AC128:AJ128" si="959">F128</f>
        <v>0</v>
      </c>
      <c r="AD128" s="339">
        <f t="shared" si="959"/>
        <v>0</v>
      </c>
      <c r="AE128" s="352">
        <f t="shared" si="959"/>
        <v>0</v>
      </c>
      <c r="AF128" s="352" t="str">
        <f t="shared" si="959"/>
        <v xml:space="preserve"> </v>
      </c>
      <c r="AG128" s="352">
        <f t="shared" si="959"/>
        <v>0</v>
      </c>
      <c r="AH128" s="352">
        <f t="shared" si="959"/>
        <v>0</v>
      </c>
      <c r="AI128" s="352">
        <f t="shared" si="959"/>
        <v>0</v>
      </c>
      <c r="AJ128" s="447">
        <f t="shared" si="959"/>
        <v>0</v>
      </c>
      <c r="AK128" s="447">
        <f t="shared" ref="AK128" si="960">N128</f>
        <v>0</v>
      </c>
      <c r="AL128" s="339">
        <f t="shared" ref="AL128" si="961">O128</f>
        <v>7222.5</v>
      </c>
      <c r="AM128" s="352">
        <f t="shared" ref="AM128" si="962">P128</f>
        <v>0</v>
      </c>
      <c r="AN128" s="339">
        <f t="shared" ref="AN128" si="963">Q128</f>
        <v>0</v>
      </c>
      <c r="AO128" s="352">
        <f t="shared" ref="AO128" si="964">R128</f>
        <v>0</v>
      </c>
      <c r="AP128" s="352">
        <f t="shared" ref="AP128" si="965">S128</f>
        <v>0</v>
      </c>
      <c r="AQ128" s="352">
        <f t="shared" ref="AQ128" si="966">T128</f>
        <v>0</v>
      </c>
      <c r="AR128" s="352">
        <f>U128</f>
        <v>0</v>
      </c>
      <c r="AS128" s="352">
        <f>V128</f>
        <v>0</v>
      </c>
      <c r="AT128" s="352">
        <f>W128</f>
        <v>0</v>
      </c>
      <c r="AU128" s="352">
        <f>X128</f>
        <v>0</v>
      </c>
      <c r="AV128" s="352">
        <f>Y128</f>
        <v>0</v>
      </c>
      <c r="AW128" s="352"/>
      <c r="AX128" s="352">
        <f>IF(AX$144=$E128,SUM(AC128:AF128),0)</f>
        <v>0</v>
      </c>
      <c r="AY128" s="352">
        <f>IF(AY$144=$E128,SUM(AD128:AG128),0)</f>
        <v>0</v>
      </c>
      <c r="AZ128" s="352">
        <v>7222.5</v>
      </c>
      <c r="BA128" s="352">
        <f>IF(BA$144=$E128,SUM(AF128:AI128),0)</f>
        <v>0</v>
      </c>
      <c r="BB128" s="352">
        <f>IF(BB$144=$E128,SUM(AG128:AJ128),0)</f>
        <v>0</v>
      </c>
      <c r="BC128" s="352">
        <f>IF(BC$144=$E128,SUM(AH128:AK128),0)</f>
        <v>0</v>
      </c>
      <c r="BD128" s="352">
        <v>0</v>
      </c>
      <c r="BE128" s="352">
        <f t="shared" si="958"/>
        <v>0</v>
      </c>
      <c r="BF128" s="352">
        <f t="shared" si="958"/>
        <v>0</v>
      </c>
      <c r="BG128" s="352">
        <f t="shared" si="958"/>
        <v>0</v>
      </c>
      <c r="BH128" s="352">
        <f>IF(BH$144=$E128,SUM(AM128:AP128),0)</f>
        <v>0</v>
      </c>
      <c r="BI128" s="352">
        <f>IF(BI$144=$E128,SUM(AN128:AQ128),0)</f>
        <v>0</v>
      </c>
      <c r="BJ128" s="352">
        <f>IF(BJ$144=$E128,SUM(AO128:$AQ128),0)</f>
        <v>0</v>
      </c>
      <c r="BK128" s="352">
        <f>IF(BK$144=$E128,SUM(AP128:$AQ128),0)</f>
        <v>0</v>
      </c>
      <c r="BL128" s="352">
        <f>IF(BL$144=$E128,SUM(AQ128:$AQ128),0)</f>
        <v>0</v>
      </c>
      <c r="BM128" s="352">
        <f>IF(BM$144=$E128,SUM($AQ128:AR128),0)</f>
        <v>0</v>
      </c>
      <c r="BN128" s="352">
        <v>0</v>
      </c>
      <c r="BO128" s="352">
        <v>0</v>
      </c>
      <c r="BP128" s="352">
        <v>0</v>
      </c>
      <c r="BQ128" s="352">
        <v>0</v>
      </c>
      <c r="BR128" s="376">
        <f t="shared" si="614"/>
        <v>0</v>
      </c>
    </row>
    <row r="129" spans="1:71" s="240" customFormat="1" ht="14.45" customHeight="1" x14ac:dyDescent="0.25">
      <c r="A129" s="240" t="s">
        <v>143</v>
      </c>
      <c r="B129" s="458"/>
      <c r="C129" s="350"/>
      <c r="D129" s="339">
        <v>505.16</v>
      </c>
      <c r="E129" s="350" t="s">
        <v>196</v>
      </c>
      <c r="F129" s="351"/>
      <c r="G129" s="351">
        <v>0</v>
      </c>
      <c r="H129" s="351">
        <v>0</v>
      </c>
      <c r="I129" s="351">
        <v>1</v>
      </c>
      <c r="J129" s="351">
        <v>0</v>
      </c>
      <c r="K129" s="351">
        <v>0</v>
      </c>
      <c r="L129" s="351">
        <v>0</v>
      </c>
      <c r="M129" s="450"/>
      <c r="N129" s="450"/>
      <c r="O129" s="450"/>
      <c r="P129" s="450"/>
      <c r="Q129" s="450"/>
      <c r="R129" s="450"/>
      <c r="S129" s="450"/>
      <c r="T129" s="450"/>
      <c r="U129" s="450"/>
      <c r="V129" s="450"/>
      <c r="W129" s="450"/>
      <c r="X129" s="450"/>
      <c r="Y129" s="450"/>
      <c r="Z129" s="449">
        <f t="shared" si="956"/>
        <v>1</v>
      </c>
      <c r="AA129" s="350"/>
      <c r="AB129" s="350"/>
      <c r="AC129" s="352">
        <f t="shared" ref="AC129:AV129" si="967">F129*$D129</f>
        <v>0</v>
      </c>
      <c r="AD129" s="339">
        <f t="shared" si="967"/>
        <v>0</v>
      </c>
      <c r="AE129" s="352">
        <f t="shared" si="967"/>
        <v>0</v>
      </c>
      <c r="AF129" s="352">
        <f t="shared" si="967"/>
        <v>505.16</v>
      </c>
      <c r="AG129" s="352">
        <f t="shared" si="967"/>
        <v>0</v>
      </c>
      <c r="AH129" s="352">
        <f t="shared" si="967"/>
        <v>0</v>
      </c>
      <c r="AI129" s="352">
        <f t="shared" si="967"/>
        <v>0</v>
      </c>
      <c r="AJ129" s="352">
        <f t="shared" si="967"/>
        <v>0</v>
      </c>
      <c r="AK129" s="447">
        <f t="shared" si="967"/>
        <v>0</v>
      </c>
      <c r="AL129" s="339">
        <f t="shared" si="967"/>
        <v>0</v>
      </c>
      <c r="AM129" s="352">
        <f t="shared" si="967"/>
        <v>0</v>
      </c>
      <c r="AN129" s="339">
        <f t="shared" si="967"/>
        <v>0</v>
      </c>
      <c r="AO129" s="352">
        <f t="shared" si="967"/>
        <v>0</v>
      </c>
      <c r="AP129" s="352">
        <f t="shared" si="967"/>
        <v>0</v>
      </c>
      <c r="AQ129" s="352">
        <f t="shared" si="967"/>
        <v>0</v>
      </c>
      <c r="AR129" s="352">
        <f t="shared" si="967"/>
        <v>0</v>
      </c>
      <c r="AS129" s="352">
        <f t="shared" si="967"/>
        <v>0</v>
      </c>
      <c r="AT129" s="352">
        <f t="shared" si="967"/>
        <v>0</v>
      </c>
      <c r="AU129" s="352">
        <f t="shared" si="967"/>
        <v>0</v>
      </c>
      <c r="AV129" s="352">
        <f t="shared" si="967"/>
        <v>0</v>
      </c>
      <c r="AW129" s="352"/>
      <c r="AX129" s="352">
        <f t="shared" ref="AX129:BQ129" si="968">IF(AX$3=$E129,$D129,0)</f>
        <v>0</v>
      </c>
      <c r="AY129" s="352">
        <f t="shared" si="968"/>
        <v>0</v>
      </c>
      <c r="AZ129" s="352">
        <f t="shared" si="968"/>
        <v>0</v>
      </c>
      <c r="BA129" s="352">
        <f t="shared" si="968"/>
        <v>505.16</v>
      </c>
      <c r="BB129" s="352">
        <f t="shared" si="968"/>
        <v>0</v>
      </c>
      <c r="BC129" s="352">
        <f t="shared" si="968"/>
        <v>0</v>
      </c>
      <c r="BD129" s="352">
        <f t="shared" si="968"/>
        <v>0</v>
      </c>
      <c r="BE129" s="352">
        <f t="shared" si="968"/>
        <v>0</v>
      </c>
      <c r="BF129" s="352">
        <f t="shared" si="968"/>
        <v>0</v>
      </c>
      <c r="BG129" s="352">
        <f t="shared" si="968"/>
        <v>0</v>
      </c>
      <c r="BH129" s="352">
        <f t="shared" si="968"/>
        <v>0</v>
      </c>
      <c r="BI129" s="352">
        <f t="shared" si="968"/>
        <v>0</v>
      </c>
      <c r="BJ129" s="352">
        <f t="shared" si="968"/>
        <v>0</v>
      </c>
      <c r="BK129" s="352">
        <f t="shared" si="968"/>
        <v>0</v>
      </c>
      <c r="BL129" s="352">
        <f t="shared" si="968"/>
        <v>0</v>
      </c>
      <c r="BM129" s="352">
        <f t="shared" si="968"/>
        <v>0</v>
      </c>
      <c r="BN129" s="352">
        <f t="shared" si="968"/>
        <v>0</v>
      </c>
      <c r="BO129" s="352">
        <f t="shared" si="968"/>
        <v>0</v>
      </c>
      <c r="BP129" s="352">
        <f t="shared" si="968"/>
        <v>0</v>
      </c>
      <c r="BQ129" s="352">
        <f t="shared" si="968"/>
        <v>0</v>
      </c>
      <c r="BR129" s="376">
        <f t="shared" si="614"/>
        <v>0</v>
      </c>
    </row>
    <row r="130" spans="1:71" s="240" customFormat="1" ht="14.45" customHeight="1" outlineLevel="1" x14ac:dyDescent="0.25">
      <c r="A130" s="240" t="s">
        <v>140</v>
      </c>
      <c r="B130" s="458"/>
      <c r="C130" s="350"/>
      <c r="D130" s="352">
        <f>SUM(F130:X130)</f>
        <v>122294.38</v>
      </c>
      <c r="E130" s="450" t="s">
        <v>196</v>
      </c>
      <c r="F130" s="457">
        <v>0</v>
      </c>
      <c r="G130" s="457">
        <v>0</v>
      </c>
      <c r="H130" s="457">
        <v>0</v>
      </c>
      <c r="I130" s="457">
        <v>2666.56</v>
      </c>
      <c r="J130" s="457">
        <v>4615.2</v>
      </c>
      <c r="K130" s="457">
        <v>6230.52</v>
      </c>
      <c r="L130" s="457">
        <v>5435.68</v>
      </c>
      <c r="M130" s="457">
        <v>6153.6</v>
      </c>
      <c r="N130" s="457">
        <v>7295.78</v>
      </c>
      <c r="O130" s="457">
        <v>6828.72</v>
      </c>
      <c r="P130" s="457">
        <v>6997.9</v>
      </c>
      <c r="Q130" s="457">
        <v>7228.6</v>
      </c>
      <c r="R130" s="457">
        <v>7819.84</v>
      </c>
      <c r="S130" s="457">
        <v>8392.32</v>
      </c>
      <c r="T130" s="462">
        <v>7529.4</v>
      </c>
      <c r="U130" s="462">
        <v>8436.9599999999991</v>
      </c>
      <c r="V130" s="462">
        <v>7518.6</v>
      </c>
      <c r="W130" s="462">
        <v>8248.5</v>
      </c>
      <c r="X130" s="462">
        <v>20896.200000000004</v>
      </c>
      <c r="Y130" s="462">
        <v>0</v>
      </c>
      <c r="Z130" s="352">
        <f t="shared" si="956"/>
        <v>122294.38</v>
      </c>
      <c r="AA130" s="350"/>
      <c r="AB130" s="350"/>
      <c r="AC130" s="352">
        <f t="shared" ref="AC130" si="969">F130</f>
        <v>0</v>
      </c>
      <c r="AD130" s="352">
        <f t="shared" ref="AD130" si="970">G130</f>
        <v>0</v>
      </c>
      <c r="AE130" s="352">
        <f t="shared" ref="AE130" si="971">H130</f>
        <v>0</v>
      </c>
      <c r="AF130" s="352">
        <f t="shared" ref="AF130" si="972">I130</f>
        <v>2666.56</v>
      </c>
      <c r="AG130" s="352">
        <f t="shared" ref="AG130" si="973">J130</f>
        <v>4615.2</v>
      </c>
      <c r="AH130" s="352">
        <f t="shared" ref="AH130" si="974">K130</f>
        <v>6230.52</v>
      </c>
      <c r="AI130" s="352">
        <f t="shared" ref="AI130" si="975">L130</f>
        <v>5435.68</v>
      </c>
      <c r="AJ130" s="352">
        <f t="shared" ref="AJ130" si="976">M130</f>
        <v>6153.6</v>
      </c>
      <c r="AK130" s="352">
        <f t="shared" ref="AK130" si="977">N130</f>
        <v>7295.78</v>
      </c>
      <c r="AL130" s="352">
        <f t="shared" ref="AL130" si="978">O130</f>
        <v>6828.72</v>
      </c>
      <c r="AM130" s="352">
        <f t="shared" ref="AM130" si="979">P130</f>
        <v>6997.9</v>
      </c>
      <c r="AN130" s="352">
        <f t="shared" ref="AN130" si="980">Q130</f>
        <v>7228.6</v>
      </c>
      <c r="AO130" s="352">
        <f t="shared" ref="AO130" si="981">R130</f>
        <v>7819.84</v>
      </c>
      <c r="AP130" s="352">
        <f t="shared" ref="AP130" si="982">S130</f>
        <v>8392.32</v>
      </c>
      <c r="AQ130" s="352">
        <f t="shared" ref="AQ130" si="983">T130</f>
        <v>7529.4</v>
      </c>
      <c r="AR130" s="352">
        <f t="shared" ref="AR130" si="984">U130</f>
        <v>8436.9599999999991</v>
      </c>
      <c r="AS130" s="352">
        <f t="shared" ref="AS130" si="985">V130</f>
        <v>7518.6</v>
      </c>
      <c r="AT130" s="352">
        <f t="shared" ref="AT130" si="986">W130</f>
        <v>8248.5</v>
      </c>
      <c r="AU130" s="352">
        <f t="shared" ref="AU130" si="987">X130</f>
        <v>20896.200000000004</v>
      </c>
      <c r="AV130" s="339">
        <f t="shared" ref="AV130" si="988">Y130</f>
        <v>0</v>
      </c>
      <c r="AW130" s="352"/>
      <c r="AX130" s="352">
        <v>0</v>
      </c>
      <c r="AY130" s="352">
        <v>0</v>
      </c>
      <c r="AZ130" s="352">
        <v>0</v>
      </c>
      <c r="BA130" s="352">
        <v>3384.48</v>
      </c>
      <c r="BB130" s="352">
        <v>24260.44</v>
      </c>
      <c r="BC130" s="352">
        <v>0</v>
      </c>
      <c r="BD130" s="352">
        <v>0</v>
      </c>
      <c r="BE130" s="352">
        <v>0</v>
      </c>
      <c r="BF130" s="352">
        <v>29991</v>
      </c>
      <c r="BG130" s="352">
        <v>0</v>
      </c>
      <c r="BH130" s="352">
        <v>0</v>
      </c>
      <c r="BI130" s="352">
        <v>-1845.6</v>
      </c>
      <c r="BJ130" s="352">
        <v>16497</v>
      </c>
      <c r="BK130" s="339">
        <v>-1133.6400000000001</v>
      </c>
      <c r="BL130" s="352">
        <v>32994</v>
      </c>
      <c r="BM130" s="352">
        <v>0</v>
      </c>
      <c r="BN130" s="352">
        <v>0</v>
      </c>
      <c r="BO130" s="352">
        <v>0</v>
      </c>
      <c r="BP130" s="352">
        <v>18146.7</v>
      </c>
      <c r="BQ130" s="352">
        <v>0</v>
      </c>
      <c r="BR130" s="463">
        <f t="shared" si="614"/>
        <v>0</v>
      </c>
      <c r="BS130" s="408"/>
    </row>
    <row r="131" spans="1:71" s="240" customFormat="1" ht="14.45" customHeight="1" x14ac:dyDescent="0.25">
      <c r="A131" s="240" t="s">
        <v>143</v>
      </c>
      <c r="B131" s="458"/>
      <c r="C131" s="350"/>
      <c r="D131" s="339">
        <v>1630</v>
      </c>
      <c r="E131" s="350" t="s">
        <v>193</v>
      </c>
      <c r="F131" s="351"/>
      <c r="G131" s="351">
        <v>0</v>
      </c>
      <c r="H131" s="351">
        <v>0</v>
      </c>
      <c r="I131" s="351">
        <v>0</v>
      </c>
      <c r="J131" s="351">
        <v>1</v>
      </c>
      <c r="K131" s="450"/>
      <c r="L131" s="450"/>
      <c r="M131" s="450"/>
      <c r="N131" s="450"/>
      <c r="O131" s="450"/>
      <c r="P131" s="450"/>
      <c r="Q131" s="450"/>
      <c r="R131" s="450"/>
      <c r="S131" s="450"/>
      <c r="T131" s="450"/>
      <c r="U131" s="450"/>
      <c r="V131" s="450"/>
      <c r="W131" s="450"/>
      <c r="X131" s="450"/>
      <c r="Y131" s="450"/>
      <c r="Z131" s="449">
        <f t="shared" si="956"/>
        <v>1</v>
      </c>
      <c r="AA131" s="461"/>
      <c r="AB131" s="350"/>
      <c r="AC131" s="352">
        <f t="shared" ref="AC131" si="989">F131*$D131</f>
        <v>0</v>
      </c>
      <c r="AD131" s="339">
        <f t="shared" ref="AD131" si="990">G131*$D131</f>
        <v>0</v>
      </c>
      <c r="AE131" s="352">
        <f t="shared" ref="AE131" si="991">H131*$D131</f>
        <v>0</v>
      </c>
      <c r="AF131" s="352">
        <f t="shared" ref="AF131" si="992">I131*$D131</f>
        <v>0</v>
      </c>
      <c r="AG131" s="352">
        <f t="shared" si="915"/>
        <v>1630</v>
      </c>
      <c r="AH131" s="352">
        <f t="shared" ref="AH131" si="993">K131*$D131</f>
        <v>0</v>
      </c>
      <c r="AI131" s="352">
        <f t="shared" ref="AI131" si="994">L131*$D131</f>
        <v>0</v>
      </c>
      <c r="AJ131" s="352">
        <f t="shared" ref="AJ131" si="995">M131*$D131</f>
        <v>0</v>
      </c>
      <c r="AK131" s="447">
        <f t="shared" ref="AK131" si="996">N131*$D131</f>
        <v>0</v>
      </c>
      <c r="AL131" s="339">
        <f t="shared" ref="AL131" si="997">O131*$D131</f>
        <v>0</v>
      </c>
      <c r="AM131" s="352">
        <f t="shared" ref="AM131" si="998">P131*$D131</f>
        <v>0</v>
      </c>
      <c r="AN131" s="339">
        <f t="shared" ref="AN131" si="999">Q131*$D131</f>
        <v>0</v>
      </c>
      <c r="AO131" s="352">
        <f t="shared" ref="AO131" si="1000">R131*$D131</f>
        <v>0</v>
      </c>
      <c r="AP131" s="352">
        <f t="shared" ref="AP131" si="1001">S131*$D131</f>
        <v>0</v>
      </c>
      <c r="AQ131" s="352">
        <f t="shared" ref="AQ131" si="1002">T131*$D131</f>
        <v>0</v>
      </c>
      <c r="AR131" s="352">
        <f t="shared" si="591"/>
        <v>0</v>
      </c>
      <c r="AS131" s="352">
        <f t="shared" si="14"/>
        <v>0</v>
      </c>
      <c r="AT131" s="352">
        <f t="shared" si="15"/>
        <v>0</v>
      </c>
      <c r="AU131" s="352">
        <f t="shared" si="16"/>
        <v>0</v>
      </c>
      <c r="AV131" s="352">
        <f t="shared" si="16"/>
        <v>0</v>
      </c>
      <c r="AW131" s="352"/>
      <c r="AX131" s="352">
        <f t="shared" si="931"/>
        <v>0</v>
      </c>
      <c r="AY131" s="352">
        <f t="shared" si="931"/>
        <v>0</v>
      </c>
      <c r="AZ131" s="352">
        <f t="shared" si="931"/>
        <v>0</v>
      </c>
      <c r="BA131" s="352">
        <f t="shared" si="931"/>
        <v>0</v>
      </c>
      <c r="BB131" s="352">
        <f t="shared" si="931"/>
        <v>1630</v>
      </c>
      <c r="BC131" s="352">
        <f t="shared" si="931"/>
        <v>0</v>
      </c>
      <c r="BD131" s="352">
        <f t="shared" si="931"/>
        <v>0</v>
      </c>
      <c r="BE131" s="352">
        <f t="shared" si="931"/>
        <v>0</v>
      </c>
      <c r="BF131" s="352">
        <f t="shared" si="931"/>
        <v>0</v>
      </c>
      <c r="BG131" s="352">
        <f t="shared" si="931"/>
        <v>0</v>
      </c>
      <c r="BH131" s="352">
        <f t="shared" si="931"/>
        <v>0</v>
      </c>
      <c r="BI131" s="352">
        <f t="shared" si="931"/>
        <v>0</v>
      </c>
      <c r="BJ131" s="352">
        <f t="shared" si="931"/>
        <v>0</v>
      </c>
      <c r="BK131" s="352">
        <f t="shared" si="931"/>
        <v>0</v>
      </c>
      <c r="BL131" s="352">
        <f t="shared" si="931"/>
        <v>0</v>
      </c>
      <c r="BM131" s="352">
        <f t="shared" si="662"/>
        <v>0</v>
      </c>
      <c r="BN131" s="352">
        <f t="shared" si="662"/>
        <v>0</v>
      </c>
      <c r="BO131" s="352">
        <f t="shared" si="662"/>
        <v>0</v>
      </c>
      <c r="BP131" s="352">
        <f t="shared" si="662"/>
        <v>0</v>
      </c>
      <c r="BQ131" s="352">
        <f t="shared" si="662"/>
        <v>0</v>
      </c>
      <c r="BR131" s="376">
        <f t="shared" si="614"/>
        <v>0</v>
      </c>
    </row>
    <row r="132" spans="1:71" s="240" customFormat="1" ht="14.45" customHeight="1" x14ac:dyDescent="0.25">
      <c r="A132" s="240" t="s">
        <v>143</v>
      </c>
      <c r="B132" s="458"/>
      <c r="C132" s="350"/>
      <c r="D132" s="339">
        <v>739.99</v>
      </c>
      <c r="E132" s="350" t="s">
        <v>166</v>
      </c>
      <c r="F132" s="351"/>
      <c r="G132" s="351">
        <v>0</v>
      </c>
      <c r="H132" s="351">
        <v>0</v>
      </c>
      <c r="I132" s="351">
        <v>0</v>
      </c>
      <c r="J132" s="450">
        <v>0</v>
      </c>
      <c r="K132" s="351">
        <v>1</v>
      </c>
      <c r="L132" s="351">
        <v>0</v>
      </c>
      <c r="M132" s="450"/>
      <c r="N132" s="450"/>
      <c r="O132" s="450"/>
      <c r="P132" s="450"/>
      <c r="Q132" s="450"/>
      <c r="R132" s="450"/>
      <c r="S132" s="450"/>
      <c r="T132" s="450"/>
      <c r="U132" s="450"/>
      <c r="V132" s="450"/>
      <c r="W132" s="450"/>
      <c r="X132" s="450"/>
      <c r="Y132" s="450"/>
      <c r="Z132" s="449">
        <f t="shared" si="956"/>
        <v>1</v>
      </c>
      <c r="AA132" s="350"/>
      <c r="AB132" s="350"/>
      <c r="AC132" s="352">
        <f t="shared" ref="AC132" si="1003">F132*$D132</f>
        <v>0</v>
      </c>
      <c r="AD132" s="339">
        <f t="shared" ref="AD132" si="1004">G132*$D132</f>
        <v>0</v>
      </c>
      <c r="AE132" s="352">
        <f t="shared" ref="AE132" si="1005">H132*$D132</f>
        <v>0</v>
      </c>
      <c r="AF132" s="352">
        <v>0</v>
      </c>
      <c r="AG132" s="352">
        <f t="shared" si="915"/>
        <v>0</v>
      </c>
      <c r="AH132" s="352">
        <f t="shared" ref="AH132" si="1006">K132*$D132</f>
        <v>739.99</v>
      </c>
      <c r="AI132" s="352">
        <f t="shared" ref="AI132" si="1007">L132*$D132</f>
        <v>0</v>
      </c>
      <c r="AJ132" s="352">
        <f t="shared" ref="AJ132" si="1008">M132*$D132</f>
        <v>0</v>
      </c>
      <c r="AK132" s="447">
        <f t="shared" ref="AK132" si="1009">N132*$D132</f>
        <v>0</v>
      </c>
      <c r="AL132" s="339">
        <f t="shared" ref="AL132" si="1010">O132*$D132</f>
        <v>0</v>
      </c>
      <c r="AM132" s="352">
        <f t="shared" ref="AM132" si="1011">P132*$D132</f>
        <v>0</v>
      </c>
      <c r="AN132" s="339">
        <f t="shared" ref="AN132" si="1012">Q132*$D132</f>
        <v>0</v>
      </c>
      <c r="AO132" s="352">
        <f t="shared" ref="AO132" si="1013">R132*$D132</f>
        <v>0</v>
      </c>
      <c r="AP132" s="352">
        <f t="shared" ref="AP132" si="1014">S132*$D132</f>
        <v>0</v>
      </c>
      <c r="AQ132" s="352">
        <f t="shared" ref="AQ132" si="1015">T132*$D132</f>
        <v>0</v>
      </c>
      <c r="AR132" s="352">
        <f t="shared" si="591"/>
        <v>0</v>
      </c>
      <c r="AS132" s="352">
        <f t="shared" si="14"/>
        <v>0</v>
      </c>
      <c r="AT132" s="352">
        <f t="shared" si="15"/>
        <v>0</v>
      </c>
      <c r="AU132" s="352">
        <f t="shared" si="16"/>
        <v>0</v>
      </c>
      <c r="AV132" s="352">
        <f t="shared" si="16"/>
        <v>0</v>
      </c>
      <c r="AW132" s="352"/>
      <c r="AX132" s="352">
        <f t="shared" si="931"/>
        <v>0</v>
      </c>
      <c r="AY132" s="352">
        <f t="shared" si="931"/>
        <v>0</v>
      </c>
      <c r="AZ132" s="352">
        <f t="shared" si="931"/>
        <v>0</v>
      </c>
      <c r="BA132" s="352">
        <f t="shared" si="931"/>
        <v>0</v>
      </c>
      <c r="BB132" s="352">
        <f t="shared" si="931"/>
        <v>0</v>
      </c>
      <c r="BC132" s="352">
        <f t="shared" si="931"/>
        <v>739.99</v>
      </c>
      <c r="BD132" s="352">
        <f t="shared" si="931"/>
        <v>0</v>
      </c>
      <c r="BE132" s="352">
        <f t="shared" si="931"/>
        <v>0</v>
      </c>
      <c r="BF132" s="352">
        <f t="shared" si="931"/>
        <v>0</v>
      </c>
      <c r="BG132" s="352">
        <f t="shared" si="931"/>
        <v>0</v>
      </c>
      <c r="BH132" s="352">
        <f t="shared" si="931"/>
        <v>0</v>
      </c>
      <c r="BI132" s="352">
        <f t="shared" si="931"/>
        <v>0</v>
      </c>
      <c r="BJ132" s="352">
        <f t="shared" si="931"/>
        <v>0</v>
      </c>
      <c r="BK132" s="352">
        <f t="shared" si="931"/>
        <v>0</v>
      </c>
      <c r="BL132" s="352">
        <f t="shared" si="931"/>
        <v>0</v>
      </c>
      <c r="BM132" s="352">
        <f t="shared" si="662"/>
        <v>0</v>
      </c>
      <c r="BN132" s="352">
        <f t="shared" si="662"/>
        <v>0</v>
      </c>
      <c r="BO132" s="352">
        <f t="shared" si="662"/>
        <v>0</v>
      </c>
      <c r="BP132" s="352">
        <f t="shared" si="662"/>
        <v>0</v>
      </c>
      <c r="BQ132" s="352">
        <f t="shared" si="662"/>
        <v>0</v>
      </c>
      <c r="BR132" s="376">
        <f t="shared" si="614"/>
        <v>0</v>
      </c>
    </row>
    <row r="133" spans="1:71" s="240" customFormat="1" ht="14.45" customHeight="1" x14ac:dyDescent="0.25">
      <c r="A133" s="240" t="s">
        <v>143</v>
      </c>
      <c r="B133" s="458"/>
      <c r="C133" s="350"/>
      <c r="D133" s="339">
        <v>1232.1400000000001</v>
      </c>
      <c r="E133" s="350" t="s">
        <v>166</v>
      </c>
      <c r="F133" s="351"/>
      <c r="G133" s="351">
        <v>0</v>
      </c>
      <c r="H133" s="351">
        <v>0</v>
      </c>
      <c r="I133" s="351">
        <v>0</v>
      </c>
      <c r="J133" s="351">
        <v>0</v>
      </c>
      <c r="K133" s="351">
        <v>1</v>
      </c>
      <c r="L133" s="351">
        <v>0</v>
      </c>
      <c r="M133" s="450"/>
      <c r="N133" s="450"/>
      <c r="O133" s="450"/>
      <c r="P133" s="450"/>
      <c r="Q133" s="450"/>
      <c r="R133" s="450"/>
      <c r="S133" s="450"/>
      <c r="T133" s="450"/>
      <c r="U133" s="450"/>
      <c r="V133" s="450"/>
      <c r="W133" s="450"/>
      <c r="X133" s="450"/>
      <c r="Y133" s="450"/>
      <c r="Z133" s="449">
        <f t="shared" ref="Z133:Z135" si="1016">SUM(F133:Y133)</f>
        <v>1</v>
      </c>
      <c r="AA133" s="350"/>
      <c r="AB133" s="350"/>
      <c r="AC133" s="352">
        <f t="shared" ref="AC133" si="1017">F133*$D133</f>
        <v>0</v>
      </c>
      <c r="AD133" s="339">
        <f t="shared" ref="AD133" si="1018">G133*$D133</f>
        <v>0</v>
      </c>
      <c r="AE133" s="352">
        <f t="shared" ref="AE133" si="1019">H133*$D133</f>
        <v>0</v>
      </c>
      <c r="AF133" s="352">
        <f t="shared" ref="AF133" si="1020">I133*$D133</f>
        <v>0</v>
      </c>
      <c r="AG133" s="352">
        <f t="shared" si="915"/>
        <v>0</v>
      </c>
      <c r="AH133" s="352">
        <f t="shared" ref="AH133" si="1021">K133*$D133</f>
        <v>1232.1400000000001</v>
      </c>
      <c r="AI133" s="352">
        <f t="shared" ref="AI133" si="1022">L133*$D133</f>
        <v>0</v>
      </c>
      <c r="AJ133" s="352">
        <f t="shared" ref="AJ133" si="1023">M133*$D133</f>
        <v>0</v>
      </c>
      <c r="AK133" s="447">
        <f t="shared" ref="AK133" si="1024">N133*$D133</f>
        <v>0</v>
      </c>
      <c r="AL133" s="339">
        <f t="shared" ref="AL133" si="1025">O133*$D133</f>
        <v>0</v>
      </c>
      <c r="AM133" s="352">
        <f t="shared" ref="AM133" si="1026">P133*$D133</f>
        <v>0</v>
      </c>
      <c r="AN133" s="339">
        <f t="shared" ref="AN133" si="1027">Q133*$D133</f>
        <v>0</v>
      </c>
      <c r="AO133" s="352">
        <f t="shared" ref="AO133" si="1028">R133*$D133</f>
        <v>0</v>
      </c>
      <c r="AP133" s="352">
        <f t="shared" ref="AP133" si="1029">S133*$D133</f>
        <v>0</v>
      </c>
      <c r="AQ133" s="352">
        <f t="shared" ref="AQ133" si="1030">T133*$D133</f>
        <v>0</v>
      </c>
      <c r="AR133" s="352">
        <f t="shared" si="591"/>
        <v>0</v>
      </c>
      <c r="AS133" s="352">
        <f t="shared" ref="AS133:AS142" si="1031">V133*$D133</f>
        <v>0</v>
      </c>
      <c r="AT133" s="352">
        <f t="shared" ref="AT133:AT142" si="1032">W133*$D133</f>
        <v>0</v>
      </c>
      <c r="AU133" s="352">
        <f t="shared" ref="AU133:AV142" si="1033">X133*$D133</f>
        <v>0</v>
      </c>
      <c r="AV133" s="352">
        <f t="shared" si="1033"/>
        <v>0</v>
      </c>
      <c r="AW133" s="352"/>
      <c r="AX133" s="352">
        <f t="shared" si="931"/>
        <v>0</v>
      </c>
      <c r="AY133" s="352">
        <f t="shared" si="931"/>
        <v>0</v>
      </c>
      <c r="AZ133" s="352">
        <f t="shared" si="931"/>
        <v>0</v>
      </c>
      <c r="BA133" s="352">
        <f t="shared" si="931"/>
        <v>0</v>
      </c>
      <c r="BB133" s="352">
        <f t="shared" si="931"/>
        <v>0</v>
      </c>
      <c r="BC133" s="352">
        <f t="shared" si="931"/>
        <v>1232.1400000000001</v>
      </c>
      <c r="BD133" s="352">
        <f t="shared" si="931"/>
        <v>0</v>
      </c>
      <c r="BE133" s="352">
        <f t="shared" si="931"/>
        <v>0</v>
      </c>
      <c r="BF133" s="352">
        <f t="shared" si="931"/>
        <v>0</v>
      </c>
      <c r="BG133" s="352">
        <f t="shared" si="931"/>
        <v>0</v>
      </c>
      <c r="BH133" s="352">
        <f t="shared" si="931"/>
        <v>0</v>
      </c>
      <c r="BI133" s="352">
        <f t="shared" si="931"/>
        <v>0</v>
      </c>
      <c r="BJ133" s="352">
        <f t="shared" si="931"/>
        <v>0</v>
      </c>
      <c r="BK133" s="352">
        <f t="shared" si="931"/>
        <v>0</v>
      </c>
      <c r="BL133" s="352">
        <f t="shared" si="931"/>
        <v>0</v>
      </c>
      <c r="BM133" s="352">
        <f t="shared" si="662"/>
        <v>0</v>
      </c>
      <c r="BN133" s="352">
        <f t="shared" si="662"/>
        <v>0</v>
      </c>
      <c r="BO133" s="352">
        <f t="shared" si="662"/>
        <v>0</v>
      </c>
      <c r="BP133" s="352">
        <f t="shared" si="662"/>
        <v>0</v>
      </c>
      <c r="BQ133" s="352">
        <f t="shared" si="662"/>
        <v>0</v>
      </c>
      <c r="BR133" s="376">
        <f t="shared" si="614"/>
        <v>0</v>
      </c>
    </row>
    <row r="134" spans="1:71" s="240" customFormat="1" ht="14.45" customHeight="1" x14ac:dyDescent="0.25">
      <c r="A134" s="240" t="s">
        <v>143</v>
      </c>
      <c r="B134" s="458"/>
      <c r="C134" s="350"/>
      <c r="D134" s="339">
        <v>1071.43</v>
      </c>
      <c r="E134" s="350" t="s">
        <v>192</v>
      </c>
      <c r="F134" s="351"/>
      <c r="G134" s="351">
        <v>0.24996100005199995</v>
      </c>
      <c r="H134" s="351">
        <v>0.25</v>
      </c>
      <c r="I134" s="351">
        <v>0.25</v>
      </c>
      <c r="J134" s="351">
        <v>0.25</v>
      </c>
      <c r="K134" s="351">
        <f>1-(G134+H134+I134+J134)</f>
        <v>3.8999948000051354E-5</v>
      </c>
      <c r="L134" s="450"/>
      <c r="M134" s="450"/>
      <c r="N134" s="450"/>
      <c r="O134" s="450"/>
      <c r="P134" s="450"/>
      <c r="Q134" s="450"/>
      <c r="R134" s="450"/>
      <c r="S134" s="450"/>
      <c r="T134" s="450"/>
      <c r="U134" s="450"/>
      <c r="V134" s="450"/>
      <c r="W134" s="450"/>
      <c r="X134" s="450"/>
      <c r="Y134" s="450"/>
      <c r="Z134" s="449">
        <f t="shared" si="1016"/>
        <v>1</v>
      </c>
      <c r="AA134" s="350"/>
      <c r="AB134" s="350"/>
      <c r="AC134" s="352">
        <f t="shared" ref="AC134" si="1034">F134*$D134</f>
        <v>0</v>
      </c>
      <c r="AD134" s="339">
        <f t="shared" ref="AD134" si="1035">G134*$D134</f>
        <v>267.81571428571431</v>
      </c>
      <c r="AE134" s="352">
        <f t="shared" ref="AE134" si="1036">H134*$D134</f>
        <v>267.85750000000002</v>
      </c>
      <c r="AF134" s="352">
        <f t="shared" ref="AF134" si="1037">I134*$D134</f>
        <v>267.85750000000002</v>
      </c>
      <c r="AG134" s="352">
        <f t="shared" si="915"/>
        <v>267.85750000000002</v>
      </c>
      <c r="AH134" s="352">
        <f t="shared" ref="AH134" si="1038">K134*$D134</f>
        <v>4.1785714285695025E-2</v>
      </c>
      <c r="AI134" s="352">
        <f t="shared" ref="AI134" si="1039">L134*$D134</f>
        <v>0</v>
      </c>
      <c r="AJ134" s="352">
        <f t="shared" ref="AJ134" si="1040">M134*$D134</f>
        <v>0</v>
      </c>
      <c r="AK134" s="447">
        <f t="shared" ref="AK134" si="1041">N134*$D134</f>
        <v>0</v>
      </c>
      <c r="AL134" s="339">
        <f t="shared" ref="AL134" si="1042">O134*$D134</f>
        <v>0</v>
      </c>
      <c r="AM134" s="352">
        <f t="shared" ref="AM134" si="1043">P134*$D134</f>
        <v>0</v>
      </c>
      <c r="AN134" s="339">
        <f t="shared" ref="AN134" si="1044">Q134*$D134</f>
        <v>0</v>
      </c>
      <c r="AO134" s="352">
        <f t="shared" ref="AO134" si="1045">R134*$D134</f>
        <v>0</v>
      </c>
      <c r="AP134" s="352">
        <f t="shared" ref="AP134" si="1046">S134*$D134</f>
        <v>0</v>
      </c>
      <c r="AQ134" s="352">
        <f t="shared" ref="AQ134" si="1047">T134*$D134</f>
        <v>0</v>
      </c>
      <c r="AR134" s="352">
        <f t="shared" si="591"/>
        <v>0</v>
      </c>
      <c r="AS134" s="352">
        <f t="shared" si="1031"/>
        <v>0</v>
      </c>
      <c r="AT134" s="352">
        <f t="shared" si="1032"/>
        <v>0</v>
      </c>
      <c r="AU134" s="352">
        <f t="shared" si="1033"/>
        <v>0</v>
      </c>
      <c r="AV134" s="352">
        <f t="shared" si="1033"/>
        <v>0</v>
      </c>
      <c r="AW134" s="352"/>
      <c r="AX134" s="352">
        <f t="shared" ref="AX134:BL141" si="1048">IF(AX$3=$E134,$D134,0)</f>
        <v>0</v>
      </c>
      <c r="AY134" s="352">
        <f t="shared" si="1048"/>
        <v>1071.43</v>
      </c>
      <c r="AZ134" s="352">
        <f t="shared" si="1048"/>
        <v>0</v>
      </c>
      <c r="BA134" s="352">
        <f t="shared" si="1048"/>
        <v>0</v>
      </c>
      <c r="BB134" s="352">
        <f t="shared" si="1048"/>
        <v>0</v>
      </c>
      <c r="BC134" s="352">
        <f t="shared" si="1048"/>
        <v>0</v>
      </c>
      <c r="BD134" s="352">
        <f t="shared" si="1048"/>
        <v>0</v>
      </c>
      <c r="BE134" s="352">
        <f t="shared" si="1048"/>
        <v>0</v>
      </c>
      <c r="BF134" s="352">
        <f t="shared" si="1048"/>
        <v>0</v>
      </c>
      <c r="BG134" s="352">
        <f t="shared" si="1048"/>
        <v>0</v>
      </c>
      <c r="BH134" s="352">
        <f t="shared" si="1048"/>
        <v>0</v>
      </c>
      <c r="BI134" s="352">
        <f t="shared" si="1048"/>
        <v>0</v>
      </c>
      <c r="BJ134" s="352">
        <f t="shared" si="1048"/>
        <v>0</v>
      </c>
      <c r="BK134" s="352">
        <f t="shared" si="1048"/>
        <v>0</v>
      </c>
      <c r="BL134" s="352">
        <f t="shared" si="1048"/>
        <v>0</v>
      </c>
      <c r="BM134" s="352">
        <f t="shared" si="662"/>
        <v>0</v>
      </c>
      <c r="BN134" s="352">
        <f t="shared" si="662"/>
        <v>0</v>
      </c>
      <c r="BO134" s="352">
        <f t="shared" si="662"/>
        <v>0</v>
      </c>
      <c r="BP134" s="352">
        <f t="shared" si="662"/>
        <v>0</v>
      </c>
      <c r="BQ134" s="352">
        <f t="shared" si="662"/>
        <v>0</v>
      </c>
      <c r="BR134" s="376">
        <f t="shared" si="614"/>
        <v>0</v>
      </c>
    </row>
    <row r="135" spans="1:71" s="240" customFormat="1" ht="14.45" customHeight="1" x14ac:dyDescent="0.25">
      <c r="A135" s="240" t="s">
        <v>143</v>
      </c>
      <c r="B135" s="458"/>
      <c r="C135" s="350"/>
      <c r="D135" s="339">
        <v>982.15</v>
      </c>
      <c r="E135" s="350" t="s">
        <v>166</v>
      </c>
      <c r="F135" s="351"/>
      <c r="G135" s="351">
        <v>0</v>
      </c>
      <c r="H135" s="351">
        <v>0</v>
      </c>
      <c r="I135" s="351">
        <v>0</v>
      </c>
      <c r="J135" s="351"/>
      <c r="K135" s="351">
        <v>0.27271801659624295</v>
      </c>
      <c r="L135" s="351">
        <v>0.27273838008450851</v>
      </c>
      <c r="M135" s="351">
        <v>9.0912793361502833E-2</v>
      </c>
      <c r="N135" s="351">
        <v>0</v>
      </c>
      <c r="O135" s="351">
        <v>0.36363080995774583</v>
      </c>
      <c r="P135" s="351"/>
      <c r="Q135" s="450"/>
      <c r="R135" s="450"/>
      <c r="S135" s="450"/>
      <c r="T135" s="450"/>
      <c r="U135" s="450"/>
      <c r="V135" s="450"/>
      <c r="W135" s="450"/>
      <c r="X135" s="450"/>
      <c r="Y135" s="450"/>
      <c r="Z135" s="449">
        <f t="shared" si="1016"/>
        <v>1.0000000000000002</v>
      </c>
      <c r="AA135" s="350"/>
      <c r="AB135" s="350"/>
      <c r="AC135" s="352">
        <f t="shared" ref="AC135" si="1049">F135*$D135</f>
        <v>0</v>
      </c>
      <c r="AD135" s="339">
        <f t="shared" ref="AD135" si="1050">G135*$D135</f>
        <v>0</v>
      </c>
      <c r="AE135" s="352">
        <f t="shared" ref="AE135" si="1051">H135*$D135</f>
        <v>0</v>
      </c>
      <c r="AF135" s="352">
        <f t="shared" ref="AF135" si="1052">I135*$D135</f>
        <v>0</v>
      </c>
      <c r="AG135" s="352">
        <f t="shared" ref="AG135" si="1053">J135*$D135</f>
        <v>0</v>
      </c>
      <c r="AH135" s="447">
        <f t="shared" ref="AH135" si="1054">K135*$D135</f>
        <v>267.85000000000002</v>
      </c>
      <c r="AI135" s="447">
        <f t="shared" ref="AI135" si="1055">L135*$D135</f>
        <v>267.87</v>
      </c>
      <c r="AJ135" s="447">
        <f t="shared" ref="AJ135" si="1056">M135*$D135</f>
        <v>89.29</v>
      </c>
      <c r="AK135" s="447">
        <f t="shared" ref="AK135" si="1057">N135*$D135</f>
        <v>0</v>
      </c>
      <c r="AL135" s="339">
        <f t="shared" ref="AL135" si="1058">O135*$D135</f>
        <v>357.14000000000004</v>
      </c>
      <c r="AM135" s="352">
        <f t="shared" ref="AM135" si="1059">P135*$D135</f>
        <v>0</v>
      </c>
      <c r="AN135" s="339">
        <f t="shared" ref="AN135" si="1060">Q135*$D135</f>
        <v>0</v>
      </c>
      <c r="AO135" s="352">
        <f t="shared" ref="AO135" si="1061">R135*$D135</f>
        <v>0</v>
      </c>
      <c r="AP135" s="352">
        <f t="shared" ref="AP135" si="1062">S135*$D135</f>
        <v>0</v>
      </c>
      <c r="AQ135" s="352">
        <f t="shared" ref="AQ135" si="1063">T135*$D135</f>
        <v>0</v>
      </c>
      <c r="AR135" s="352">
        <f t="shared" si="591"/>
        <v>0</v>
      </c>
      <c r="AS135" s="352">
        <f t="shared" si="1031"/>
        <v>0</v>
      </c>
      <c r="AT135" s="352">
        <f t="shared" si="1032"/>
        <v>0</v>
      </c>
      <c r="AU135" s="352">
        <f t="shared" si="1033"/>
        <v>0</v>
      </c>
      <c r="AV135" s="352">
        <f t="shared" si="1033"/>
        <v>0</v>
      </c>
      <c r="AW135" s="352"/>
      <c r="AX135" s="352">
        <f t="shared" si="1048"/>
        <v>0</v>
      </c>
      <c r="AY135" s="352">
        <f t="shared" si="1048"/>
        <v>0</v>
      </c>
      <c r="AZ135" s="352">
        <f t="shared" si="1048"/>
        <v>0</v>
      </c>
      <c r="BA135" s="352">
        <f t="shared" si="1048"/>
        <v>0</v>
      </c>
      <c r="BB135" s="352">
        <f t="shared" si="1048"/>
        <v>0</v>
      </c>
      <c r="BC135" s="339">
        <f t="shared" si="1048"/>
        <v>982.15</v>
      </c>
      <c r="BD135" s="352">
        <f t="shared" si="1048"/>
        <v>0</v>
      </c>
      <c r="BE135" s="352">
        <f t="shared" si="1048"/>
        <v>0</v>
      </c>
      <c r="BF135" s="352">
        <f t="shared" si="1048"/>
        <v>0</v>
      </c>
      <c r="BG135" s="352">
        <f t="shared" si="1048"/>
        <v>0</v>
      </c>
      <c r="BH135" s="352">
        <f t="shared" si="1048"/>
        <v>0</v>
      </c>
      <c r="BI135" s="352">
        <f t="shared" si="1048"/>
        <v>0</v>
      </c>
      <c r="BJ135" s="352">
        <f t="shared" si="1048"/>
        <v>0</v>
      </c>
      <c r="BK135" s="352">
        <f t="shared" si="1048"/>
        <v>0</v>
      </c>
      <c r="BL135" s="352">
        <f t="shared" si="1048"/>
        <v>0</v>
      </c>
      <c r="BM135" s="352">
        <f t="shared" si="662"/>
        <v>0</v>
      </c>
      <c r="BN135" s="352">
        <f t="shared" si="662"/>
        <v>0</v>
      </c>
      <c r="BO135" s="352">
        <f t="shared" si="662"/>
        <v>0</v>
      </c>
      <c r="BP135" s="352">
        <f t="shared" si="662"/>
        <v>0</v>
      </c>
      <c r="BQ135" s="352">
        <f t="shared" si="662"/>
        <v>0</v>
      </c>
      <c r="BR135" s="376">
        <f t="shared" si="614"/>
        <v>0</v>
      </c>
    </row>
    <row r="136" spans="1:71" s="240" customFormat="1" ht="14.45" customHeight="1" outlineLevel="1" x14ac:dyDescent="0.25">
      <c r="A136" s="240" t="s">
        <v>140</v>
      </c>
      <c r="B136" s="458"/>
      <c r="C136" s="350"/>
      <c r="D136" s="352">
        <v>30021.759999999998</v>
      </c>
      <c r="E136" s="450" t="s">
        <v>166</v>
      </c>
      <c r="F136" s="457">
        <v>0</v>
      </c>
      <c r="G136" s="457">
        <v>0</v>
      </c>
      <c r="H136" s="457">
        <v>0</v>
      </c>
      <c r="I136" s="457">
        <v>0</v>
      </c>
      <c r="J136" s="457">
        <v>0</v>
      </c>
      <c r="K136" s="457">
        <v>2706.88</v>
      </c>
      <c r="L136" s="457">
        <v>7628.48</v>
      </c>
      <c r="M136" s="457">
        <v>7505.44</v>
      </c>
      <c r="N136" s="457">
        <v>7751.52</v>
      </c>
      <c r="O136" s="457">
        <v>4429.4399999999996</v>
      </c>
      <c r="P136" s="457"/>
      <c r="Q136" s="457"/>
      <c r="R136" s="457"/>
      <c r="S136" s="457"/>
      <c r="T136" s="462"/>
      <c r="U136" s="462"/>
      <c r="V136" s="462"/>
      <c r="W136" s="462"/>
      <c r="X136" s="462"/>
      <c r="Y136" s="462"/>
      <c r="Z136" s="352">
        <f>SUM(F136:Y136)</f>
        <v>30021.759999999998</v>
      </c>
      <c r="AA136" s="350"/>
      <c r="AB136" s="350"/>
      <c r="AC136" s="352">
        <f t="shared" ref="AC136" si="1064">F136</f>
        <v>0</v>
      </c>
      <c r="AD136" s="352">
        <f t="shared" ref="AD136" si="1065">G136</f>
        <v>0</v>
      </c>
      <c r="AE136" s="352">
        <f t="shared" ref="AE136" si="1066">H136</f>
        <v>0</v>
      </c>
      <c r="AF136" s="352">
        <f t="shared" ref="AF136" si="1067">I136</f>
        <v>0</v>
      </c>
      <c r="AG136" s="352">
        <f t="shared" ref="AG136" si="1068">J136</f>
        <v>0</v>
      </c>
      <c r="AH136" s="352">
        <f t="shared" ref="AH136" si="1069">K136</f>
        <v>2706.88</v>
      </c>
      <c r="AI136" s="352">
        <f t="shared" ref="AI136" si="1070">L136</f>
        <v>7628.48</v>
      </c>
      <c r="AJ136" s="447">
        <f t="shared" ref="AJ136" si="1071">M136</f>
        <v>7505.44</v>
      </c>
      <c r="AK136" s="447">
        <f t="shared" ref="AK136" si="1072">N136</f>
        <v>7751.52</v>
      </c>
      <c r="AL136" s="352">
        <f t="shared" ref="AL136" si="1073">O136</f>
        <v>4429.4399999999996</v>
      </c>
      <c r="AM136" s="352">
        <f t="shared" ref="AM136" si="1074">P136</f>
        <v>0</v>
      </c>
      <c r="AN136" s="339">
        <f t="shared" ref="AN136" si="1075">Q136</f>
        <v>0</v>
      </c>
      <c r="AO136" s="339">
        <f t="shared" ref="AO136" si="1076">R136</f>
        <v>0</v>
      </c>
      <c r="AP136" s="352">
        <f t="shared" ref="AP136" si="1077">S136</f>
        <v>0</v>
      </c>
      <c r="AQ136" s="339">
        <f t="shared" ref="AQ136" si="1078">T136</f>
        <v>0</v>
      </c>
      <c r="AR136" s="352">
        <f>U136</f>
        <v>0</v>
      </c>
      <c r="AS136" s="352">
        <f>V136</f>
        <v>0</v>
      </c>
      <c r="AT136" s="352">
        <f>W136</f>
        <v>0</v>
      </c>
      <c r="AU136" s="352">
        <f>X136</f>
        <v>0</v>
      </c>
      <c r="AV136" s="352">
        <f>Y136</f>
        <v>0</v>
      </c>
      <c r="AW136" s="352"/>
      <c r="AX136" s="352">
        <f>IF(AX$144=$E136,SUM(AC136:AF136),0)</f>
        <v>0</v>
      </c>
      <c r="AY136" s="352">
        <f>IF(AY$144=$E136,SUM(AD136:AG136),0)</f>
        <v>0</v>
      </c>
      <c r="AZ136" s="352">
        <f>IF(AZ$144=$E136,SUM(AE136:AH136),0)</f>
        <v>0</v>
      </c>
      <c r="BA136" s="352">
        <f>IF(BA$144=$E136,SUM(AF136:AI136),0)</f>
        <v>0</v>
      </c>
      <c r="BB136" s="352">
        <f>IF(BB$144=$E136,SUM(AG136:AJ136),0)</f>
        <v>0</v>
      </c>
      <c r="BC136" s="352">
        <v>29991</v>
      </c>
      <c r="BD136" s="352">
        <f>IF(BD$144=$E136,SUM(AI136:AL136),0)</f>
        <v>0</v>
      </c>
      <c r="BE136" s="352">
        <f>IF(BE$144=$E136,SUM(AJ136:AM136),0)</f>
        <v>0</v>
      </c>
      <c r="BF136" s="352">
        <f>IF(BF$144=$E136,SUM(AK136:AN136),0)</f>
        <v>0</v>
      </c>
      <c r="BG136" s="352">
        <v>30.76</v>
      </c>
      <c r="BH136" s="352">
        <f t="shared" ref="BH136:BM136" si="1079">IF(BH$144=$E136,SUM(AM136:AP136),0)</f>
        <v>0</v>
      </c>
      <c r="BI136" s="352">
        <f t="shared" si="1079"/>
        <v>0</v>
      </c>
      <c r="BJ136" s="352">
        <f t="shared" si="1079"/>
        <v>0</v>
      </c>
      <c r="BK136" s="339">
        <f t="shared" si="1079"/>
        <v>0</v>
      </c>
      <c r="BL136" s="352">
        <f t="shared" si="1079"/>
        <v>0</v>
      </c>
      <c r="BM136" s="352">
        <f t="shared" si="1079"/>
        <v>0</v>
      </c>
      <c r="BN136" s="352">
        <f>IF(BN$144=$E136,SUM(AS136:AW136),0)</f>
        <v>0</v>
      </c>
      <c r="BO136" s="352">
        <f>IF(BO$144=$E136,SUM(AT136:AX136),0)</f>
        <v>0</v>
      </c>
      <c r="BP136" s="352">
        <f>IF(BP$144=$E136,SUM(AU136:AY136),0)</f>
        <v>0</v>
      </c>
      <c r="BQ136" s="352">
        <f>IF(BQ$144=$E136,SUM(AV136:AZ136),0)</f>
        <v>0</v>
      </c>
      <c r="BR136" s="376">
        <f t="shared" si="614"/>
        <v>0</v>
      </c>
      <c r="BS136" s="408"/>
    </row>
    <row r="137" spans="1:71" s="240" customFormat="1" ht="14.45" customHeight="1" x14ac:dyDescent="0.25">
      <c r="A137" s="240" t="s">
        <v>143</v>
      </c>
      <c r="B137" s="458"/>
      <c r="C137" s="350"/>
      <c r="D137" s="339">
        <v>714.25</v>
      </c>
      <c r="E137" s="350" t="s">
        <v>178</v>
      </c>
      <c r="F137" s="351"/>
      <c r="G137" s="351">
        <v>0</v>
      </c>
      <c r="H137" s="351">
        <v>0</v>
      </c>
      <c r="I137" s="351">
        <v>0</v>
      </c>
      <c r="J137" s="351"/>
      <c r="K137" s="351"/>
      <c r="L137" s="351">
        <v>0.37499474973748692</v>
      </c>
      <c r="M137" s="351">
        <v>0.12499824991249563</v>
      </c>
      <c r="N137" s="351">
        <v>0</v>
      </c>
      <c r="O137" s="351">
        <v>0.50000700035001755</v>
      </c>
      <c r="P137" s="351"/>
      <c r="Q137" s="450"/>
      <c r="R137" s="450"/>
      <c r="S137" s="450"/>
      <c r="T137" s="450"/>
      <c r="U137" s="450"/>
      <c r="V137" s="450"/>
      <c r="W137" s="450"/>
      <c r="X137" s="450"/>
      <c r="Y137" s="450"/>
      <c r="Z137" s="449">
        <f>SUM(F137:Y137)</f>
        <v>1</v>
      </c>
      <c r="AA137" s="350"/>
      <c r="AB137" s="350"/>
      <c r="AC137" s="352">
        <f t="shared" ref="AC137:AL139" si="1080">F137*$D137</f>
        <v>0</v>
      </c>
      <c r="AD137" s="339">
        <f t="shared" si="1080"/>
        <v>0</v>
      </c>
      <c r="AE137" s="352">
        <f t="shared" si="1080"/>
        <v>0</v>
      </c>
      <c r="AF137" s="352">
        <f t="shared" si="1080"/>
        <v>0</v>
      </c>
      <c r="AG137" s="352">
        <f t="shared" si="1080"/>
        <v>0</v>
      </c>
      <c r="AH137" s="352">
        <f t="shared" si="1080"/>
        <v>0</v>
      </c>
      <c r="AI137" s="447">
        <f t="shared" si="1080"/>
        <v>267.84000000000003</v>
      </c>
      <c r="AJ137" s="447">
        <f t="shared" si="1080"/>
        <v>89.28</v>
      </c>
      <c r="AK137" s="447">
        <f t="shared" si="1080"/>
        <v>0</v>
      </c>
      <c r="AL137" s="339">
        <f t="shared" si="1080"/>
        <v>357.13000000000005</v>
      </c>
      <c r="AM137" s="352">
        <f t="shared" ref="AM137:AV139" si="1081">P137*$D137</f>
        <v>0</v>
      </c>
      <c r="AN137" s="339">
        <f t="shared" si="1081"/>
        <v>0</v>
      </c>
      <c r="AO137" s="352">
        <f t="shared" si="1081"/>
        <v>0</v>
      </c>
      <c r="AP137" s="352">
        <f t="shared" si="1081"/>
        <v>0</v>
      </c>
      <c r="AQ137" s="352">
        <f t="shared" si="1081"/>
        <v>0</v>
      </c>
      <c r="AR137" s="352">
        <f t="shared" si="1081"/>
        <v>0</v>
      </c>
      <c r="AS137" s="352">
        <f t="shared" si="1081"/>
        <v>0</v>
      </c>
      <c r="AT137" s="352">
        <f t="shared" si="1081"/>
        <v>0</v>
      </c>
      <c r="AU137" s="352">
        <f t="shared" si="1081"/>
        <v>0</v>
      </c>
      <c r="AV137" s="352">
        <f t="shared" si="1081"/>
        <v>0</v>
      </c>
      <c r="AW137" s="352"/>
      <c r="AX137" s="352">
        <f t="shared" ref="AX137:BQ137" si="1082">IF(AX$3=$E137,$D137,0)</f>
        <v>0</v>
      </c>
      <c r="AY137" s="352">
        <f t="shared" si="1082"/>
        <v>0</v>
      </c>
      <c r="AZ137" s="352">
        <f t="shared" si="1082"/>
        <v>0</v>
      </c>
      <c r="BA137" s="352">
        <f t="shared" si="1082"/>
        <v>0</v>
      </c>
      <c r="BB137" s="352">
        <f t="shared" si="1082"/>
        <v>0</v>
      </c>
      <c r="BC137" s="352">
        <f t="shared" si="1082"/>
        <v>0</v>
      </c>
      <c r="BD137" s="339">
        <f t="shared" si="1082"/>
        <v>714.25</v>
      </c>
      <c r="BE137" s="352">
        <f t="shared" si="1082"/>
        <v>0</v>
      </c>
      <c r="BF137" s="352">
        <f t="shared" si="1082"/>
        <v>0</v>
      </c>
      <c r="BG137" s="352">
        <f t="shared" si="1082"/>
        <v>0</v>
      </c>
      <c r="BH137" s="352">
        <f t="shared" si="1082"/>
        <v>0</v>
      </c>
      <c r="BI137" s="352">
        <f t="shared" si="1082"/>
        <v>0</v>
      </c>
      <c r="BJ137" s="352">
        <f t="shared" si="1082"/>
        <v>0</v>
      </c>
      <c r="BK137" s="352">
        <f t="shared" si="1082"/>
        <v>0</v>
      </c>
      <c r="BL137" s="352">
        <f t="shared" si="1082"/>
        <v>0</v>
      </c>
      <c r="BM137" s="352">
        <f t="shared" si="1082"/>
        <v>0</v>
      </c>
      <c r="BN137" s="352">
        <f t="shared" si="1082"/>
        <v>0</v>
      </c>
      <c r="BO137" s="352">
        <f t="shared" si="1082"/>
        <v>0</v>
      </c>
      <c r="BP137" s="352">
        <f t="shared" si="1082"/>
        <v>0</v>
      </c>
      <c r="BQ137" s="352">
        <f t="shared" si="1082"/>
        <v>0</v>
      </c>
      <c r="BR137" s="376">
        <f t="shared" si="614"/>
        <v>0</v>
      </c>
    </row>
    <row r="138" spans="1:71" s="240" customFormat="1" ht="14.45" customHeight="1" x14ac:dyDescent="0.25">
      <c r="A138" s="240" t="s">
        <v>143</v>
      </c>
      <c r="B138" s="458"/>
      <c r="C138" s="350"/>
      <c r="D138" s="339">
        <v>7714.32</v>
      </c>
      <c r="E138" s="350" t="s">
        <v>238</v>
      </c>
      <c r="F138" s="351"/>
      <c r="G138" s="351">
        <v>0</v>
      </c>
      <c r="H138" s="351">
        <v>0</v>
      </c>
      <c r="I138" s="351">
        <v>0</v>
      </c>
      <c r="J138" s="351"/>
      <c r="K138" s="351">
        <v>0</v>
      </c>
      <c r="L138" s="351">
        <v>0</v>
      </c>
      <c r="M138" s="351">
        <v>0</v>
      </c>
      <c r="N138" s="351">
        <v>0</v>
      </c>
      <c r="O138" s="351">
        <v>0.33333333333333337</v>
      </c>
      <c r="P138" s="351">
        <v>0.25</v>
      </c>
      <c r="Q138" s="351">
        <v>0.25</v>
      </c>
      <c r="R138" s="351">
        <f>1-(O138+P138+Q138)</f>
        <v>0.16666666666666663</v>
      </c>
      <c r="S138" s="450"/>
      <c r="T138" s="450"/>
      <c r="U138" s="450"/>
      <c r="V138" s="450"/>
      <c r="W138" s="450"/>
      <c r="X138" s="450"/>
      <c r="Y138" s="450"/>
      <c r="Z138" s="449">
        <f t="shared" ref="Z138" si="1083">SUM(F138:Y138)</f>
        <v>1</v>
      </c>
      <c r="AA138" s="350"/>
      <c r="AB138" s="350"/>
      <c r="AC138" s="352">
        <f t="shared" si="1080"/>
        <v>0</v>
      </c>
      <c r="AD138" s="339">
        <f t="shared" si="1080"/>
        <v>0</v>
      </c>
      <c r="AE138" s="352">
        <f t="shared" si="1080"/>
        <v>0</v>
      </c>
      <c r="AF138" s="352">
        <f t="shared" si="1080"/>
        <v>0</v>
      </c>
      <c r="AG138" s="352">
        <f t="shared" si="1080"/>
        <v>0</v>
      </c>
      <c r="AH138" s="447">
        <f t="shared" si="1080"/>
        <v>0</v>
      </c>
      <c r="AI138" s="447">
        <f t="shared" si="1080"/>
        <v>0</v>
      </c>
      <c r="AJ138" s="447">
        <f t="shared" si="1080"/>
        <v>0</v>
      </c>
      <c r="AK138" s="447">
        <f t="shared" si="1080"/>
        <v>0</v>
      </c>
      <c r="AL138" s="339">
        <f t="shared" si="1080"/>
        <v>2571.44</v>
      </c>
      <c r="AM138" s="352">
        <f t="shared" si="1081"/>
        <v>1928.58</v>
      </c>
      <c r="AN138" s="339">
        <f t="shared" si="1081"/>
        <v>1928.58</v>
      </c>
      <c r="AO138" s="339">
        <f t="shared" si="1081"/>
        <v>1285.7199999999996</v>
      </c>
      <c r="AP138" s="352">
        <f t="shared" si="1081"/>
        <v>0</v>
      </c>
      <c r="AQ138" s="352">
        <f t="shared" si="1081"/>
        <v>0</v>
      </c>
      <c r="AR138" s="352">
        <f t="shared" si="1081"/>
        <v>0</v>
      </c>
      <c r="AS138" s="352">
        <f t="shared" si="1081"/>
        <v>0</v>
      </c>
      <c r="AT138" s="352">
        <f t="shared" si="1081"/>
        <v>0</v>
      </c>
      <c r="AU138" s="352">
        <f t="shared" si="1081"/>
        <v>0</v>
      </c>
      <c r="AV138" s="352">
        <f t="shared" si="1081"/>
        <v>0</v>
      </c>
      <c r="AW138" s="352"/>
      <c r="AX138" s="352">
        <f t="shared" si="1048"/>
        <v>0</v>
      </c>
      <c r="AY138" s="352">
        <f t="shared" si="1048"/>
        <v>0</v>
      </c>
      <c r="AZ138" s="352">
        <f t="shared" si="1048"/>
        <v>0</v>
      </c>
      <c r="BA138" s="352">
        <f t="shared" si="1048"/>
        <v>0</v>
      </c>
      <c r="BB138" s="352">
        <f t="shared" si="1048"/>
        <v>0</v>
      </c>
      <c r="BC138" s="352">
        <f t="shared" si="1048"/>
        <v>0</v>
      </c>
      <c r="BD138" s="352">
        <f t="shared" si="1048"/>
        <v>0</v>
      </c>
      <c r="BE138" s="352">
        <f t="shared" si="1048"/>
        <v>0</v>
      </c>
      <c r="BF138" s="352">
        <f t="shared" si="1048"/>
        <v>7714.32</v>
      </c>
      <c r="BG138" s="352">
        <f t="shared" si="1048"/>
        <v>0</v>
      </c>
      <c r="BH138" s="352">
        <f t="shared" si="1048"/>
        <v>0</v>
      </c>
      <c r="BI138" s="352">
        <f t="shared" si="1048"/>
        <v>0</v>
      </c>
      <c r="BJ138" s="352">
        <f t="shared" si="1048"/>
        <v>0</v>
      </c>
      <c r="BK138" s="352">
        <f t="shared" si="1048"/>
        <v>0</v>
      </c>
      <c r="BL138" s="352">
        <f t="shared" si="1048"/>
        <v>0</v>
      </c>
      <c r="BM138" s="352">
        <f t="shared" si="662"/>
        <v>0</v>
      </c>
      <c r="BN138" s="352">
        <f t="shared" si="662"/>
        <v>0</v>
      </c>
      <c r="BO138" s="352">
        <f t="shared" si="662"/>
        <v>0</v>
      </c>
      <c r="BP138" s="352">
        <f t="shared" si="662"/>
        <v>0</v>
      </c>
      <c r="BQ138" s="352">
        <f t="shared" si="662"/>
        <v>0</v>
      </c>
      <c r="BR138" s="376">
        <f t="shared" si="614"/>
        <v>0</v>
      </c>
    </row>
    <row r="139" spans="1:71" s="240" customFormat="1" ht="14.45" customHeight="1" x14ac:dyDescent="0.25">
      <c r="A139" s="240" t="s">
        <v>143</v>
      </c>
      <c r="B139" s="458"/>
      <c r="C139" s="350"/>
      <c r="D139" s="339">
        <v>4500.0200000000004</v>
      </c>
      <c r="E139" s="350" t="s">
        <v>257</v>
      </c>
      <c r="F139" s="351"/>
      <c r="G139" s="351">
        <v>0</v>
      </c>
      <c r="H139" s="351">
        <v>0</v>
      </c>
      <c r="I139" s="351">
        <v>0</v>
      </c>
      <c r="J139" s="351"/>
      <c r="K139" s="351">
        <v>0</v>
      </c>
      <c r="L139" s="351">
        <v>0</v>
      </c>
      <c r="M139" s="351">
        <v>0</v>
      </c>
      <c r="N139" s="351">
        <v>0</v>
      </c>
      <c r="O139" s="351">
        <v>0</v>
      </c>
      <c r="P139" s="351">
        <v>0</v>
      </c>
      <c r="Q139" s="351">
        <v>0</v>
      </c>
      <c r="R139" s="351">
        <v>0</v>
      </c>
      <c r="S139" s="451">
        <v>0.5714285714285714</v>
      </c>
      <c r="T139" s="451">
        <v>0.42857142857142849</v>
      </c>
      <c r="U139" s="451">
        <v>0</v>
      </c>
      <c r="V139" s="451">
        <v>0</v>
      </c>
      <c r="W139" s="450"/>
      <c r="X139" s="450"/>
      <c r="Y139" s="450"/>
      <c r="Z139" s="449">
        <f t="shared" ref="Z139" si="1084">SUM(F139:Y139)</f>
        <v>0.99999999999999989</v>
      </c>
      <c r="AA139" s="350"/>
      <c r="AB139" s="350"/>
      <c r="AC139" s="352">
        <f t="shared" si="1080"/>
        <v>0</v>
      </c>
      <c r="AD139" s="339">
        <f t="shared" si="1080"/>
        <v>0</v>
      </c>
      <c r="AE139" s="352">
        <f t="shared" si="1080"/>
        <v>0</v>
      </c>
      <c r="AF139" s="352">
        <f t="shared" si="1080"/>
        <v>0</v>
      </c>
      <c r="AG139" s="352">
        <f t="shared" si="1080"/>
        <v>0</v>
      </c>
      <c r="AH139" s="447">
        <f t="shared" si="1080"/>
        <v>0</v>
      </c>
      <c r="AI139" s="447">
        <f t="shared" si="1080"/>
        <v>0</v>
      </c>
      <c r="AJ139" s="447">
        <f t="shared" si="1080"/>
        <v>0</v>
      </c>
      <c r="AK139" s="447">
        <f t="shared" si="1080"/>
        <v>0</v>
      </c>
      <c r="AL139" s="339">
        <f t="shared" si="1080"/>
        <v>0</v>
      </c>
      <c r="AM139" s="352">
        <f t="shared" si="1081"/>
        <v>0</v>
      </c>
      <c r="AN139" s="339">
        <f t="shared" si="1081"/>
        <v>0</v>
      </c>
      <c r="AO139" s="339">
        <f t="shared" si="1081"/>
        <v>0</v>
      </c>
      <c r="AP139" s="339">
        <f t="shared" si="1081"/>
        <v>2571.44</v>
      </c>
      <c r="AQ139" s="339">
        <f t="shared" si="1081"/>
        <v>1928.58</v>
      </c>
      <c r="AR139" s="352">
        <f t="shared" si="1081"/>
        <v>0</v>
      </c>
      <c r="AS139" s="352">
        <f t="shared" si="1081"/>
        <v>0</v>
      </c>
      <c r="AT139" s="352">
        <f t="shared" si="1081"/>
        <v>0</v>
      </c>
      <c r="AU139" s="352">
        <f t="shared" si="1081"/>
        <v>0</v>
      </c>
      <c r="AV139" s="352">
        <f t="shared" si="1081"/>
        <v>0</v>
      </c>
      <c r="AW139" s="352"/>
      <c r="AX139" s="352">
        <f t="shared" si="1048"/>
        <v>0</v>
      </c>
      <c r="AY139" s="352">
        <f t="shared" si="1048"/>
        <v>0</v>
      </c>
      <c r="AZ139" s="352">
        <f t="shared" si="1048"/>
        <v>0</v>
      </c>
      <c r="BA139" s="352">
        <f t="shared" si="1048"/>
        <v>0</v>
      </c>
      <c r="BB139" s="352">
        <f t="shared" si="1048"/>
        <v>0</v>
      </c>
      <c r="BC139" s="352">
        <f t="shared" si="1048"/>
        <v>0</v>
      </c>
      <c r="BD139" s="352">
        <f t="shared" si="1048"/>
        <v>0</v>
      </c>
      <c r="BE139" s="352">
        <f t="shared" si="1048"/>
        <v>0</v>
      </c>
      <c r="BF139" s="352">
        <f t="shared" si="1048"/>
        <v>0</v>
      </c>
      <c r="BG139" s="352">
        <f t="shared" si="1048"/>
        <v>0</v>
      </c>
      <c r="BH139" s="352">
        <f t="shared" si="1048"/>
        <v>0</v>
      </c>
      <c r="BI139" s="352">
        <f t="shared" si="1048"/>
        <v>0</v>
      </c>
      <c r="BJ139" s="339">
        <v>7214</v>
      </c>
      <c r="BK139" s="352">
        <v>500.32</v>
      </c>
      <c r="BL139" s="352">
        <v>-3214.3</v>
      </c>
      <c r="BM139" s="352">
        <f t="shared" si="662"/>
        <v>0</v>
      </c>
      <c r="BN139" s="352">
        <f t="shared" si="662"/>
        <v>0</v>
      </c>
      <c r="BO139" s="352">
        <f t="shared" si="662"/>
        <v>0</v>
      </c>
      <c r="BP139" s="352">
        <f t="shared" si="662"/>
        <v>0</v>
      </c>
      <c r="BQ139" s="352">
        <f t="shared" si="662"/>
        <v>0</v>
      </c>
      <c r="BR139" s="376">
        <f t="shared" ref="BR139" si="1085">SUM(AC139:AV139)-SUM(AX139:BQ139)</f>
        <v>0</v>
      </c>
    </row>
    <row r="140" spans="1:71" s="240" customFormat="1" ht="14.45" customHeight="1" x14ac:dyDescent="0.25">
      <c r="A140" s="240" t="s">
        <v>143</v>
      </c>
      <c r="B140" s="458"/>
      <c r="C140" s="350"/>
      <c r="D140" s="339">
        <v>267.87</v>
      </c>
      <c r="E140" s="350" t="s">
        <v>208</v>
      </c>
      <c r="F140" s="351"/>
      <c r="G140" s="351">
        <v>0</v>
      </c>
      <c r="H140" s="351">
        <v>0</v>
      </c>
      <c r="I140" s="351">
        <v>0</v>
      </c>
      <c r="J140" s="351"/>
      <c r="K140" s="351">
        <v>0</v>
      </c>
      <c r="L140" s="351">
        <v>0</v>
      </c>
      <c r="M140" s="351">
        <v>0</v>
      </c>
      <c r="N140" s="351">
        <v>0</v>
      </c>
      <c r="O140" s="351">
        <v>0</v>
      </c>
      <c r="P140" s="351">
        <v>0</v>
      </c>
      <c r="Q140" s="351">
        <v>0</v>
      </c>
      <c r="R140" s="351">
        <v>0</v>
      </c>
      <c r="S140" s="351">
        <v>0</v>
      </c>
      <c r="T140" s="351">
        <v>1</v>
      </c>
      <c r="U140" s="351">
        <v>0</v>
      </c>
      <c r="V140" s="451">
        <v>0</v>
      </c>
      <c r="W140" s="451">
        <v>0</v>
      </c>
      <c r="X140" s="451">
        <v>0</v>
      </c>
      <c r="Y140" s="450"/>
      <c r="Z140" s="449">
        <f t="shared" ref="Z140" si="1086">SUM(F140:Y140)</f>
        <v>1</v>
      </c>
      <c r="AA140" s="350"/>
      <c r="AB140" s="350"/>
      <c r="AC140" s="352">
        <f t="shared" ref="AC140" si="1087">F140*$D140</f>
        <v>0</v>
      </c>
      <c r="AD140" s="339">
        <f t="shared" ref="AD140" si="1088">G140*$D140</f>
        <v>0</v>
      </c>
      <c r="AE140" s="352">
        <f t="shared" ref="AE140" si="1089">H140*$D140</f>
        <v>0</v>
      </c>
      <c r="AF140" s="352">
        <f t="shared" ref="AF140" si="1090">I140*$D140</f>
        <v>0</v>
      </c>
      <c r="AG140" s="352">
        <f t="shared" ref="AG140" si="1091">J140*$D140</f>
        <v>0</v>
      </c>
      <c r="AH140" s="447">
        <f t="shared" ref="AH140" si="1092">K140*$D140</f>
        <v>0</v>
      </c>
      <c r="AI140" s="447">
        <f t="shared" ref="AI140" si="1093">L140*$D140</f>
        <v>0</v>
      </c>
      <c r="AJ140" s="447">
        <f t="shared" ref="AJ140" si="1094">M140*$D140</f>
        <v>0</v>
      </c>
      <c r="AK140" s="447">
        <f t="shared" ref="AK140" si="1095">N140*$D140</f>
        <v>0</v>
      </c>
      <c r="AL140" s="339">
        <f t="shared" ref="AL140" si="1096">O140*$D140</f>
        <v>0</v>
      </c>
      <c r="AM140" s="352">
        <f t="shared" ref="AM140" si="1097">P140*$D140</f>
        <v>0</v>
      </c>
      <c r="AN140" s="339">
        <f t="shared" ref="AN140" si="1098">Q140*$D140</f>
        <v>0</v>
      </c>
      <c r="AO140" s="339">
        <f t="shared" ref="AO140" si="1099">R140*$D140</f>
        <v>0</v>
      </c>
      <c r="AP140" s="339">
        <f t="shared" ref="AP140" si="1100">S140*$D140</f>
        <v>0</v>
      </c>
      <c r="AQ140" s="339">
        <f t="shared" ref="AQ140" si="1101">T140*$D140</f>
        <v>267.87</v>
      </c>
      <c r="AR140" s="339">
        <f t="shared" ref="AR140" si="1102">U140*$D140</f>
        <v>0</v>
      </c>
      <c r="AS140" s="339">
        <f t="shared" ref="AS140" si="1103">V140*$D140</f>
        <v>0</v>
      </c>
      <c r="AT140" s="352">
        <f t="shared" ref="AT140" si="1104">W140*$D140</f>
        <v>0</v>
      </c>
      <c r="AU140" s="352">
        <f t="shared" ref="AU140:AV140" si="1105">X140*$D140</f>
        <v>0</v>
      </c>
      <c r="AV140" s="352">
        <f t="shared" si="1105"/>
        <v>0</v>
      </c>
      <c r="AW140" s="352"/>
      <c r="AX140" s="352">
        <f t="shared" si="1048"/>
        <v>0</v>
      </c>
      <c r="AY140" s="352">
        <f t="shared" si="1048"/>
        <v>0</v>
      </c>
      <c r="AZ140" s="352">
        <f t="shared" si="1048"/>
        <v>0</v>
      </c>
      <c r="BA140" s="352">
        <f t="shared" si="1048"/>
        <v>0</v>
      </c>
      <c r="BB140" s="352">
        <f t="shared" si="1048"/>
        <v>0</v>
      </c>
      <c r="BC140" s="352">
        <f t="shared" si="1048"/>
        <v>0</v>
      </c>
      <c r="BD140" s="352">
        <f t="shared" si="1048"/>
        <v>0</v>
      </c>
      <c r="BE140" s="352">
        <f t="shared" si="1048"/>
        <v>0</v>
      </c>
      <c r="BF140" s="352">
        <f t="shared" si="1048"/>
        <v>0</v>
      </c>
      <c r="BG140" s="352">
        <f t="shared" si="1048"/>
        <v>0</v>
      </c>
      <c r="BH140" s="352">
        <f t="shared" si="1048"/>
        <v>0</v>
      </c>
      <c r="BI140" s="352">
        <f t="shared" si="1048"/>
        <v>0</v>
      </c>
      <c r="BJ140" s="339">
        <f t="shared" si="1048"/>
        <v>0</v>
      </c>
      <c r="BK140" s="352">
        <f t="shared" si="1048"/>
        <v>0</v>
      </c>
      <c r="BL140" s="352">
        <f t="shared" si="1048"/>
        <v>267.87</v>
      </c>
      <c r="BM140" s="352">
        <f t="shared" si="662"/>
        <v>0</v>
      </c>
      <c r="BN140" s="352">
        <f t="shared" si="662"/>
        <v>0</v>
      </c>
      <c r="BO140" s="352">
        <f t="shared" si="662"/>
        <v>0</v>
      </c>
      <c r="BP140" s="352">
        <f t="shared" si="662"/>
        <v>0</v>
      </c>
      <c r="BQ140" s="352">
        <f t="shared" si="662"/>
        <v>0</v>
      </c>
      <c r="BR140" s="376">
        <f t="shared" si="614"/>
        <v>0</v>
      </c>
    </row>
    <row r="141" spans="1:71" s="240" customFormat="1" ht="14.45" customHeight="1" x14ac:dyDescent="0.25">
      <c r="A141" s="240" t="s">
        <v>143</v>
      </c>
      <c r="B141" s="458"/>
      <c r="C141" s="350"/>
      <c r="D141" s="339">
        <v>25000</v>
      </c>
      <c r="E141" s="350" t="s">
        <v>271</v>
      </c>
      <c r="F141" s="351"/>
      <c r="G141" s="351">
        <v>0</v>
      </c>
      <c r="H141" s="351">
        <v>0</v>
      </c>
      <c r="I141" s="351">
        <v>0</v>
      </c>
      <c r="J141" s="351"/>
      <c r="K141" s="351">
        <v>0</v>
      </c>
      <c r="L141" s="351">
        <v>0</v>
      </c>
      <c r="M141" s="351">
        <v>0</v>
      </c>
      <c r="N141" s="351">
        <v>0</v>
      </c>
      <c r="O141" s="351">
        <v>0</v>
      </c>
      <c r="P141" s="351">
        <v>0</v>
      </c>
      <c r="Q141" s="351">
        <v>0</v>
      </c>
      <c r="R141" s="351">
        <v>0</v>
      </c>
      <c r="S141" s="351">
        <v>0</v>
      </c>
      <c r="T141" s="351">
        <v>0</v>
      </c>
      <c r="U141" s="351">
        <v>0.25</v>
      </c>
      <c r="V141" s="451">
        <v>0.25</v>
      </c>
      <c r="W141" s="451">
        <v>0.25</v>
      </c>
      <c r="X141" s="451">
        <v>0.25</v>
      </c>
      <c r="Y141" s="450"/>
      <c r="Z141" s="449">
        <f t="shared" ref="Z141" si="1106">SUM(F141:Y141)</f>
        <v>1</v>
      </c>
      <c r="AA141" s="350"/>
      <c r="AB141" s="350"/>
      <c r="AC141" s="352">
        <f t="shared" ref="AC141" si="1107">F141*$D141</f>
        <v>0</v>
      </c>
      <c r="AD141" s="339">
        <f t="shared" ref="AD141" si="1108">G141*$D141</f>
        <v>0</v>
      </c>
      <c r="AE141" s="352">
        <f t="shared" ref="AE141" si="1109">H141*$D141</f>
        <v>0</v>
      </c>
      <c r="AF141" s="352">
        <f t="shared" ref="AF141" si="1110">I141*$D141</f>
        <v>0</v>
      </c>
      <c r="AG141" s="352">
        <f t="shared" ref="AG141" si="1111">J141*$D141</f>
        <v>0</v>
      </c>
      <c r="AH141" s="447">
        <f t="shared" ref="AH141" si="1112">K141*$D141</f>
        <v>0</v>
      </c>
      <c r="AI141" s="447">
        <f t="shared" ref="AI141" si="1113">L141*$D141</f>
        <v>0</v>
      </c>
      <c r="AJ141" s="447">
        <f t="shared" ref="AJ141" si="1114">M141*$D141</f>
        <v>0</v>
      </c>
      <c r="AK141" s="447">
        <f t="shared" ref="AK141" si="1115">N141*$D141</f>
        <v>0</v>
      </c>
      <c r="AL141" s="339">
        <f t="shared" ref="AL141" si="1116">O141*$D141</f>
        <v>0</v>
      </c>
      <c r="AM141" s="352">
        <f t="shared" ref="AM141" si="1117">P141*$D141</f>
        <v>0</v>
      </c>
      <c r="AN141" s="339">
        <f t="shared" ref="AN141" si="1118">Q141*$D141</f>
        <v>0</v>
      </c>
      <c r="AO141" s="339">
        <f t="shared" ref="AO141" si="1119">R141*$D141</f>
        <v>0</v>
      </c>
      <c r="AP141" s="339">
        <f t="shared" ref="AP141" si="1120">S141*$D141</f>
        <v>0</v>
      </c>
      <c r="AQ141" s="339">
        <f t="shared" ref="AQ141" si="1121">T141*$D141</f>
        <v>0</v>
      </c>
      <c r="AR141" s="339">
        <f t="shared" ref="AR141" si="1122">U141*$D141</f>
        <v>6250</v>
      </c>
      <c r="AS141" s="339">
        <f t="shared" ref="AS141" si="1123">V141*$D141</f>
        <v>6250</v>
      </c>
      <c r="AT141" s="352">
        <f t="shared" ref="AT141" si="1124">W141*$D141</f>
        <v>6250</v>
      </c>
      <c r="AU141" s="352">
        <f t="shared" ref="AU141" si="1125">X141*$D141</f>
        <v>6250</v>
      </c>
      <c r="AV141" s="352">
        <f t="shared" ref="AV141" si="1126">Y141*$D141</f>
        <v>0</v>
      </c>
      <c r="AW141" s="352"/>
      <c r="AX141" s="352">
        <f t="shared" si="1048"/>
        <v>0</v>
      </c>
      <c r="AY141" s="352">
        <f t="shared" si="1048"/>
        <v>0</v>
      </c>
      <c r="AZ141" s="352">
        <f t="shared" si="1048"/>
        <v>0</v>
      </c>
      <c r="BA141" s="352">
        <f t="shared" si="1048"/>
        <v>0</v>
      </c>
      <c r="BB141" s="352">
        <f t="shared" si="1048"/>
        <v>0</v>
      </c>
      <c r="BC141" s="352">
        <f t="shared" si="1048"/>
        <v>0</v>
      </c>
      <c r="BD141" s="352">
        <f t="shared" si="1048"/>
        <v>0</v>
      </c>
      <c r="BE141" s="352">
        <f t="shared" si="1048"/>
        <v>0</v>
      </c>
      <c r="BF141" s="352">
        <f t="shared" si="1048"/>
        <v>0</v>
      </c>
      <c r="BG141" s="352">
        <f t="shared" si="1048"/>
        <v>0</v>
      </c>
      <c r="BH141" s="352">
        <f t="shared" si="1048"/>
        <v>0</v>
      </c>
      <c r="BI141" s="352">
        <f t="shared" si="1048"/>
        <v>0</v>
      </c>
      <c r="BJ141" s="339">
        <f t="shared" si="1048"/>
        <v>0</v>
      </c>
      <c r="BK141" s="352">
        <f t="shared" si="1048"/>
        <v>0</v>
      </c>
      <c r="BL141" s="352">
        <f t="shared" si="1048"/>
        <v>0</v>
      </c>
      <c r="BM141" s="352">
        <f t="shared" si="662"/>
        <v>25000</v>
      </c>
      <c r="BN141" s="352">
        <f t="shared" si="662"/>
        <v>0</v>
      </c>
      <c r="BO141" s="352">
        <f t="shared" si="662"/>
        <v>0</v>
      </c>
      <c r="BP141" s="352">
        <f t="shared" si="662"/>
        <v>0</v>
      </c>
      <c r="BQ141" s="352">
        <f t="shared" si="662"/>
        <v>0</v>
      </c>
      <c r="BR141" s="376">
        <f t="shared" ref="BR141" si="1127">SUM(AC141:AV141)-SUM(AX141:BQ141)</f>
        <v>0</v>
      </c>
    </row>
    <row r="142" spans="1:71" s="240" customFormat="1" ht="14.45" customHeight="1" x14ac:dyDescent="0.25">
      <c r="C142" s="350"/>
      <c r="D142" s="352"/>
      <c r="E142" s="350"/>
      <c r="F142" s="350"/>
      <c r="G142" s="350"/>
      <c r="H142" s="350"/>
      <c r="I142" s="351"/>
      <c r="J142" s="351"/>
      <c r="K142" s="351"/>
      <c r="L142" s="351"/>
      <c r="M142" s="351"/>
      <c r="N142" s="351"/>
      <c r="O142" s="351"/>
      <c r="P142" s="351"/>
      <c r="Q142" s="350"/>
      <c r="R142" s="339"/>
      <c r="S142" s="350"/>
      <c r="T142" s="350"/>
      <c r="U142" s="350"/>
      <c r="V142" s="350"/>
      <c r="W142" s="350"/>
      <c r="X142" s="350"/>
      <c r="Y142" s="350"/>
      <c r="Z142" s="350"/>
      <c r="AA142" s="350"/>
      <c r="AB142" s="350"/>
      <c r="AC142" s="352">
        <f t="shared" ref="AC142" si="1128">F142*$D142</f>
        <v>0</v>
      </c>
      <c r="AD142" s="339">
        <f t="shared" ref="AD142" si="1129">G142*$D142</f>
        <v>0</v>
      </c>
      <c r="AE142" s="352">
        <f t="shared" ref="AE142" si="1130">H142*$D142</f>
        <v>0</v>
      </c>
      <c r="AF142" s="352">
        <f t="shared" ref="AF142" si="1131">I142*$D142</f>
        <v>0</v>
      </c>
      <c r="AG142" s="352">
        <f t="shared" ref="AG142" si="1132">J142*$D142</f>
        <v>0</v>
      </c>
      <c r="AH142" s="352">
        <f t="shared" ref="AH142" si="1133">K142*$D142</f>
        <v>0</v>
      </c>
      <c r="AI142" s="352">
        <f t="shared" ref="AI142" si="1134">L142*$D142</f>
        <v>0</v>
      </c>
      <c r="AJ142" s="352">
        <f t="shared" ref="AJ142" si="1135">M142*$D142</f>
        <v>0</v>
      </c>
      <c r="AK142" s="352">
        <f t="shared" ref="AK142" si="1136">N142*$D142</f>
        <v>0</v>
      </c>
      <c r="AL142" s="339">
        <f t="shared" ref="AL142" si="1137">O142*$D142</f>
        <v>0</v>
      </c>
      <c r="AM142" s="352">
        <f t="shared" ref="AM142" si="1138">P142*$D142</f>
        <v>0</v>
      </c>
      <c r="AN142" s="352">
        <f t="shared" ref="AN142" si="1139">Q142*$D142</f>
        <v>0</v>
      </c>
      <c r="AO142" s="352">
        <f t="shared" ref="AO142" si="1140">R142*$D142</f>
        <v>0</v>
      </c>
      <c r="AP142" s="352">
        <f t="shared" ref="AP142" si="1141">S142*$D142</f>
        <v>0</v>
      </c>
      <c r="AQ142" s="352">
        <f t="shared" ref="AQ142" si="1142">T142*$D142</f>
        <v>0</v>
      </c>
      <c r="AR142" s="352">
        <f t="shared" si="591"/>
        <v>0</v>
      </c>
      <c r="AS142" s="352">
        <f t="shared" si="1031"/>
        <v>0</v>
      </c>
      <c r="AT142" s="352">
        <f t="shared" si="1032"/>
        <v>0</v>
      </c>
      <c r="AU142" s="352">
        <f t="shared" si="1033"/>
        <v>0</v>
      </c>
      <c r="AV142" s="352"/>
      <c r="AW142" s="352"/>
      <c r="AX142" s="352">
        <f t="shared" ref="AX142:BQ142" si="1143">IF(AX$3=$E142,$D142,0)</f>
        <v>0</v>
      </c>
      <c r="AY142" s="352">
        <f t="shared" si="1143"/>
        <v>0</v>
      </c>
      <c r="AZ142" s="352">
        <f t="shared" si="1143"/>
        <v>0</v>
      </c>
      <c r="BA142" s="352">
        <f t="shared" si="1143"/>
        <v>0</v>
      </c>
      <c r="BB142" s="352">
        <f t="shared" si="1143"/>
        <v>0</v>
      </c>
      <c r="BC142" s="352">
        <f t="shared" si="1143"/>
        <v>0</v>
      </c>
      <c r="BD142" s="352">
        <f t="shared" si="1143"/>
        <v>0</v>
      </c>
      <c r="BE142" s="352">
        <f t="shared" si="1143"/>
        <v>0</v>
      </c>
      <c r="BF142" s="352">
        <f t="shared" si="1143"/>
        <v>0</v>
      </c>
      <c r="BG142" s="352">
        <f t="shared" si="1143"/>
        <v>0</v>
      </c>
      <c r="BH142" s="352">
        <f t="shared" si="1143"/>
        <v>0</v>
      </c>
      <c r="BI142" s="352">
        <f t="shared" si="1143"/>
        <v>0</v>
      </c>
      <c r="BJ142" s="352">
        <f t="shared" si="1143"/>
        <v>0</v>
      </c>
      <c r="BK142" s="352">
        <f t="shared" si="1143"/>
        <v>0</v>
      </c>
      <c r="BL142" s="352">
        <f t="shared" si="1143"/>
        <v>0</v>
      </c>
      <c r="BM142" s="352">
        <f t="shared" si="1143"/>
        <v>0</v>
      </c>
      <c r="BN142" s="352">
        <f t="shared" si="1143"/>
        <v>0</v>
      </c>
      <c r="BO142" s="352">
        <f t="shared" si="1143"/>
        <v>0</v>
      </c>
      <c r="BP142" s="352">
        <f t="shared" si="1143"/>
        <v>0</v>
      </c>
      <c r="BQ142" s="352">
        <f t="shared" si="1143"/>
        <v>0</v>
      </c>
      <c r="BR142" s="376">
        <f t="shared" si="614"/>
        <v>0</v>
      </c>
    </row>
    <row r="143" spans="1:71" s="240" customFormat="1" ht="14.45" customHeight="1" x14ac:dyDescent="0.25">
      <c r="C143" s="350"/>
      <c r="D143" s="350" t="s">
        <v>162</v>
      </c>
      <c r="E143" s="350"/>
      <c r="F143" s="350" t="s">
        <v>145</v>
      </c>
      <c r="G143" s="350" t="s">
        <v>149</v>
      </c>
      <c r="H143" s="350" t="s">
        <v>150</v>
      </c>
      <c r="I143" s="351" t="s">
        <v>151</v>
      </c>
      <c r="J143" s="351" t="s">
        <v>152</v>
      </c>
      <c r="K143" s="351" t="s">
        <v>153</v>
      </c>
      <c r="L143" s="351" t="s">
        <v>154</v>
      </c>
      <c r="M143" s="351" t="s">
        <v>155</v>
      </c>
      <c r="N143" s="351" t="s">
        <v>156</v>
      </c>
      <c r="O143" s="351" t="s">
        <v>157</v>
      </c>
      <c r="P143" s="351" t="s">
        <v>158</v>
      </c>
      <c r="Q143" s="350" t="s">
        <v>159</v>
      </c>
      <c r="R143" s="350" t="s">
        <v>160</v>
      </c>
      <c r="S143" s="350" t="s">
        <v>161</v>
      </c>
      <c r="T143" s="350" t="s">
        <v>163</v>
      </c>
      <c r="U143" s="364" t="s">
        <v>240</v>
      </c>
      <c r="V143" s="364"/>
      <c r="W143" s="364"/>
      <c r="X143" s="364"/>
      <c r="Y143" s="364"/>
      <c r="Z143" s="350" t="s">
        <v>162</v>
      </c>
      <c r="AA143" s="350"/>
      <c r="AB143" s="350"/>
      <c r="AC143" s="352"/>
      <c r="AD143" s="339"/>
      <c r="AE143" s="352"/>
      <c r="AF143" s="352"/>
      <c r="AG143" s="352"/>
      <c r="AH143" s="352"/>
      <c r="AI143" s="352"/>
      <c r="AJ143" s="352"/>
      <c r="AK143" s="352"/>
      <c r="AL143" s="339"/>
      <c r="AM143" s="352"/>
      <c r="AN143" s="352"/>
      <c r="AO143" s="352"/>
      <c r="AP143" s="352"/>
      <c r="AQ143" s="352"/>
      <c r="AR143" s="352"/>
      <c r="AS143" s="352"/>
      <c r="AT143" s="352"/>
      <c r="AU143" s="352"/>
      <c r="AV143" s="352"/>
      <c r="AW143" s="352"/>
      <c r="AX143" s="352"/>
      <c r="AY143" s="352"/>
      <c r="AZ143" s="352"/>
      <c r="BA143" s="352"/>
      <c r="BB143" s="352"/>
      <c r="BC143" s="352"/>
      <c r="BD143" s="352"/>
      <c r="BE143" s="352"/>
      <c r="BF143" s="350"/>
      <c r="BG143" s="350"/>
      <c r="BH143" s="350"/>
      <c r="BI143" s="350"/>
      <c r="BJ143" s="350"/>
      <c r="BK143" s="350"/>
      <c r="BL143" s="350"/>
      <c r="BM143" s="350"/>
      <c r="BN143" s="350"/>
      <c r="BO143" s="350"/>
      <c r="BP143" s="350"/>
      <c r="BQ143" s="350"/>
      <c r="BR143" s="376">
        <f t="shared" si="614"/>
        <v>0</v>
      </c>
    </row>
    <row r="144" spans="1:71" s="240" customFormat="1" ht="14.45" customHeight="1" x14ac:dyDescent="0.25">
      <c r="A144" s="240" t="s">
        <v>189</v>
      </c>
      <c r="C144" s="350"/>
      <c r="D144" s="352"/>
      <c r="E144" s="350"/>
      <c r="F144" s="350"/>
      <c r="G144" s="350"/>
      <c r="H144" s="350"/>
      <c r="I144" s="351"/>
      <c r="J144" s="351"/>
      <c r="K144" s="351"/>
      <c r="L144" s="351"/>
      <c r="M144" s="351"/>
      <c r="N144" s="351"/>
      <c r="O144" s="351"/>
      <c r="P144" s="351"/>
      <c r="Q144" s="350"/>
      <c r="R144" s="350"/>
      <c r="S144" s="350"/>
      <c r="T144" s="350"/>
      <c r="U144" s="350"/>
      <c r="V144" s="350"/>
      <c r="W144" s="350"/>
      <c r="X144" s="350"/>
      <c r="Y144" s="350"/>
      <c r="Z144" s="350"/>
      <c r="AA144" s="350"/>
      <c r="AB144" s="350"/>
      <c r="AC144" s="352"/>
      <c r="AD144" s="339"/>
      <c r="AE144" s="352"/>
      <c r="AF144" s="352"/>
      <c r="AG144" s="352"/>
      <c r="AH144" s="352"/>
      <c r="AI144" s="352"/>
      <c r="AJ144" s="352"/>
      <c r="AK144" s="352"/>
      <c r="AL144" s="339"/>
      <c r="AM144" s="352"/>
      <c r="AN144" s="352"/>
      <c r="AO144" s="352"/>
      <c r="AP144" s="352"/>
      <c r="AQ144" s="352"/>
      <c r="AR144" s="352"/>
      <c r="AS144" s="352"/>
      <c r="AT144" s="352"/>
      <c r="AU144" s="352"/>
      <c r="AV144" s="352"/>
      <c r="AW144" s="352"/>
      <c r="AX144" s="352" t="s">
        <v>145</v>
      </c>
      <c r="AY144" s="352" t="s">
        <v>149</v>
      </c>
      <c r="AZ144" s="352" t="s">
        <v>150</v>
      </c>
      <c r="BA144" s="352" t="s">
        <v>151</v>
      </c>
      <c r="BB144" s="352" t="s">
        <v>145</v>
      </c>
      <c r="BC144" s="352" t="s">
        <v>149</v>
      </c>
      <c r="BD144" s="352" t="s">
        <v>150</v>
      </c>
      <c r="BE144" s="352" t="s">
        <v>151</v>
      </c>
      <c r="BF144" s="350" t="s">
        <v>145</v>
      </c>
      <c r="BG144" s="350" t="s">
        <v>149</v>
      </c>
      <c r="BH144" s="350" t="s">
        <v>150</v>
      </c>
      <c r="BI144" s="350" t="s">
        <v>151</v>
      </c>
      <c r="BJ144" s="350"/>
      <c r="BK144" s="350"/>
      <c r="BL144" s="350"/>
      <c r="BM144" s="350"/>
      <c r="BN144" s="350"/>
      <c r="BO144" s="350"/>
      <c r="BP144" s="350"/>
      <c r="BQ144" s="350"/>
      <c r="BR144" s="376">
        <f t="shared" si="614"/>
        <v>0</v>
      </c>
    </row>
    <row r="145" spans="1:71" s="240" customFormat="1" ht="14.45" customHeight="1" x14ac:dyDescent="0.25">
      <c r="A145" s="240" t="s">
        <v>131</v>
      </c>
      <c r="C145" s="350"/>
      <c r="D145" s="447">
        <v>198.71</v>
      </c>
      <c r="E145" s="350" t="s">
        <v>216</v>
      </c>
      <c r="F145" s="454"/>
      <c r="G145" s="454"/>
      <c r="H145" s="454"/>
      <c r="I145" s="351"/>
      <c r="J145" s="351">
        <v>0</v>
      </c>
      <c r="K145" s="351">
        <v>0</v>
      </c>
      <c r="L145" s="351">
        <v>0</v>
      </c>
      <c r="M145" s="351">
        <v>1</v>
      </c>
      <c r="N145" s="351"/>
      <c r="O145" s="351"/>
      <c r="P145" s="351"/>
      <c r="Q145" s="454"/>
      <c r="R145" s="454"/>
      <c r="S145" s="454"/>
      <c r="T145" s="351"/>
      <c r="U145" s="351"/>
      <c r="V145" s="351"/>
      <c r="W145" s="351"/>
      <c r="X145" s="351"/>
      <c r="Y145" s="351"/>
      <c r="Z145" s="449">
        <f t="shared" ref="Z145" si="1144">SUM(F145:U145)</f>
        <v>1</v>
      </c>
      <c r="AA145" s="350"/>
      <c r="AB145" s="350"/>
      <c r="AC145" s="352">
        <f t="shared" ref="AC145" si="1145">F145*$D145</f>
        <v>0</v>
      </c>
      <c r="AD145" s="447">
        <f t="shared" ref="AD145" si="1146">G145*$D145</f>
        <v>0</v>
      </c>
      <c r="AE145" s="447">
        <f t="shared" ref="AE145" si="1147">H145*$D145</f>
        <v>0</v>
      </c>
      <c r="AF145" s="447">
        <f t="shared" ref="AF145" si="1148">I145*$D145</f>
        <v>0</v>
      </c>
      <c r="AG145" s="447">
        <f t="shared" ref="AG145" si="1149">J145*$D145</f>
        <v>0</v>
      </c>
      <c r="AH145" s="447">
        <f t="shared" ref="AH145" si="1150">K145*$D145</f>
        <v>0</v>
      </c>
      <c r="AI145" s="447">
        <f t="shared" ref="AI145" si="1151">L145*$D145</f>
        <v>0</v>
      </c>
      <c r="AJ145" s="447">
        <f t="shared" ref="AJ145" si="1152">M145*$D145</f>
        <v>198.71</v>
      </c>
      <c r="AK145" s="447">
        <f t="shared" ref="AK145" si="1153">N145*$D145</f>
        <v>0</v>
      </c>
      <c r="AL145" s="352">
        <f t="shared" ref="AL145" si="1154">O145*$D145</f>
        <v>0</v>
      </c>
      <c r="AM145" s="352">
        <f t="shared" ref="AM145" si="1155">P145*$D145</f>
        <v>0</v>
      </c>
      <c r="AN145" s="352">
        <f t="shared" ref="AN145" si="1156">Q145*$D145</f>
        <v>0</v>
      </c>
      <c r="AO145" s="352">
        <f t="shared" ref="AO145" si="1157">R145*$D145</f>
        <v>0</v>
      </c>
      <c r="AP145" s="352">
        <f t="shared" ref="AP145" si="1158">S145*$D145</f>
        <v>0</v>
      </c>
      <c r="AQ145" s="352">
        <f t="shared" ref="AQ145" si="1159">T145*$D145</f>
        <v>0</v>
      </c>
      <c r="AR145" s="352">
        <f t="shared" ref="AR145" si="1160">U145*$D145</f>
        <v>0</v>
      </c>
      <c r="AS145" s="352">
        <f t="shared" ref="AS145" si="1161">V145*$D145</f>
        <v>0</v>
      </c>
      <c r="AT145" s="352">
        <f t="shared" ref="AT145" si="1162">W145*$D145</f>
        <v>0</v>
      </c>
      <c r="AU145" s="352">
        <f t="shared" ref="AU145" si="1163">X145*$D145</f>
        <v>0</v>
      </c>
      <c r="AV145" s="352"/>
      <c r="AW145" s="352"/>
      <c r="AX145" s="352">
        <f t="shared" ref="AX145:BM146" si="1164">IF(AX$3=$E145,$D145,0)</f>
        <v>0</v>
      </c>
      <c r="AY145" s="339">
        <f t="shared" si="1164"/>
        <v>0</v>
      </c>
      <c r="AZ145" s="339">
        <f t="shared" si="1164"/>
        <v>0</v>
      </c>
      <c r="BA145" s="339">
        <f t="shared" si="1164"/>
        <v>0</v>
      </c>
      <c r="BB145" s="339">
        <v>0</v>
      </c>
      <c r="BC145" s="339">
        <v>0</v>
      </c>
      <c r="BD145" s="339">
        <f t="shared" si="1164"/>
        <v>0</v>
      </c>
      <c r="BE145" s="339">
        <f t="shared" si="1164"/>
        <v>198.71</v>
      </c>
      <c r="BF145" s="339">
        <f t="shared" si="1164"/>
        <v>0</v>
      </c>
      <c r="BG145" s="339">
        <f t="shared" si="1164"/>
        <v>0</v>
      </c>
      <c r="BH145" s="339">
        <f t="shared" si="1164"/>
        <v>0</v>
      </c>
      <c r="BI145" s="352">
        <f t="shared" si="1164"/>
        <v>0</v>
      </c>
      <c r="BJ145" s="352">
        <f t="shared" si="1164"/>
        <v>0</v>
      </c>
      <c r="BK145" s="352">
        <f t="shared" si="1164"/>
        <v>0</v>
      </c>
      <c r="BL145" s="352">
        <f t="shared" si="1164"/>
        <v>0</v>
      </c>
      <c r="BM145" s="352">
        <f t="shared" si="1164"/>
        <v>0</v>
      </c>
      <c r="BN145" s="352">
        <f t="shared" ref="BN145:BQ148" si="1165">IF(BN$3=$E145,$D145,0)</f>
        <v>0</v>
      </c>
      <c r="BO145" s="352">
        <f t="shared" si="1165"/>
        <v>0</v>
      </c>
      <c r="BP145" s="352">
        <f t="shared" si="1165"/>
        <v>0</v>
      </c>
      <c r="BQ145" s="352">
        <f t="shared" si="1165"/>
        <v>0</v>
      </c>
      <c r="BR145" s="376">
        <f t="shared" si="614"/>
        <v>0</v>
      </c>
    </row>
    <row r="146" spans="1:71" s="240" customFormat="1" ht="14.45" customHeight="1" x14ac:dyDescent="0.25">
      <c r="A146" s="240" t="s">
        <v>131</v>
      </c>
      <c r="C146" s="350"/>
      <c r="D146" s="447">
        <v>136.99</v>
      </c>
      <c r="E146" s="350" t="s">
        <v>238</v>
      </c>
      <c r="F146" s="454"/>
      <c r="G146" s="454"/>
      <c r="H146" s="454"/>
      <c r="I146" s="351"/>
      <c r="J146" s="351">
        <v>0</v>
      </c>
      <c r="K146" s="351">
        <v>0</v>
      </c>
      <c r="L146" s="351">
        <v>0</v>
      </c>
      <c r="M146" s="351">
        <v>0</v>
      </c>
      <c r="N146" s="351">
        <v>1</v>
      </c>
      <c r="O146" s="351"/>
      <c r="P146" s="351"/>
      <c r="Q146" s="454"/>
      <c r="R146" s="454"/>
      <c r="S146" s="454"/>
      <c r="T146" s="351"/>
      <c r="U146" s="351"/>
      <c r="V146" s="351"/>
      <c r="W146" s="351"/>
      <c r="X146" s="351"/>
      <c r="Y146" s="351"/>
      <c r="Z146" s="449">
        <f t="shared" ref="Z146" si="1166">SUM(F146:U146)</f>
        <v>1</v>
      </c>
      <c r="AA146" s="350"/>
      <c r="AB146" s="350"/>
      <c r="AC146" s="352">
        <f t="shared" ref="AC146" si="1167">F146*$D146</f>
        <v>0</v>
      </c>
      <c r="AD146" s="447">
        <f t="shared" ref="AD146" si="1168">G146*$D146</f>
        <v>0</v>
      </c>
      <c r="AE146" s="447">
        <f t="shared" ref="AE146" si="1169">H146*$D146</f>
        <v>0</v>
      </c>
      <c r="AF146" s="447">
        <f t="shared" ref="AF146" si="1170">I146*$D146</f>
        <v>0</v>
      </c>
      <c r="AG146" s="447">
        <f t="shared" ref="AG146" si="1171">J146*$D146</f>
        <v>0</v>
      </c>
      <c r="AH146" s="447">
        <f t="shared" ref="AH146" si="1172">K146*$D146</f>
        <v>0</v>
      </c>
      <c r="AI146" s="447">
        <f t="shared" ref="AI146" si="1173">L146*$D146</f>
        <v>0</v>
      </c>
      <c r="AJ146" s="447">
        <f t="shared" ref="AJ146" si="1174">M146*$D146</f>
        <v>0</v>
      </c>
      <c r="AK146" s="447">
        <f t="shared" ref="AK146" si="1175">N146*$D146</f>
        <v>136.99</v>
      </c>
      <c r="AL146" s="352">
        <f t="shared" ref="AL146" si="1176">O146*$D146</f>
        <v>0</v>
      </c>
      <c r="AM146" s="352">
        <f t="shared" ref="AM146" si="1177">P146*$D146</f>
        <v>0</v>
      </c>
      <c r="AN146" s="352">
        <f t="shared" ref="AN146" si="1178">Q146*$D146</f>
        <v>0</v>
      </c>
      <c r="AO146" s="352">
        <f t="shared" ref="AO146" si="1179">R146*$D146</f>
        <v>0</v>
      </c>
      <c r="AP146" s="352">
        <f t="shared" ref="AP146" si="1180">S146*$D146</f>
        <v>0</v>
      </c>
      <c r="AQ146" s="352">
        <f t="shared" ref="AQ146" si="1181">T146*$D146</f>
        <v>0</v>
      </c>
      <c r="AR146" s="352">
        <f t="shared" ref="AR146" si="1182">U146*$D146</f>
        <v>0</v>
      </c>
      <c r="AS146" s="352">
        <f t="shared" ref="AS146" si="1183">V146*$D146</f>
        <v>0</v>
      </c>
      <c r="AT146" s="352">
        <f t="shared" ref="AT146" si="1184">W146*$D146</f>
        <v>0</v>
      </c>
      <c r="AU146" s="352">
        <f t="shared" ref="AU146" si="1185">X146*$D146</f>
        <v>0</v>
      </c>
      <c r="AV146" s="352"/>
      <c r="AW146" s="352"/>
      <c r="AX146" s="352">
        <f t="shared" si="1164"/>
        <v>0</v>
      </c>
      <c r="AY146" s="339">
        <f t="shared" si="1164"/>
        <v>0</v>
      </c>
      <c r="AZ146" s="339">
        <f t="shared" si="1164"/>
        <v>0</v>
      </c>
      <c r="BA146" s="339">
        <f t="shared" si="1164"/>
        <v>0</v>
      </c>
      <c r="BB146" s="339">
        <v>0</v>
      </c>
      <c r="BC146" s="339">
        <v>0</v>
      </c>
      <c r="BD146" s="339">
        <f t="shared" si="1164"/>
        <v>0</v>
      </c>
      <c r="BE146" s="339">
        <f t="shared" si="1164"/>
        <v>0</v>
      </c>
      <c r="BF146" s="339">
        <f t="shared" si="1164"/>
        <v>136.99</v>
      </c>
      <c r="BG146" s="339">
        <f t="shared" si="1164"/>
        <v>0</v>
      </c>
      <c r="BH146" s="339">
        <f t="shared" si="1164"/>
        <v>0</v>
      </c>
      <c r="BI146" s="352">
        <f t="shared" si="1164"/>
        <v>0</v>
      </c>
      <c r="BJ146" s="352">
        <f t="shared" si="1164"/>
        <v>0</v>
      </c>
      <c r="BK146" s="352">
        <f t="shared" si="1164"/>
        <v>0</v>
      </c>
      <c r="BL146" s="352">
        <f t="shared" si="1164"/>
        <v>0</v>
      </c>
      <c r="BM146" s="352">
        <f t="shared" si="1164"/>
        <v>0</v>
      </c>
      <c r="BN146" s="352">
        <f t="shared" si="1165"/>
        <v>0</v>
      </c>
      <c r="BO146" s="352">
        <f t="shared" si="1165"/>
        <v>0</v>
      </c>
      <c r="BP146" s="352">
        <f t="shared" si="1165"/>
        <v>0</v>
      </c>
      <c r="BQ146" s="352">
        <f t="shared" si="1165"/>
        <v>0</v>
      </c>
      <c r="BR146" s="376">
        <f t="shared" si="614"/>
        <v>0</v>
      </c>
    </row>
    <row r="147" spans="1:71" s="240" customFormat="1" ht="14.45" customHeight="1" outlineLevel="1" x14ac:dyDescent="0.25">
      <c r="A147" s="240" t="s">
        <v>130</v>
      </c>
      <c r="C147" s="350"/>
      <c r="D147" s="447">
        <f>SUM(F147:Y147)</f>
        <v>213248.77750000003</v>
      </c>
      <c r="E147" s="450" t="s">
        <v>192</v>
      </c>
      <c r="F147" s="450">
        <v>0</v>
      </c>
      <c r="G147" s="457">
        <v>1400</v>
      </c>
      <c r="H147" s="457">
        <v>9000</v>
      </c>
      <c r="I147" s="457">
        <v>9000</v>
      </c>
      <c r="J147" s="457">
        <v>10232.64</v>
      </c>
      <c r="K147" s="457">
        <v>11130.24</v>
      </c>
      <c r="L147" s="457">
        <v>10367.280000000001</v>
      </c>
      <c r="M147" s="457">
        <v>11152.68</v>
      </c>
      <c r="N147" s="457">
        <v>11848.32</v>
      </c>
      <c r="O147" s="457">
        <v>10232.64</v>
      </c>
      <c r="P147" s="457">
        <v>10985.279999999999</v>
      </c>
      <c r="Q147" s="457">
        <v>11945.12</v>
      </c>
      <c r="R147" s="457">
        <v>12438.720000000001</v>
      </c>
      <c r="S147" s="457">
        <v>12043.84</v>
      </c>
      <c r="T147" s="457">
        <v>12370.7</v>
      </c>
      <c r="U147" s="457">
        <v>12644.08</v>
      </c>
      <c r="V147" s="457">
        <v>11827.26</v>
      </c>
      <c r="W147" s="457">
        <v>12631.125</v>
      </c>
      <c r="X147" s="457">
        <v>31998.852500000001</v>
      </c>
      <c r="Y147" s="457">
        <v>0</v>
      </c>
      <c r="Z147" s="339">
        <f>SUM(F147:Y147)</f>
        <v>213248.77750000003</v>
      </c>
      <c r="AA147" s="350"/>
      <c r="AB147" s="350"/>
      <c r="AC147" s="339">
        <f t="shared" ref="AC147:AC153" si="1186">F147</f>
        <v>0</v>
      </c>
      <c r="AD147" s="339">
        <f t="shared" ref="AD147:AM150" si="1187">G147</f>
        <v>1400</v>
      </c>
      <c r="AE147" s="339">
        <f t="shared" si="1187"/>
        <v>9000</v>
      </c>
      <c r="AF147" s="339">
        <f t="shared" si="1187"/>
        <v>9000</v>
      </c>
      <c r="AG147" s="339">
        <f t="shared" si="1187"/>
        <v>10232.64</v>
      </c>
      <c r="AH147" s="339">
        <f t="shared" si="1187"/>
        <v>11130.24</v>
      </c>
      <c r="AI147" s="339">
        <f t="shared" si="1187"/>
        <v>10367.280000000001</v>
      </c>
      <c r="AJ147" s="339">
        <f t="shared" si="1187"/>
        <v>11152.68</v>
      </c>
      <c r="AK147" s="339">
        <f t="shared" si="1187"/>
        <v>11848.32</v>
      </c>
      <c r="AL147" s="339">
        <f t="shared" si="1187"/>
        <v>10232.64</v>
      </c>
      <c r="AM147" s="339">
        <f t="shared" si="1187"/>
        <v>10985.279999999999</v>
      </c>
      <c r="AN147" s="339">
        <f t="shared" ref="AN147:AV151" si="1188">Q147</f>
        <v>11945.12</v>
      </c>
      <c r="AO147" s="339">
        <f t="shared" si="1188"/>
        <v>12438.720000000001</v>
      </c>
      <c r="AP147" s="339">
        <f t="shared" si="1188"/>
        <v>12043.84</v>
      </c>
      <c r="AQ147" s="339">
        <f t="shared" si="1188"/>
        <v>12370.7</v>
      </c>
      <c r="AR147" s="339">
        <f t="shared" si="1188"/>
        <v>12644.08</v>
      </c>
      <c r="AS147" s="339">
        <f t="shared" si="1188"/>
        <v>11827.26</v>
      </c>
      <c r="AT147" s="339">
        <f t="shared" si="1188"/>
        <v>12631.125</v>
      </c>
      <c r="AU147" s="339">
        <f t="shared" si="1188"/>
        <v>31998.852500000001</v>
      </c>
      <c r="AV147" s="339">
        <f t="shared" si="1188"/>
        <v>0</v>
      </c>
      <c r="AW147" s="352"/>
      <c r="AX147" s="339">
        <v>0</v>
      </c>
      <c r="AY147" s="339">
        <v>43635.199999999997</v>
      </c>
      <c r="AZ147" s="339">
        <v>0</v>
      </c>
      <c r="BA147" s="339">
        <v>0</v>
      </c>
      <c r="BB147" s="339">
        <v>0</v>
      </c>
      <c r="BC147" s="339">
        <v>0</v>
      </c>
      <c r="BD147" s="339">
        <v>43421.4</v>
      </c>
      <c r="BE147" s="339">
        <v>0</v>
      </c>
      <c r="BF147" s="339">
        <v>0</v>
      </c>
      <c r="BG147" s="339">
        <v>0</v>
      </c>
      <c r="BH147" s="339">
        <v>48122</v>
      </c>
      <c r="BI147" s="352">
        <v>0</v>
      </c>
      <c r="BJ147" s="352">
        <v>0</v>
      </c>
      <c r="BK147" s="352">
        <v>4</v>
      </c>
      <c r="BL147" s="352">
        <v>50524.5</v>
      </c>
      <c r="BM147" s="352">
        <v>0</v>
      </c>
      <c r="BN147" s="352">
        <v>0</v>
      </c>
      <c r="BO147" s="352">
        <v>0</v>
      </c>
      <c r="BP147" s="352">
        <v>27541.677500000013</v>
      </c>
      <c r="BQ147" s="352">
        <v>0</v>
      </c>
      <c r="BR147" s="376">
        <f t="shared" si="614"/>
        <v>0</v>
      </c>
      <c r="BS147" s="408"/>
    </row>
    <row r="148" spans="1:71" s="240" customFormat="1" ht="14.45" customHeight="1" outlineLevel="1" x14ac:dyDescent="0.25">
      <c r="A148" s="240" t="s">
        <v>130</v>
      </c>
      <c r="C148" s="350"/>
      <c r="D148" s="447">
        <f>SUM(F148:Y148)</f>
        <v>111545.1</v>
      </c>
      <c r="E148" s="450" t="s">
        <v>166</v>
      </c>
      <c r="F148" s="450">
        <v>0</v>
      </c>
      <c r="G148" s="457">
        <v>0</v>
      </c>
      <c r="H148" s="457">
        <v>0</v>
      </c>
      <c r="I148" s="457">
        <v>0</v>
      </c>
      <c r="J148" s="457">
        <v>0</v>
      </c>
      <c r="K148" s="457">
        <v>2358.88</v>
      </c>
      <c r="L148" s="457">
        <v>6256.16</v>
      </c>
      <c r="M148" s="457">
        <v>6410</v>
      </c>
      <c r="N148" s="457">
        <v>6486.92</v>
      </c>
      <c r="O148" s="457">
        <v>6193.92</v>
      </c>
      <c r="P148" s="457">
        <v>7382.4</v>
      </c>
      <c r="Q148" s="457">
        <v>7505.44</v>
      </c>
      <c r="R148" s="457">
        <v>7628.4800000000005</v>
      </c>
      <c r="S148" s="457">
        <v>7881.0800000000008</v>
      </c>
      <c r="T148" s="457">
        <v>8426.16</v>
      </c>
      <c r="U148" s="457">
        <v>10256.960000000001</v>
      </c>
      <c r="V148" s="457">
        <v>5614</v>
      </c>
      <c r="W148" s="457">
        <v>8248.5</v>
      </c>
      <c r="X148" s="457">
        <v>20896.200000000004</v>
      </c>
      <c r="Y148" s="457">
        <v>0</v>
      </c>
      <c r="Z148" s="339">
        <f>SUM(F148:Y148)</f>
        <v>111545.1</v>
      </c>
      <c r="AA148" s="350"/>
      <c r="AB148" s="350"/>
      <c r="AC148" s="339">
        <f t="shared" si="1186"/>
        <v>0</v>
      </c>
      <c r="AD148" s="339">
        <f t="shared" si="1187"/>
        <v>0</v>
      </c>
      <c r="AE148" s="339">
        <f t="shared" si="1187"/>
        <v>0</v>
      </c>
      <c r="AF148" s="339">
        <f t="shared" si="1187"/>
        <v>0</v>
      </c>
      <c r="AG148" s="339">
        <f t="shared" si="1187"/>
        <v>0</v>
      </c>
      <c r="AH148" s="339">
        <f t="shared" si="1187"/>
        <v>2358.88</v>
      </c>
      <c r="AI148" s="339">
        <f t="shared" si="1187"/>
        <v>6256.16</v>
      </c>
      <c r="AJ148" s="339">
        <f t="shared" si="1187"/>
        <v>6410</v>
      </c>
      <c r="AK148" s="339">
        <f t="shared" si="1187"/>
        <v>6486.92</v>
      </c>
      <c r="AL148" s="339">
        <f t="shared" si="1187"/>
        <v>6193.92</v>
      </c>
      <c r="AM148" s="339">
        <f t="shared" si="1187"/>
        <v>7382.4</v>
      </c>
      <c r="AN148" s="339">
        <f t="shared" si="1188"/>
        <v>7505.44</v>
      </c>
      <c r="AO148" s="339">
        <f t="shared" si="1188"/>
        <v>7628.4800000000005</v>
      </c>
      <c r="AP148" s="339">
        <f t="shared" si="1188"/>
        <v>7881.0800000000008</v>
      </c>
      <c r="AQ148" s="339">
        <f t="shared" si="1188"/>
        <v>8426.16</v>
      </c>
      <c r="AR148" s="339">
        <f t="shared" si="1188"/>
        <v>10256.960000000001</v>
      </c>
      <c r="AS148" s="339">
        <f t="shared" si="1188"/>
        <v>5614</v>
      </c>
      <c r="AT148" s="339">
        <f t="shared" si="1188"/>
        <v>8248.5</v>
      </c>
      <c r="AU148" s="339">
        <f t="shared" si="1188"/>
        <v>20896.200000000004</v>
      </c>
      <c r="AV148" s="339">
        <f t="shared" si="1188"/>
        <v>0</v>
      </c>
      <c r="AW148" s="352"/>
      <c r="AX148" s="339">
        <v>0</v>
      </c>
      <c r="AY148" s="339">
        <v>0</v>
      </c>
      <c r="AZ148" s="339">
        <v>0</v>
      </c>
      <c r="BA148" s="339">
        <v>0</v>
      </c>
      <c r="BB148" s="339">
        <v>0</v>
      </c>
      <c r="BC148" s="339">
        <v>25000</v>
      </c>
      <c r="BD148" s="339">
        <v>0</v>
      </c>
      <c r="BE148" s="339">
        <v>0</v>
      </c>
      <c r="BF148" s="339">
        <v>0</v>
      </c>
      <c r="BG148" s="339">
        <v>29991</v>
      </c>
      <c r="BH148" s="339">
        <v>0</v>
      </c>
      <c r="BI148" s="352">
        <v>-1</v>
      </c>
      <c r="BJ148" s="352">
        <v>0</v>
      </c>
      <c r="BK148" s="339">
        <v>5549.76</v>
      </c>
      <c r="BL148" s="352">
        <v>32994</v>
      </c>
      <c r="BM148" s="352">
        <v>0</v>
      </c>
      <c r="BN148" s="352">
        <v>0</v>
      </c>
      <c r="BO148" s="352">
        <v>0</v>
      </c>
      <c r="BP148" s="352">
        <f>18146.7-135.36</f>
        <v>18011.34</v>
      </c>
      <c r="BQ148" s="352">
        <f t="shared" si="1165"/>
        <v>0</v>
      </c>
      <c r="BR148" s="464">
        <f t="shared" si="614"/>
        <v>0</v>
      </c>
      <c r="BS148" s="237"/>
    </row>
    <row r="149" spans="1:71" s="240" customFormat="1" ht="14.45" customHeight="1" outlineLevel="1" x14ac:dyDescent="0.25">
      <c r="A149" s="240" t="s">
        <v>132</v>
      </c>
      <c r="C149" s="350"/>
      <c r="D149" s="447">
        <v>5000</v>
      </c>
      <c r="E149" s="450" t="s">
        <v>228</v>
      </c>
      <c r="F149" s="457">
        <v>0</v>
      </c>
      <c r="G149" s="457">
        <v>0</v>
      </c>
      <c r="H149" s="457">
        <v>0</v>
      </c>
      <c r="I149" s="457">
        <v>0</v>
      </c>
      <c r="J149" s="457">
        <v>0</v>
      </c>
      <c r="K149" s="457">
        <v>0</v>
      </c>
      <c r="L149" s="457">
        <v>0</v>
      </c>
      <c r="M149" s="457">
        <v>0</v>
      </c>
      <c r="N149" s="457">
        <v>0</v>
      </c>
      <c r="O149" s="457">
        <v>0</v>
      </c>
      <c r="P149" s="457">
        <v>0</v>
      </c>
      <c r="Q149" s="457">
        <v>1369.14</v>
      </c>
      <c r="R149" s="457">
        <v>0</v>
      </c>
      <c r="S149" s="457">
        <v>0</v>
      </c>
      <c r="T149" s="457">
        <v>0</v>
      </c>
      <c r="U149" s="457">
        <v>3630.86</v>
      </c>
      <c r="V149" s="457">
        <v>0</v>
      </c>
      <c r="W149" s="457">
        <v>0</v>
      </c>
      <c r="X149" s="457">
        <v>0</v>
      </c>
      <c r="Y149" s="457"/>
      <c r="Z149" s="352">
        <f t="shared" ref="Z149" si="1189">SUM(F149:X149)</f>
        <v>5000</v>
      </c>
      <c r="AA149" s="350"/>
      <c r="AB149" s="350"/>
      <c r="AC149" s="352">
        <f t="shared" ref="AC149" si="1190">F149</f>
        <v>0</v>
      </c>
      <c r="AD149" s="352">
        <f t="shared" si="1187"/>
        <v>0</v>
      </c>
      <c r="AE149" s="352">
        <f t="shared" si="1187"/>
        <v>0</v>
      </c>
      <c r="AF149" s="352">
        <f t="shared" si="1187"/>
        <v>0</v>
      </c>
      <c r="AG149" s="352">
        <f t="shared" si="1187"/>
        <v>0</v>
      </c>
      <c r="AH149" s="352">
        <f t="shared" si="1187"/>
        <v>0</v>
      </c>
      <c r="AI149" s="447">
        <f t="shared" si="1187"/>
        <v>0</v>
      </c>
      <c r="AJ149" s="447">
        <f t="shared" si="1187"/>
        <v>0</v>
      </c>
      <c r="AK149" s="447">
        <f t="shared" si="1187"/>
        <v>0</v>
      </c>
      <c r="AL149" s="447">
        <f t="shared" si="1187"/>
        <v>0</v>
      </c>
      <c r="AM149" s="352">
        <f t="shared" si="1187"/>
        <v>0</v>
      </c>
      <c r="AN149" s="339">
        <f t="shared" si="1188"/>
        <v>1369.14</v>
      </c>
      <c r="AO149" s="352">
        <f t="shared" si="1188"/>
        <v>0</v>
      </c>
      <c r="AP149" s="352">
        <f t="shared" ref="AP149:AP150" si="1191">S149</f>
        <v>0</v>
      </c>
      <c r="AQ149" s="352">
        <f t="shared" ref="AQ149:AQ150" si="1192">T149</f>
        <v>0</v>
      </c>
      <c r="AR149" s="352">
        <f t="shared" si="1188"/>
        <v>3630.86</v>
      </c>
      <c r="AS149" s="352">
        <f t="shared" si="1188"/>
        <v>0</v>
      </c>
      <c r="AT149" s="352">
        <f t="shared" si="1188"/>
        <v>0</v>
      </c>
      <c r="AU149" s="352">
        <f t="shared" si="1188"/>
        <v>0</v>
      </c>
      <c r="AV149" s="352"/>
      <c r="AW149" s="352"/>
      <c r="AX149" s="352">
        <f>IF(AX$144=$E149,SUM(AC149:AF149),0)</f>
        <v>0</v>
      </c>
      <c r="AY149" s="352">
        <f t="shared" ref="AY149:AY150" si="1193">IF(AY$144=$E149,SUM(AD149:AG149),0)</f>
        <v>0</v>
      </c>
      <c r="AZ149" s="352">
        <f>IF(AZ$144=$E149,SUM(AE149:AH149),0)</f>
        <v>0</v>
      </c>
      <c r="BA149" s="352">
        <f>IF(BA$144=$E149,SUM(AF149:AI149),0)</f>
        <v>0</v>
      </c>
      <c r="BB149" s="352">
        <f t="shared" ref="BB149:BB150" si="1194">IF(BB$144=$E149,SUM(AG149:AJ149),0)</f>
        <v>0</v>
      </c>
      <c r="BC149" s="352">
        <f t="shared" ref="BC149:BC150" si="1195">IF(BC$144=$E149,SUM(AH149:AK149),0)</f>
        <v>0</v>
      </c>
      <c r="BD149" s="352">
        <f t="shared" ref="BD149:BD150" si="1196">IF(BD$144=$E149,SUM(AI149:AL149),0)</f>
        <v>0</v>
      </c>
      <c r="BE149" s="352">
        <f t="shared" ref="BE149:BE150" si="1197">IF(BE$144=$E149,SUM(AJ149:AM149),0)</f>
        <v>0</v>
      </c>
      <c r="BF149" s="352">
        <f t="shared" ref="BF149" si="1198">IF(BF$144=$E149,SUM(AK149:AN149),0)</f>
        <v>0</v>
      </c>
      <c r="BG149" s="352">
        <f t="shared" ref="BG149" si="1199">IF(BG$144=$E149,SUM(AL149:AO149),0)</f>
        <v>0</v>
      </c>
      <c r="BH149" s="352">
        <f>IF(BH$144=$E149,SUM(AM149:AP149),0)</f>
        <v>0</v>
      </c>
      <c r="BI149" s="352">
        <v>1369.14</v>
      </c>
      <c r="BJ149" s="352">
        <f t="shared" ref="BJ149" si="1200">IF(BJ$144=$E149,SUM(AO149:AR149),0)</f>
        <v>0</v>
      </c>
      <c r="BK149" s="352">
        <f t="shared" ref="BK149" si="1201">IF(BK$144=$E149,SUM(AP149:AS149),0)</f>
        <v>0</v>
      </c>
      <c r="BL149" s="352">
        <v>0</v>
      </c>
      <c r="BM149" s="352">
        <v>3630.86</v>
      </c>
      <c r="BN149" s="352">
        <f t="shared" ref="BN149" si="1202">IF(BN$144=$E149,SUM(AS149:AW149),0)</f>
        <v>0</v>
      </c>
      <c r="BO149" s="352">
        <f t="shared" ref="BO149" si="1203">IF(BO$144=$E149,SUM(AT149:AX149),0)</f>
        <v>0</v>
      </c>
      <c r="BP149" s="352">
        <f t="shared" ref="BP149:BQ150" si="1204">IF(BP$144=$E149,SUM(AU149:AY149),0)</f>
        <v>0</v>
      </c>
      <c r="BQ149" s="352">
        <f t="shared" si="1204"/>
        <v>0</v>
      </c>
      <c r="BR149" s="376">
        <f>SUM(AC149:AV149)-SUM(AX149:BQ149)</f>
        <v>0</v>
      </c>
    </row>
    <row r="150" spans="1:71" s="240" customFormat="1" ht="14.45" customHeight="1" outlineLevel="1" x14ac:dyDescent="0.25">
      <c r="A150" s="240" t="s">
        <v>140</v>
      </c>
      <c r="B150" s="241"/>
      <c r="C150" s="465"/>
      <c r="D150" s="339">
        <v>76351.524999999994</v>
      </c>
      <c r="E150" s="450" t="s">
        <v>208</v>
      </c>
      <c r="F150" s="457">
        <v>0</v>
      </c>
      <c r="G150" s="457">
        <v>0</v>
      </c>
      <c r="H150" s="457">
        <v>0</v>
      </c>
      <c r="I150" s="457">
        <v>0</v>
      </c>
      <c r="J150" s="457">
        <v>0</v>
      </c>
      <c r="K150" s="457">
        <v>0</v>
      </c>
      <c r="L150" s="457">
        <v>0</v>
      </c>
      <c r="M150" s="457">
        <v>0</v>
      </c>
      <c r="N150" s="457">
        <v>0</v>
      </c>
      <c r="O150" s="457">
        <v>0</v>
      </c>
      <c r="P150" s="457">
        <v>0</v>
      </c>
      <c r="Q150" s="457">
        <v>0</v>
      </c>
      <c r="R150" s="457">
        <v>0</v>
      </c>
      <c r="S150" s="457">
        <v>0</v>
      </c>
      <c r="T150" s="457">
        <v>0</v>
      </c>
      <c r="U150" s="457">
        <v>12924.800000000001</v>
      </c>
      <c r="V150" s="457">
        <v>15002</v>
      </c>
      <c r="W150" s="457">
        <v>14540.400000000001</v>
      </c>
      <c r="X150" s="457">
        <v>33884.325000000004</v>
      </c>
      <c r="Y150" s="457">
        <v>0</v>
      </c>
      <c r="Z150" s="339">
        <f t="shared" ref="Z150" si="1205">SUM(F150:Y150)</f>
        <v>76351.525000000009</v>
      </c>
      <c r="AA150" s="350"/>
      <c r="AB150" s="350"/>
      <c r="AC150" s="352">
        <f>F150</f>
        <v>0</v>
      </c>
      <c r="AD150" s="352">
        <f>G150</f>
        <v>0</v>
      </c>
      <c r="AE150" s="352">
        <f t="shared" si="1187"/>
        <v>0</v>
      </c>
      <c r="AF150" s="352">
        <f t="shared" si="1187"/>
        <v>0</v>
      </c>
      <c r="AG150" s="352">
        <f t="shared" si="1187"/>
        <v>0</v>
      </c>
      <c r="AH150" s="352">
        <f t="shared" si="1187"/>
        <v>0</v>
      </c>
      <c r="AI150" s="447">
        <f t="shared" si="1187"/>
        <v>0</v>
      </c>
      <c r="AJ150" s="447">
        <f t="shared" si="1187"/>
        <v>0</v>
      </c>
      <c r="AK150" s="447">
        <f t="shared" si="1187"/>
        <v>0</v>
      </c>
      <c r="AL150" s="447">
        <f t="shared" si="1187"/>
        <v>0</v>
      </c>
      <c r="AM150" s="352">
        <f t="shared" si="1187"/>
        <v>0</v>
      </c>
      <c r="AN150" s="339">
        <f t="shared" si="1188"/>
        <v>0</v>
      </c>
      <c r="AO150" s="339">
        <f t="shared" ref="AO150" si="1206">R150</f>
        <v>0</v>
      </c>
      <c r="AP150" s="339">
        <f t="shared" si="1191"/>
        <v>0</v>
      </c>
      <c r="AQ150" s="339">
        <f t="shared" si="1192"/>
        <v>0</v>
      </c>
      <c r="AR150" s="339">
        <f t="shared" ref="AR150" si="1207">U150</f>
        <v>12924.800000000001</v>
      </c>
      <c r="AS150" s="339">
        <f t="shared" ref="AS150" si="1208">V150</f>
        <v>15002</v>
      </c>
      <c r="AT150" s="339">
        <f t="shared" ref="AT150" si="1209">W150</f>
        <v>14540.400000000001</v>
      </c>
      <c r="AU150" s="339">
        <f t="shared" ref="AU150" si="1210">X150</f>
        <v>33884.325000000004</v>
      </c>
      <c r="AV150" s="339">
        <f t="shared" ref="AV150" si="1211">Y150</f>
        <v>0</v>
      </c>
      <c r="AW150" s="352"/>
      <c r="AX150" s="352">
        <f>IF(AX$144=$E150,SUM(AC150:AF150),0)</f>
        <v>0</v>
      </c>
      <c r="AY150" s="352">
        <f t="shared" si="1193"/>
        <v>0</v>
      </c>
      <c r="AZ150" s="352">
        <f t="shared" ref="AZ150" si="1212">IF(AZ$144=$E150,SUM(AE150:AH150),0)</f>
        <v>0</v>
      </c>
      <c r="BA150" s="352">
        <f t="shared" ref="BA150" si="1213">IF(BA$144=$E150,SUM(AF150:AI150),0)</f>
        <v>0</v>
      </c>
      <c r="BB150" s="352">
        <f t="shared" si="1194"/>
        <v>0</v>
      </c>
      <c r="BC150" s="352">
        <f t="shared" si="1195"/>
        <v>0</v>
      </c>
      <c r="BD150" s="352">
        <f t="shared" si="1196"/>
        <v>0</v>
      </c>
      <c r="BE150" s="352">
        <f t="shared" si="1197"/>
        <v>0</v>
      </c>
      <c r="BF150" s="352">
        <v>0</v>
      </c>
      <c r="BG150" s="352">
        <v>0</v>
      </c>
      <c r="BH150" s="352">
        <v>0</v>
      </c>
      <c r="BI150" s="352">
        <f t="shared" ref="BI150" si="1214">IF(BI$144=$E150,SUM(AN150:AQ150),0)</f>
        <v>0</v>
      </c>
      <c r="BJ150" s="352">
        <v>0</v>
      </c>
      <c r="BK150" s="339">
        <v>0</v>
      </c>
      <c r="BL150" s="339">
        <v>45409.9</v>
      </c>
      <c r="BM150" s="352">
        <v>0</v>
      </c>
      <c r="BN150" s="352">
        <v>0</v>
      </c>
      <c r="BO150" s="352">
        <v>0</v>
      </c>
      <c r="BP150" s="352">
        <v>30941.624999999996</v>
      </c>
      <c r="BQ150" s="352">
        <f t="shared" si="1204"/>
        <v>0</v>
      </c>
      <c r="BR150" s="376">
        <f t="shared" ref="BR150" si="1215">SUM(AC150:AV150)-SUM(AX150:BQ150)</f>
        <v>0</v>
      </c>
      <c r="BS150" s="237"/>
    </row>
    <row r="151" spans="1:71" s="240" customFormat="1" ht="14.45" customHeight="1" outlineLevel="1" x14ac:dyDescent="0.25">
      <c r="A151" s="240" t="s">
        <v>140</v>
      </c>
      <c r="B151" s="241"/>
      <c r="C151" s="465"/>
      <c r="D151" s="339">
        <f>SUM(F151:Y151)</f>
        <v>194577.98499999999</v>
      </c>
      <c r="E151" s="450" t="s">
        <v>194</v>
      </c>
      <c r="F151" s="457">
        <v>10000</v>
      </c>
      <c r="G151" s="457">
        <v>12000</v>
      </c>
      <c r="H151" s="457">
        <v>11000</v>
      </c>
      <c r="I151" s="457">
        <v>12000</v>
      </c>
      <c r="J151" s="457">
        <v>4000</v>
      </c>
      <c r="K151" s="457">
        <v>0</v>
      </c>
      <c r="L151" s="457">
        <v>0</v>
      </c>
      <c r="M151" s="457">
        <v>0</v>
      </c>
      <c r="N151" s="457">
        <v>0</v>
      </c>
      <c r="O151" s="457">
        <v>12204.64</v>
      </c>
      <c r="P151" s="457">
        <v>11666.2</v>
      </c>
      <c r="Q151" s="457">
        <v>12486.68</v>
      </c>
      <c r="R151" s="457">
        <v>12717.44</v>
      </c>
      <c r="S151" s="457">
        <v>13298.32</v>
      </c>
      <c r="T151" s="457">
        <v>11726.04</v>
      </c>
      <c r="U151" s="457">
        <v>12888.08</v>
      </c>
      <c r="V151" s="457">
        <v>13099.359999999995</v>
      </c>
      <c r="W151" s="457">
        <v>12874.875</v>
      </c>
      <c r="X151" s="457">
        <v>32616.350000000006</v>
      </c>
      <c r="Y151" s="457">
        <v>0</v>
      </c>
      <c r="Z151" s="339">
        <f t="shared" ref="Z151:Z159" si="1216">SUM(F151:Y151)</f>
        <v>194577.98499999999</v>
      </c>
      <c r="AA151" s="350"/>
      <c r="AB151" s="350"/>
      <c r="AC151" s="352">
        <f>F151</f>
        <v>10000</v>
      </c>
      <c r="AD151" s="352">
        <f>G151</f>
        <v>12000</v>
      </c>
      <c r="AE151" s="352">
        <f t="shared" ref="AD151:AQ153" si="1217">H151</f>
        <v>11000</v>
      </c>
      <c r="AF151" s="352">
        <f t="shared" si="1217"/>
        <v>12000</v>
      </c>
      <c r="AG151" s="352">
        <f t="shared" si="1217"/>
        <v>4000</v>
      </c>
      <c r="AH151" s="352">
        <f t="shared" si="1217"/>
        <v>0</v>
      </c>
      <c r="AI151" s="447">
        <f t="shared" si="1217"/>
        <v>0</v>
      </c>
      <c r="AJ151" s="447">
        <f t="shared" si="1217"/>
        <v>0</v>
      </c>
      <c r="AK151" s="447">
        <f t="shared" si="1217"/>
        <v>0</v>
      </c>
      <c r="AL151" s="447">
        <f t="shared" si="1217"/>
        <v>12204.64</v>
      </c>
      <c r="AM151" s="352">
        <f t="shared" si="1217"/>
        <v>11666.2</v>
      </c>
      <c r="AN151" s="339">
        <f t="shared" si="1217"/>
        <v>12486.68</v>
      </c>
      <c r="AO151" s="339">
        <f t="shared" si="1188"/>
        <v>12717.44</v>
      </c>
      <c r="AP151" s="339">
        <f t="shared" ref="AP151" si="1218">S151</f>
        <v>13298.32</v>
      </c>
      <c r="AQ151" s="339">
        <f t="shared" si="1188"/>
        <v>11726.04</v>
      </c>
      <c r="AR151" s="339">
        <f t="shared" si="1188"/>
        <v>12888.08</v>
      </c>
      <c r="AS151" s="339">
        <f t="shared" si="1188"/>
        <v>13099.359999999995</v>
      </c>
      <c r="AT151" s="339">
        <f t="shared" si="1188"/>
        <v>12874.875</v>
      </c>
      <c r="AU151" s="339">
        <f t="shared" si="1188"/>
        <v>32616.350000000006</v>
      </c>
      <c r="AV151" s="339">
        <f t="shared" ref="AV151" si="1219">Y151</f>
        <v>0</v>
      </c>
      <c r="AW151" s="352"/>
      <c r="AX151" s="352">
        <f>IF(AX$144=$E151,SUM(AC151:AF151),0)</f>
        <v>45000</v>
      </c>
      <c r="AY151" s="352">
        <f t="shared" ref="AY151" si="1220">IF(AY$144=$E151,SUM(AD151:AG151),0)</f>
        <v>0</v>
      </c>
      <c r="AZ151" s="352">
        <f t="shared" ref="AZ151" si="1221">IF(AZ$144=$E151,SUM(AE151:AH151),0)</f>
        <v>0</v>
      </c>
      <c r="BA151" s="352">
        <f t="shared" ref="BA151" si="1222">IF(BA$144=$E151,SUM(AF151:AI151),0)</f>
        <v>0</v>
      </c>
      <c r="BB151" s="352">
        <f t="shared" ref="BB151" si="1223">IF(BB$144=$E151,SUM(AG151:AJ151),0)</f>
        <v>4000</v>
      </c>
      <c r="BC151" s="352">
        <f t="shared" ref="BC151" si="1224">IF(BC$144=$E151,SUM(AH151:AK151),0)</f>
        <v>0</v>
      </c>
      <c r="BD151" s="352">
        <f t="shared" ref="BD151" si="1225">IF(BD$144=$E151,SUM(AI151:AL151),0)</f>
        <v>0</v>
      </c>
      <c r="BE151" s="352">
        <f t="shared" ref="BE151" si="1226">IF(BE$144=$E151,SUM(AJ151:AM151),0)</f>
        <v>0</v>
      </c>
      <c r="BF151" s="352">
        <v>49998</v>
      </c>
      <c r="BG151" s="352">
        <f t="shared" ref="BG151" si="1227">IF(BG$144=$E151,SUM(AL151:AO151),0)</f>
        <v>0</v>
      </c>
      <c r="BH151" s="352">
        <f t="shared" ref="BH151" si="1228">IF(BH$144=$E151,SUM(AM151:AP151),0)</f>
        <v>0</v>
      </c>
      <c r="BI151" s="352">
        <f t="shared" ref="BI151" si="1229">IF(BI$144=$E151,SUM(AN151:AQ151),0)</f>
        <v>0</v>
      </c>
      <c r="BJ151" s="352">
        <v>16600.88</v>
      </c>
      <c r="BK151" s="339">
        <v>-845.12</v>
      </c>
      <c r="BL151" s="339">
        <v>51499.5</v>
      </c>
      <c r="BM151" s="352">
        <v>0</v>
      </c>
      <c r="BN151" s="352">
        <v>0</v>
      </c>
      <c r="BO151" s="352">
        <v>0</v>
      </c>
      <c r="BP151" s="352">
        <v>28324.725000000002</v>
      </c>
      <c r="BQ151" s="352">
        <f t="shared" ref="BQ151" si="1230">IF(BQ$144=$E151,SUM(AV151:AZ151),0)</f>
        <v>0</v>
      </c>
      <c r="BR151" s="376">
        <f t="shared" si="614"/>
        <v>0</v>
      </c>
      <c r="BS151" s="237"/>
    </row>
    <row r="152" spans="1:71" s="240" customFormat="1" ht="14.45" customHeight="1" outlineLevel="1" x14ac:dyDescent="0.25">
      <c r="A152" s="240" t="s">
        <v>140</v>
      </c>
      <c r="B152" s="241"/>
      <c r="C152" s="350"/>
      <c r="D152" s="352">
        <f>SUM(F152:Y152)</f>
        <v>195614.81</v>
      </c>
      <c r="E152" s="450" t="s">
        <v>192</v>
      </c>
      <c r="F152" s="457"/>
      <c r="G152" s="457">
        <v>6666.67</v>
      </c>
      <c r="H152" s="457">
        <v>10500</v>
      </c>
      <c r="I152" s="457">
        <v>10500</v>
      </c>
      <c r="J152" s="457">
        <v>11489.28</v>
      </c>
      <c r="K152" s="457">
        <v>11130.24</v>
      </c>
      <c r="L152" s="457">
        <v>6103.68</v>
      </c>
      <c r="M152" s="457">
        <v>0</v>
      </c>
      <c r="N152" s="457">
        <v>10053.119999999999</v>
      </c>
      <c r="O152" s="457">
        <v>11489.28</v>
      </c>
      <c r="P152" s="457">
        <v>9469.68</v>
      </c>
      <c r="Q152" s="457">
        <v>10950.720000000001</v>
      </c>
      <c r="R152" s="457">
        <v>11515.52</v>
      </c>
      <c r="S152" s="457">
        <v>11520.84</v>
      </c>
      <c r="T152" s="462">
        <v>11026.08</v>
      </c>
      <c r="U152" s="462">
        <v>11497.28</v>
      </c>
      <c r="V152" s="462">
        <v>11120.319999999998</v>
      </c>
      <c r="W152" s="462">
        <v>11485.5</v>
      </c>
      <c r="X152" s="462">
        <v>29096.6</v>
      </c>
      <c r="Y152" s="462">
        <v>0</v>
      </c>
      <c r="Z152" s="339">
        <f t="shared" si="1216"/>
        <v>195614.81</v>
      </c>
      <c r="AA152" s="350"/>
      <c r="AB152" s="350"/>
      <c r="AC152" s="352">
        <f t="shared" si="1186"/>
        <v>0</v>
      </c>
      <c r="AD152" s="352">
        <f t="shared" si="1217"/>
        <v>6666.67</v>
      </c>
      <c r="AE152" s="352">
        <f t="shared" si="1217"/>
        <v>10500</v>
      </c>
      <c r="AF152" s="352">
        <f t="shared" si="1217"/>
        <v>10500</v>
      </c>
      <c r="AG152" s="352">
        <f t="shared" si="1217"/>
        <v>11489.28</v>
      </c>
      <c r="AH152" s="352">
        <f t="shared" si="1217"/>
        <v>11130.24</v>
      </c>
      <c r="AI152" s="352">
        <f t="shared" si="1217"/>
        <v>6103.68</v>
      </c>
      <c r="AJ152" s="352">
        <f t="shared" si="1217"/>
        <v>0</v>
      </c>
      <c r="AK152" s="447">
        <f t="shared" si="1217"/>
        <v>10053.119999999999</v>
      </c>
      <c r="AL152" s="352">
        <f t="shared" si="1217"/>
        <v>11489.28</v>
      </c>
      <c r="AM152" s="352">
        <f t="shared" si="1217"/>
        <v>9469.68</v>
      </c>
      <c r="AN152" s="339">
        <f t="shared" si="1217"/>
        <v>10950.720000000001</v>
      </c>
      <c r="AO152" s="339">
        <f t="shared" si="1217"/>
        <v>11515.52</v>
      </c>
      <c r="AP152" s="352">
        <f t="shared" si="1217"/>
        <v>11520.84</v>
      </c>
      <c r="AQ152" s="339">
        <f t="shared" si="1217"/>
        <v>11026.08</v>
      </c>
      <c r="AR152" s="352">
        <f t="shared" ref="AR152:AR153" si="1231">U152</f>
        <v>11497.28</v>
      </c>
      <c r="AS152" s="352">
        <f t="shared" ref="AS152:AS153" si="1232">V152</f>
        <v>11120.319999999998</v>
      </c>
      <c r="AT152" s="352">
        <f t="shared" ref="AT152:AT153" si="1233">W152</f>
        <v>11485.5</v>
      </c>
      <c r="AU152" s="352">
        <f t="shared" ref="AU152:AV153" si="1234">X152</f>
        <v>29096.6</v>
      </c>
      <c r="AV152" s="352">
        <f t="shared" si="1234"/>
        <v>0</v>
      </c>
      <c r="AW152" s="352"/>
      <c r="AX152" s="352">
        <f>IF(AX$144=$E152,SUM(AC152:AF152),0)</f>
        <v>0</v>
      </c>
      <c r="AY152" s="352">
        <v>42000</v>
      </c>
      <c r="AZ152" s="352">
        <f>IF(AZ$144=$E152,SUM(AE152:AH152),0)</f>
        <v>0</v>
      </c>
      <c r="BA152" s="352">
        <v>7000</v>
      </c>
      <c r="BB152" s="352">
        <f>IF(BB$144=$E152,SUM(AG152:AJ152),0)</f>
        <v>0</v>
      </c>
      <c r="BC152" s="352">
        <v>3440.43</v>
      </c>
      <c r="BD152" s="352">
        <v>3949.44</v>
      </c>
      <c r="BE152" s="352">
        <v>0</v>
      </c>
      <c r="BF152" s="352">
        <v>43758</v>
      </c>
      <c r="BG152" s="352">
        <v>0</v>
      </c>
      <c r="BH152" s="352">
        <v>0</v>
      </c>
      <c r="BI152" s="339">
        <v>1615.68</v>
      </c>
      <c r="BJ152" s="352">
        <v>22971</v>
      </c>
      <c r="BK152" s="339">
        <v>-329.84</v>
      </c>
      <c r="BL152" s="339">
        <v>45942</v>
      </c>
      <c r="BM152" s="352">
        <v>0</v>
      </c>
      <c r="BN152" s="352">
        <v>0</v>
      </c>
      <c r="BO152" s="352">
        <v>0</v>
      </c>
      <c r="BP152" s="352">
        <v>25268.1</v>
      </c>
      <c r="BQ152" s="352">
        <v>0</v>
      </c>
      <c r="BR152" s="466">
        <f t="shared" si="614"/>
        <v>0</v>
      </c>
    </row>
    <row r="153" spans="1:71" s="240" customFormat="1" ht="14.45" customHeight="1" outlineLevel="1" x14ac:dyDescent="0.25">
      <c r="A153" s="240" t="s">
        <v>140</v>
      </c>
      <c r="B153" s="241"/>
      <c r="C153" s="350"/>
      <c r="D153" s="352">
        <f>SUM(F153:Y153)</f>
        <v>143704.59</v>
      </c>
      <c r="E153" s="450" t="s">
        <v>192</v>
      </c>
      <c r="F153" s="457">
        <v>0</v>
      </c>
      <c r="G153" s="457">
        <v>1760</v>
      </c>
      <c r="H153" s="457">
        <v>4400</v>
      </c>
      <c r="I153" s="457">
        <v>0</v>
      </c>
      <c r="J153" s="457">
        <v>8981.92</v>
      </c>
      <c r="K153" s="457">
        <v>7628.48</v>
      </c>
      <c r="L153" s="457">
        <v>7136.32</v>
      </c>
      <c r="M153" s="457">
        <v>7351.64</v>
      </c>
      <c r="N153" s="457">
        <v>8059.12</v>
      </c>
      <c r="O153" s="457">
        <v>7382.4</v>
      </c>
      <c r="P153" s="457">
        <v>7653.76</v>
      </c>
      <c r="Q153" s="457">
        <v>8392.32</v>
      </c>
      <c r="R153" s="457">
        <v>7986.24</v>
      </c>
      <c r="S153" s="457">
        <v>8527.68</v>
      </c>
      <c r="T153" s="457">
        <v>9017.92</v>
      </c>
      <c r="U153" s="457">
        <v>9086.56</v>
      </c>
      <c r="V153" s="457">
        <v>8267.2800000000043</v>
      </c>
      <c r="W153" s="457">
        <v>9077.25</v>
      </c>
      <c r="X153" s="457">
        <v>22995.700000000004</v>
      </c>
      <c r="Y153" s="457">
        <v>0</v>
      </c>
      <c r="Z153" s="339">
        <f t="shared" si="1216"/>
        <v>143704.59</v>
      </c>
      <c r="AA153" s="350"/>
      <c r="AB153" s="350"/>
      <c r="AC153" s="352">
        <f t="shared" si="1186"/>
        <v>0</v>
      </c>
      <c r="AD153" s="352">
        <f t="shared" si="1217"/>
        <v>1760</v>
      </c>
      <c r="AE153" s="352">
        <f t="shared" si="1217"/>
        <v>4400</v>
      </c>
      <c r="AF153" s="352">
        <f t="shared" si="1217"/>
        <v>0</v>
      </c>
      <c r="AG153" s="352">
        <f t="shared" si="1217"/>
        <v>8981.92</v>
      </c>
      <c r="AH153" s="352">
        <f t="shared" si="1217"/>
        <v>7628.48</v>
      </c>
      <c r="AI153" s="352">
        <f t="shared" si="1217"/>
        <v>7136.32</v>
      </c>
      <c r="AJ153" s="352">
        <f t="shared" si="1217"/>
        <v>7351.64</v>
      </c>
      <c r="AK153" s="352">
        <f t="shared" si="1217"/>
        <v>8059.12</v>
      </c>
      <c r="AL153" s="352">
        <f t="shared" si="1217"/>
        <v>7382.4</v>
      </c>
      <c r="AM153" s="352">
        <f t="shared" si="1217"/>
        <v>7653.76</v>
      </c>
      <c r="AN153" s="352">
        <f t="shared" si="1217"/>
        <v>8392.32</v>
      </c>
      <c r="AO153" s="352">
        <f t="shared" si="1217"/>
        <v>7986.24</v>
      </c>
      <c r="AP153" s="352">
        <f t="shared" si="1217"/>
        <v>8527.68</v>
      </c>
      <c r="AQ153" s="352">
        <f t="shared" si="1217"/>
        <v>9017.92</v>
      </c>
      <c r="AR153" s="352">
        <f t="shared" si="1231"/>
        <v>9086.56</v>
      </c>
      <c r="AS153" s="352">
        <f t="shared" si="1232"/>
        <v>8267.2800000000043</v>
      </c>
      <c r="AT153" s="352">
        <f t="shared" si="1233"/>
        <v>9077.25</v>
      </c>
      <c r="AU153" s="352">
        <f t="shared" si="1234"/>
        <v>22995.700000000004</v>
      </c>
      <c r="AV153" s="352">
        <f t="shared" si="1234"/>
        <v>0</v>
      </c>
      <c r="AW153" s="352"/>
      <c r="AX153" s="352">
        <v>0</v>
      </c>
      <c r="AY153" s="352">
        <v>6160</v>
      </c>
      <c r="AZ153" s="352">
        <v>0</v>
      </c>
      <c r="BA153" s="352">
        <v>29991</v>
      </c>
      <c r="BB153" s="352">
        <v>0</v>
      </c>
      <c r="BC153" s="352">
        <v>0</v>
      </c>
      <c r="BD153" s="352">
        <v>0</v>
      </c>
      <c r="BE153" s="352">
        <v>18517.52</v>
      </c>
      <c r="BF153" s="352">
        <v>0</v>
      </c>
      <c r="BG153" s="352">
        <v>0</v>
      </c>
      <c r="BH153" s="447">
        <v>32994</v>
      </c>
      <c r="BI153" s="339">
        <v>0</v>
      </c>
      <c r="BJ153" s="352">
        <v>0</v>
      </c>
      <c r="BK153" s="339">
        <v>-236.88</v>
      </c>
      <c r="BL153" s="339">
        <v>36309</v>
      </c>
      <c r="BM153" s="352">
        <v>0</v>
      </c>
      <c r="BN153" s="352">
        <v>0</v>
      </c>
      <c r="BO153" s="352">
        <v>0</v>
      </c>
      <c r="BP153" s="352">
        <v>19969.95</v>
      </c>
      <c r="BQ153" s="352">
        <v>0</v>
      </c>
      <c r="BR153" s="376">
        <f>SUM(AC153:AV153)-SUM(AX153:BQ153)</f>
        <v>0</v>
      </c>
      <c r="BS153" s="237"/>
    </row>
    <row r="154" spans="1:71" s="240" customFormat="1" ht="14.45" customHeight="1" outlineLevel="1" x14ac:dyDescent="0.25">
      <c r="A154" s="240" t="s">
        <v>140</v>
      </c>
      <c r="B154" s="241"/>
      <c r="C154" s="350"/>
      <c r="D154" s="339">
        <f>SUM(F154:Y154)</f>
        <v>151000.41</v>
      </c>
      <c r="E154" s="450" t="s">
        <v>192</v>
      </c>
      <c r="F154" s="457"/>
      <c r="G154" s="457">
        <v>1760</v>
      </c>
      <c r="H154" s="457">
        <f>2200*3</f>
        <v>6600</v>
      </c>
      <c r="I154" s="457">
        <f t="shared" ref="I154" si="1235">2200*3</f>
        <v>6600</v>
      </c>
      <c r="J154" s="457">
        <v>7874.56</v>
      </c>
      <c r="K154" s="457">
        <v>7628.48</v>
      </c>
      <c r="L154" s="457">
        <v>6767.2</v>
      </c>
      <c r="M154" s="457">
        <v>7520.82</v>
      </c>
      <c r="N154" s="457">
        <v>7997.6</v>
      </c>
      <c r="O154" s="457">
        <v>7505.44</v>
      </c>
      <c r="P154" s="457">
        <v>7395.36</v>
      </c>
      <c r="Q154" s="457">
        <v>8121.6000000000013</v>
      </c>
      <c r="R154" s="457">
        <v>8392.32</v>
      </c>
      <c r="S154" s="457">
        <v>8392.32</v>
      </c>
      <c r="T154" s="457">
        <v>8720</v>
      </c>
      <c r="U154" s="457">
        <v>9086.56</v>
      </c>
      <c r="V154" s="457">
        <v>8565.2000000000025</v>
      </c>
      <c r="W154" s="457">
        <v>9077.25</v>
      </c>
      <c r="X154" s="457">
        <v>22995.700000000004</v>
      </c>
      <c r="Y154" s="457">
        <v>0</v>
      </c>
      <c r="Z154" s="339">
        <f t="shared" ref="Z154" si="1236">SUM(F154:Y154)</f>
        <v>151000.41</v>
      </c>
      <c r="AA154" s="350"/>
      <c r="AB154" s="350"/>
      <c r="AC154" s="352">
        <f t="shared" ref="AC154" si="1237">F154</f>
        <v>0</v>
      </c>
      <c r="AD154" s="352">
        <f t="shared" ref="AD154" si="1238">G154</f>
        <v>1760</v>
      </c>
      <c r="AE154" s="352">
        <f t="shared" ref="AE154" si="1239">H154</f>
        <v>6600</v>
      </c>
      <c r="AF154" s="352">
        <f t="shared" ref="AF154" si="1240">I154</f>
        <v>6600</v>
      </c>
      <c r="AG154" s="352">
        <f t="shared" ref="AG154" si="1241">J154</f>
        <v>7874.56</v>
      </c>
      <c r="AH154" s="352">
        <f t="shared" ref="AH154" si="1242">K154</f>
        <v>7628.48</v>
      </c>
      <c r="AI154" s="352">
        <f t="shared" ref="AI154" si="1243">L154</f>
        <v>6767.2</v>
      </c>
      <c r="AJ154" s="447">
        <f t="shared" ref="AJ154" si="1244">M154</f>
        <v>7520.82</v>
      </c>
      <c r="AK154" s="447">
        <f t="shared" ref="AK154" si="1245">N154</f>
        <v>7997.6</v>
      </c>
      <c r="AL154" s="352">
        <f t="shared" ref="AL154" si="1246">O154</f>
        <v>7505.44</v>
      </c>
      <c r="AM154" s="352">
        <f t="shared" ref="AM154" si="1247">P154</f>
        <v>7395.36</v>
      </c>
      <c r="AN154" s="339">
        <f t="shared" ref="AN154" si="1248">Q154</f>
        <v>8121.6000000000013</v>
      </c>
      <c r="AO154" s="339">
        <f t="shared" ref="AO154" si="1249">R154</f>
        <v>8392.32</v>
      </c>
      <c r="AP154" s="339">
        <f t="shared" ref="AP154" si="1250">S154</f>
        <v>8392.32</v>
      </c>
      <c r="AQ154" s="339">
        <f t="shared" ref="AQ154" si="1251">T154</f>
        <v>8720</v>
      </c>
      <c r="AR154" s="339">
        <f>U154</f>
        <v>9086.56</v>
      </c>
      <c r="AS154" s="339">
        <f t="shared" ref="AS154" si="1252">V154</f>
        <v>8565.2000000000025</v>
      </c>
      <c r="AT154" s="339">
        <f t="shared" ref="AT154" si="1253">W154</f>
        <v>9077.25</v>
      </c>
      <c r="AU154" s="339">
        <f t="shared" ref="AU154" si="1254">X154</f>
        <v>22995.700000000004</v>
      </c>
      <c r="AV154" s="339">
        <f t="shared" ref="AV154" si="1255">Y154</f>
        <v>0</v>
      </c>
      <c r="AW154" s="352"/>
      <c r="AX154" s="447">
        <f t="shared" ref="AX154" si="1256">IF(AX$144=$E154,SUM(AC154:AF154),0)</f>
        <v>0</v>
      </c>
      <c r="AY154" s="447">
        <v>32185.599999999999</v>
      </c>
      <c r="AZ154" s="447">
        <f>IF(AZ$144=$E154,SUM(AE154:AH154),0)</f>
        <v>0</v>
      </c>
      <c r="BA154" s="447">
        <f>IF(BA$144=$E154,SUM(AF154:AI154),0)</f>
        <v>0</v>
      </c>
      <c r="BB154" s="447">
        <f>IF(BB$144=$E154,SUM(AG154:AJ154),0)</f>
        <v>0</v>
      </c>
      <c r="BC154" s="447">
        <v>0</v>
      </c>
      <c r="BD154" s="447">
        <f>29991-76.9</f>
        <v>29914.1</v>
      </c>
      <c r="BE154" s="352">
        <f>IF(BE$144=$E154,SUM(AJ154:AM154),0)</f>
        <v>0</v>
      </c>
      <c r="BF154" s="352">
        <f>IF(BF$144=$E154,SUM(AK154:AN154),0)</f>
        <v>0</v>
      </c>
      <c r="BG154" s="352">
        <v>0</v>
      </c>
      <c r="BH154" s="447">
        <v>32994</v>
      </c>
      <c r="BI154" s="339">
        <f>IF(BI$144=$E154,SUM(AN154:AQ154),0)</f>
        <v>0</v>
      </c>
      <c r="BJ154" s="352">
        <v>0</v>
      </c>
      <c r="BK154" s="339">
        <v>-372.24</v>
      </c>
      <c r="BL154" s="339">
        <v>36309</v>
      </c>
      <c r="BM154" s="352">
        <v>0</v>
      </c>
      <c r="BN154" s="352">
        <v>0</v>
      </c>
      <c r="BO154" s="352">
        <v>0</v>
      </c>
      <c r="BP154" s="352">
        <v>19969.95</v>
      </c>
      <c r="BQ154" s="352">
        <v>0</v>
      </c>
      <c r="BR154" s="376">
        <f t="shared" ref="BR154" si="1257">SUM(AC154:AV154)-SUM(AX154:BQ154)</f>
        <v>0</v>
      </c>
    </row>
    <row r="155" spans="1:71" s="240" customFormat="1" ht="14.45" customHeight="1" outlineLevel="1" x14ac:dyDescent="0.25">
      <c r="A155" s="240" t="s">
        <v>140</v>
      </c>
      <c r="B155" s="241"/>
      <c r="C155" s="350"/>
      <c r="D155" s="352">
        <v>30000</v>
      </c>
      <c r="E155" s="450" t="s">
        <v>261</v>
      </c>
      <c r="F155" s="457"/>
      <c r="G155" s="457">
        <v>0</v>
      </c>
      <c r="H155" s="457">
        <v>0</v>
      </c>
      <c r="I155" s="457">
        <v>0</v>
      </c>
      <c r="J155" s="457">
        <v>0</v>
      </c>
      <c r="K155" s="457">
        <v>0</v>
      </c>
      <c r="L155" s="457">
        <v>0</v>
      </c>
      <c r="M155" s="457">
        <v>0</v>
      </c>
      <c r="N155" s="457">
        <v>0</v>
      </c>
      <c r="O155" s="457">
        <v>0</v>
      </c>
      <c r="P155" s="457">
        <v>0</v>
      </c>
      <c r="Q155" s="457">
        <v>0</v>
      </c>
      <c r="R155" s="457">
        <v>0</v>
      </c>
      <c r="S155" s="457">
        <v>0</v>
      </c>
      <c r="T155" s="457">
        <v>0</v>
      </c>
      <c r="U155" s="457">
        <v>0</v>
      </c>
      <c r="V155" s="457">
        <v>0</v>
      </c>
      <c r="W155" s="457">
        <v>15000</v>
      </c>
      <c r="X155" s="457">
        <v>15000</v>
      </c>
      <c r="Y155" s="457">
        <v>0</v>
      </c>
      <c r="Z155" s="339">
        <f t="shared" ref="Z155" si="1258">SUM(F155:Y155)</f>
        <v>30000</v>
      </c>
      <c r="AA155" s="350"/>
      <c r="AB155" s="350"/>
      <c r="AC155" s="352">
        <f t="shared" ref="AC155" si="1259">F155</f>
        <v>0</v>
      </c>
      <c r="AD155" s="352">
        <f t="shared" ref="AD155" si="1260">G155</f>
        <v>0</v>
      </c>
      <c r="AE155" s="352">
        <f t="shared" ref="AE155" si="1261">H155</f>
        <v>0</v>
      </c>
      <c r="AF155" s="352">
        <f t="shared" ref="AF155" si="1262">I155</f>
        <v>0</v>
      </c>
      <c r="AG155" s="352">
        <f t="shared" ref="AG155" si="1263">J155</f>
        <v>0</v>
      </c>
      <c r="AH155" s="352">
        <f t="shared" ref="AH155" si="1264">K155</f>
        <v>0</v>
      </c>
      <c r="AI155" s="352">
        <f t="shared" ref="AI155" si="1265">L155</f>
        <v>0</v>
      </c>
      <c r="AJ155" s="447">
        <f t="shared" ref="AJ155" si="1266">M155</f>
        <v>0</v>
      </c>
      <c r="AK155" s="447">
        <f t="shared" ref="AK155" si="1267">N155</f>
        <v>0</v>
      </c>
      <c r="AL155" s="352">
        <f t="shared" ref="AL155" si="1268">O155</f>
        <v>0</v>
      </c>
      <c r="AM155" s="352">
        <f t="shared" ref="AM155" si="1269">P155</f>
        <v>0</v>
      </c>
      <c r="AN155" s="339">
        <f t="shared" ref="AN155" si="1270">Q155</f>
        <v>0</v>
      </c>
      <c r="AO155" s="339">
        <f t="shared" ref="AO155" si="1271">R155</f>
        <v>0</v>
      </c>
      <c r="AP155" s="339">
        <f t="shared" ref="AP155" si="1272">S155</f>
        <v>0</v>
      </c>
      <c r="AQ155" s="339">
        <f t="shared" ref="AQ155:AQ156" si="1273">T155</f>
        <v>0</v>
      </c>
      <c r="AR155" s="339">
        <f t="shared" ref="AR155" si="1274">U155</f>
        <v>0</v>
      </c>
      <c r="AS155" s="339">
        <f t="shared" ref="AS155" si="1275">V155</f>
        <v>0</v>
      </c>
      <c r="AT155" s="339">
        <f t="shared" ref="AT155" si="1276">W155</f>
        <v>15000</v>
      </c>
      <c r="AU155" s="339">
        <f t="shared" ref="AU155" si="1277">X155</f>
        <v>15000</v>
      </c>
      <c r="AV155" s="339">
        <f t="shared" ref="AV155" si="1278">Y155</f>
        <v>0</v>
      </c>
      <c r="AW155" s="352"/>
      <c r="AX155" s="447">
        <f t="shared" ref="AX155" si="1279">IF(AX$144=$E155,SUM(AC155:AF155),0)</f>
        <v>0</v>
      </c>
      <c r="AY155" s="447">
        <v>0</v>
      </c>
      <c r="AZ155" s="447">
        <f t="shared" ref="AZ155" si="1280">IF(AZ$144=$E155,SUM(AE155:AH155),0)</f>
        <v>0</v>
      </c>
      <c r="BA155" s="447">
        <f t="shared" ref="BA155" si="1281">IF(BA$144=$E155,SUM(AF155:AI155),0)</f>
        <v>0</v>
      </c>
      <c r="BB155" s="447">
        <f t="shared" ref="BB155" si="1282">IF(BB$144=$E155,SUM(AG155:AJ155),0)</f>
        <v>0</v>
      </c>
      <c r="BC155" s="447">
        <v>0</v>
      </c>
      <c r="BD155" s="447">
        <v>0</v>
      </c>
      <c r="BE155" s="352">
        <f t="shared" ref="BE155" si="1283">IF(BE$144=$E155,SUM(AJ155:AM155),0)</f>
        <v>0</v>
      </c>
      <c r="BF155" s="352">
        <f t="shared" ref="BF155" si="1284">IF(BF$144=$E155,SUM(AK155:AN155),0)</f>
        <v>0</v>
      </c>
      <c r="BG155" s="352">
        <v>0</v>
      </c>
      <c r="BH155" s="447"/>
      <c r="BI155" s="339">
        <f t="shared" ref="BI155" si="1285">IF(BI$144=$E155,SUM(AN155:AQ155),0)</f>
        <v>0</v>
      </c>
      <c r="BJ155" s="352">
        <v>0</v>
      </c>
      <c r="BK155" s="339">
        <v>0</v>
      </c>
      <c r="BL155" s="339">
        <v>0</v>
      </c>
      <c r="BM155" s="352">
        <v>0</v>
      </c>
      <c r="BN155" s="352">
        <v>30000</v>
      </c>
      <c r="BO155" s="352">
        <v>0</v>
      </c>
      <c r="BP155" s="352">
        <v>0</v>
      </c>
      <c r="BQ155" s="352">
        <v>0</v>
      </c>
      <c r="BR155" s="376">
        <f t="shared" ref="BR155" si="1286">SUM(AC155:AV155)-SUM(AX155:BQ155)</f>
        <v>0</v>
      </c>
    </row>
    <row r="156" spans="1:71" s="240" customFormat="1" ht="14.45" customHeight="1" x14ac:dyDescent="0.25">
      <c r="A156" s="240" t="s">
        <v>143</v>
      </c>
      <c r="B156" s="241"/>
      <c r="C156" s="350"/>
      <c r="D156" s="352">
        <v>6802.75</v>
      </c>
      <c r="E156" s="350" t="s">
        <v>237</v>
      </c>
      <c r="F156" s="351"/>
      <c r="G156" s="351">
        <v>0</v>
      </c>
      <c r="H156" s="351">
        <v>0</v>
      </c>
      <c r="I156" s="351">
        <v>0</v>
      </c>
      <c r="J156" s="450"/>
      <c r="K156" s="450"/>
      <c r="L156" s="450">
        <v>0</v>
      </c>
      <c r="M156" s="450">
        <v>0</v>
      </c>
      <c r="N156" s="450">
        <v>0</v>
      </c>
      <c r="O156" s="460">
        <v>1</v>
      </c>
      <c r="P156" s="450"/>
      <c r="Q156" s="450"/>
      <c r="R156" s="450"/>
      <c r="S156" s="450"/>
      <c r="T156" s="450"/>
      <c r="U156" s="450"/>
      <c r="V156" s="450"/>
      <c r="W156" s="450"/>
      <c r="X156" s="450"/>
      <c r="Y156" s="450"/>
      <c r="Z156" s="449">
        <f t="shared" si="1216"/>
        <v>1</v>
      </c>
      <c r="AA156" s="350"/>
      <c r="AB156" s="350"/>
      <c r="AC156" s="352">
        <f t="shared" ref="AC156:AU156" si="1287">F156*$D156</f>
        <v>0</v>
      </c>
      <c r="AD156" s="339">
        <f t="shared" si="1287"/>
        <v>0</v>
      </c>
      <c r="AE156" s="352">
        <f t="shared" si="1287"/>
        <v>0</v>
      </c>
      <c r="AF156" s="352">
        <f t="shared" si="1287"/>
        <v>0</v>
      </c>
      <c r="AG156" s="352">
        <f t="shared" si="1287"/>
        <v>0</v>
      </c>
      <c r="AH156" s="352">
        <f t="shared" si="1287"/>
        <v>0</v>
      </c>
      <c r="AI156" s="352">
        <f t="shared" si="1287"/>
        <v>0</v>
      </c>
      <c r="AJ156" s="352">
        <f t="shared" si="1287"/>
        <v>0</v>
      </c>
      <c r="AK156" s="447">
        <f t="shared" si="1287"/>
        <v>0</v>
      </c>
      <c r="AL156" s="339">
        <f t="shared" si="1287"/>
        <v>6802.75</v>
      </c>
      <c r="AM156" s="352">
        <f t="shared" si="1287"/>
        <v>0</v>
      </c>
      <c r="AN156" s="339">
        <f t="shared" si="1287"/>
        <v>0</v>
      </c>
      <c r="AO156" s="352">
        <f t="shared" si="1287"/>
        <v>0</v>
      </c>
      <c r="AP156" s="339">
        <f t="shared" si="1287"/>
        <v>0</v>
      </c>
      <c r="AQ156" s="339">
        <f t="shared" si="1273"/>
        <v>0</v>
      </c>
      <c r="AR156" s="352">
        <f t="shared" si="1287"/>
        <v>0</v>
      </c>
      <c r="AS156" s="352">
        <f t="shared" si="1287"/>
        <v>0</v>
      </c>
      <c r="AT156" s="352">
        <f t="shared" si="1287"/>
        <v>0</v>
      </c>
      <c r="AU156" s="352">
        <f t="shared" si="1287"/>
        <v>0</v>
      </c>
      <c r="AV156" s="352"/>
      <c r="AW156" s="352"/>
      <c r="AX156" s="352">
        <f t="shared" ref="AX156:BQ156" si="1288">IF(AX$3=$E156,$D156,0)</f>
        <v>0</v>
      </c>
      <c r="AY156" s="352">
        <f t="shared" si="1288"/>
        <v>0</v>
      </c>
      <c r="AZ156" s="352">
        <f t="shared" si="1288"/>
        <v>0</v>
      </c>
      <c r="BA156" s="352">
        <f t="shared" si="1288"/>
        <v>0</v>
      </c>
      <c r="BB156" s="352">
        <f t="shared" si="1288"/>
        <v>0</v>
      </c>
      <c r="BC156" s="352">
        <f t="shared" si="1288"/>
        <v>0</v>
      </c>
      <c r="BD156" s="352">
        <f t="shared" si="1288"/>
        <v>0</v>
      </c>
      <c r="BE156" s="352">
        <f t="shared" si="1288"/>
        <v>0</v>
      </c>
      <c r="BF156" s="352">
        <f t="shared" si="1288"/>
        <v>0</v>
      </c>
      <c r="BG156" s="352">
        <f t="shared" si="1288"/>
        <v>6802.75</v>
      </c>
      <c r="BH156" s="352">
        <f t="shared" si="1288"/>
        <v>0</v>
      </c>
      <c r="BI156" s="352">
        <f t="shared" si="1288"/>
        <v>0</v>
      </c>
      <c r="BJ156" s="352">
        <f t="shared" si="1288"/>
        <v>0</v>
      </c>
      <c r="BK156" s="352">
        <f t="shared" si="1288"/>
        <v>0</v>
      </c>
      <c r="BL156" s="352">
        <f t="shared" si="1288"/>
        <v>0</v>
      </c>
      <c r="BM156" s="352">
        <f t="shared" si="1288"/>
        <v>0</v>
      </c>
      <c r="BN156" s="352">
        <f t="shared" si="1288"/>
        <v>0</v>
      </c>
      <c r="BO156" s="352">
        <f t="shared" si="1288"/>
        <v>0</v>
      </c>
      <c r="BP156" s="352">
        <f t="shared" si="1288"/>
        <v>0</v>
      </c>
      <c r="BQ156" s="352">
        <f t="shared" si="1288"/>
        <v>0</v>
      </c>
      <c r="BR156" s="376">
        <f t="shared" si="614"/>
        <v>0</v>
      </c>
    </row>
    <row r="157" spans="1:71" s="240" customFormat="1" ht="14.45" customHeight="1" outlineLevel="1" x14ac:dyDescent="0.25">
      <c r="A157" s="240" t="s">
        <v>140</v>
      </c>
      <c r="B157" s="241"/>
      <c r="C157" s="350"/>
      <c r="D157" s="352">
        <f>SUM(F157:Y157)</f>
        <v>42720.884999999995</v>
      </c>
      <c r="E157" s="450" t="s">
        <v>257</v>
      </c>
      <c r="F157" s="457"/>
      <c r="G157" s="457"/>
      <c r="H157" s="457"/>
      <c r="I157" s="457">
        <v>0</v>
      </c>
      <c r="J157" s="457">
        <v>0</v>
      </c>
      <c r="K157" s="457">
        <v>0</v>
      </c>
      <c r="L157" s="457">
        <v>0</v>
      </c>
      <c r="M157" s="457">
        <v>0</v>
      </c>
      <c r="N157" s="457">
        <v>0</v>
      </c>
      <c r="O157" s="457">
        <v>0</v>
      </c>
      <c r="P157" s="457">
        <v>0</v>
      </c>
      <c r="Q157" s="457">
        <v>0</v>
      </c>
      <c r="R157" s="457">
        <v>0</v>
      </c>
      <c r="S157" s="457">
        <v>2741.04</v>
      </c>
      <c r="T157" s="462">
        <v>6015.06</v>
      </c>
      <c r="U157" s="462">
        <v>6192.72</v>
      </c>
      <c r="V157" s="462">
        <v>5913.5399999999981</v>
      </c>
      <c r="W157" s="462">
        <v>6186.375</v>
      </c>
      <c r="X157" s="462">
        <v>15672.150000000001</v>
      </c>
      <c r="Y157" s="462">
        <v>0</v>
      </c>
      <c r="Z157" s="339">
        <f t="shared" si="1216"/>
        <v>42720.884999999995</v>
      </c>
      <c r="AA157" s="350"/>
      <c r="AB157" s="350"/>
      <c r="AC157" s="352">
        <f t="shared" ref="AC157" si="1289">F157</f>
        <v>0</v>
      </c>
      <c r="AD157" s="352">
        <f t="shared" ref="AD157" si="1290">G157</f>
        <v>0</v>
      </c>
      <c r="AE157" s="352">
        <f t="shared" ref="AE157" si="1291">H157</f>
        <v>0</v>
      </c>
      <c r="AF157" s="352">
        <f t="shared" ref="AF157" si="1292">I157</f>
        <v>0</v>
      </c>
      <c r="AG157" s="352">
        <f t="shared" ref="AG157" si="1293">J157</f>
        <v>0</v>
      </c>
      <c r="AH157" s="352">
        <f t="shared" ref="AH157" si="1294">K157</f>
        <v>0</v>
      </c>
      <c r="AI157" s="352">
        <f t="shared" ref="AI157" si="1295">L157</f>
        <v>0</v>
      </c>
      <c r="AJ157" s="447">
        <f t="shared" ref="AJ157" si="1296">M157</f>
        <v>0</v>
      </c>
      <c r="AK157" s="447">
        <f t="shared" ref="AK157" si="1297">N157</f>
        <v>0</v>
      </c>
      <c r="AL157" s="352">
        <f t="shared" ref="AL157" si="1298">O157</f>
        <v>0</v>
      </c>
      <c r="AM157" s="352">
        <f t="shared" ref="AM157" si="1299">P157</f>
        <v>0</v>
      </c>
      <c r="AN157" s="339">
        <f t="shared" ref="AN157" si="1300">Q157</f>
        <v>0</v>
      </c>
      <c r="AO157" s="339">
        <f t="shared" ref="AO157" si="1301">R157</f>
        <v>0</v>
      </c>
      <c r="AP157" s="339">
        <f t="shared" ref="AP157" si="1302">S157</f>
        <v>2741.04</v>
      </c>
      <c r="AQ157" s="339">
        <f t="shared" ref="AQ157" si="1303">T157</f>
        <v>6015.06</v>
      </c>
      <c r="AR157" s="352">
        <f>U157</f>
        <v>6192.72</v>
      </c>
      <c r="AS157" s="352">
        <f t="shared" ref="AS157" si="1304">V157</f>
        <v>5913.5399999999981</v>
      </c>
      <c r="AT157" s="352">
        <f t="shared" ref="AT157" si="1305">W157</f>
        <v>6186.375</v>
      </c>
      <c r="AU157" s="352">
        <f t="shared" ref="AU157" si="1306">X157</f>
        <v>15672.150000000001</v>
      </c>
      <c r="AV157" s="352">
        <f t="shared" ref="AV157" si="1307">Y157</f>
        <v>0</v>
      </c>
      <c r="AW157" s="352"/>
      <c r="AX157" s="352">
        <f t="shared" ref="AX157" si="1308">IF(AX$144=$E157,SUM(AC157:AF157),0)</f>
        <v>0</v>
      </c>
      <c r="AY157" s="352">
        <f t="shared" ref="AY157" si="1309">IF(AY$144=$E157,SUM(AD157:AG157),0)</f>
        <v>0</v>
      </c>
      <c r="AZ157" s="352">
        <f t="shared" ref="AZ157" si="1310">IF(AZ$144=$E157,SUM(AE157:AH157),0)</f>
        <v>0</v>
      </c>
      <c r="BA157" s="352">
        <f t="shared" ref="BA157" si="1311">IF(BA$144=$E157,SUM(AF157:AI157),0)</f>
        <v>0</v>
      </c>
      <c r="BB157" s="352">
        <f t="shared" ref="BB157" si="1312">IF(BB$144=$E157,SUM(AG157:AJ157),0)</f>
        <v>0</v>
      </c>
      <c r="BC157" s="352">
        <f t="shared" ref="BC157" si="1313">IF(BC$144=$E157,SUM(AH157:AK157),0)</f>
        <v>0</v>
      </c>
      <c r="BD157" s="352">
        <f t="shared" ref="BD157" si="1314">IF(BD$144=$E157,SUM(AI157:AL157),0)</f>
        <v>0</v>
      </c>
      <c r="BE157" s="352">
        <f t="shared" ref="BE157" si="1315">IF(BE$144=$E157,SUM(AJ157:AM157),0)</f>
        <v>0</v>
      </c>
      <c r="BF157" s="352">
        <f t="shared" ref="BF157" si="1316">IF(BF$144=$E157,SUM(AK157:AN157),0)</f>
        <v>0</v>
      </c>
      <c r="BG157" s="352">
        <f t="shared" ref="BG157" si="1317">IF(BG$144=$E157,SUM(AL157:AO157),0)</f>
        <v>0</v>
      </c>
      <c r="BH157" s="352">
        <v>0</v>
      </c>
      <c r="BI157" s="352">
        <v>0</v>
      </c>
      <c r="BJ157" s="352">
        <v>0</v>
      </c>
      <c r="BK157" s="339">
        <v>4365.3599999999997</v>
      </c>
      <c r="BL157" s="339">
        <v>24745.5</v>
      </c>
      <c r="BM157" s="352">
        <v>0</v>
      </c>
      <c r="BN157" s="352">
        <v>0</v>
      </c>
      <c r="BO157" s="352">
        <v>0</v>
      </c>
      <c r="BP157" s="352">
        <v>13610.025000000001</v>
      </c>
      <c r="BQ157" s="352">
        <v>0</v>
      </c>
      <c r="BR157" s="376">
        <f>SUM(AC157:AV157)-SUM(AX157:BQ157)</f>
        <v>0</v>
      </c>
      <c r="BS157" s="408"/>
    </row>
    <row r="158" spans="1:71" s="240" customFormat="1" ht="14.45" customHeight="1" outlineLevel="1" x14ac:dyDescent="0.25">
      <c r="A158" s="240" t="s">
        <v>140</v>
      </c>
      <c r="B158" s="241"/>
      <c r="C158" s="350"/>
      <c r="D158" s="352">
        <f>SUM(F158:Y158)</f>
        <v>55203.925000000003</v>
      </c>
      <c r="E158" s="450" t="s">
        <v>228</v>
      </c>
      <c r="F158" s="457"/>
      <c r="G158" s="457"/>
      <c r="H158" s="457"/>
      <c r="I158" s="457">
        <v>0</v>
      </c>
      <c r="J158" s="457">
        <v>0</v>
      </c>
      <c r="K158" s="457">
        <v>0</v>
      </c>
      <c r="L158" s="457">
        <v>0</v>
      </c>
      <c r="M158" s="457">
        <v>0</v>
      </c>
      <c r="N158" s="457">
        <v>0</v>
      </c>
      <c r="O158" s="457">
        <v>0</v>
      </c>
      <c r="P158" s="457">
        <v>0</v>
      </c>
      <c r="Q158" s="457">
        <v>3785.12</v>
      </c>
      <c r="R158" s="457">
        <v>5677.68</v>
      </c>
      <c r="S158" s="457">
        <v>5631.52</v>
      </c>
      <c r="T158" s="462">
        <v>6424</v>
      </c>
      <c r="U158" s="462">
        <v>6192.72</v>
      </c>
      <c r="V158" s="462">
        <v>5634.3600000000015</v>
      </c>
      <c r="W158" s="462">
        <v>6186.375</v>
      </c>
      <c r="X158" s="462">
        <v>15672.150000000001</v>
      </c>
      <c r="Y158" s="462">
        <v>0</v>
      </c>
      <c r="Z158" s="339">
        <f t="shared" si="1216"/>
        <v>55203.925000000003</v>
      </c>
      <c r="AA158" s="350"/>
      <c r="AB158" s="350"/>
      <c r="AC158" s="352">
        <f t="shared" ref="AC158" si="1318">F158</f>
        <v>0</v>
      </c>
      <c r="AD158" s="352">
        <f t="shared" ref="AD158" si="1319">G158</f>
        <v>0</v>
      </c>
      <c r="AE158" s="352">
        <f t="shared" ref="AE158" si="1320">H158</f>
        <v>0</v>
      </c>
      <c r="AF158" s="352">
        <f t="shared" ref="AF158" si="1321">I158</f>
        <v>0</v>
      </c>
      <c r="AG158" s="352">
        <f t="shared" ref="AG158" si="1322">J158</f>
        <v>0</v>
      </c>
      <c r="AH158" s="352">
        <f t="shared" ref="AH158" si="1323">K158</f>
        <v>0</v>
      </c>
      <c r="AI158" s="352">
        <f t="shared" ref="AI158" si="1324">L158</f>
        <v>0</v>
      </c>
      <c r="AJ158" s="447">
        <f t="shared" ref="AJ158" si="1325">M158</f>
        <v>0</v>
      </c>
      <c r="AK158" s="447">
        <f t="shared" ref="AK158" si="1326">N158</f>
        <v>0</v>
      </c>
      <c r="AL158" s="352">
        <f t="shared" ref="AL158" si="1327">O158</f>
        <v>0</v>
      </c>
      <c r="AM158" s="352">
        <f t="shared" ref="AM158" si="1328">P158</f>
        <v>0</v>
      </c>
      <c r="AN158" s="339">
        <f t="shared" ref="AN158" si="1329">Q158</f>
        <v>3785.12</v>
      </c>
      <c r="AO158" s="339">
        <f t="shared" ref="AO158" si="1330">R158</f>
        <v>5677.68</v>
      </c>
      <c r="AP158" s="352">
        <f t="shared" ref="AP158" si="1331">S158</f>
        <v>5631.52</v>
      </c>
      <c r="AQ158" s="339">
        <f t="shared" ref="AQ158" si="1332">T158</f>
        <v>6424</v>
      </c>
      <c r="AR158" s="352">
        <f>U158</f>
        <v>6192.72</v>
      </c>
      <c r="AS158" s="352">
        <f t="shared" ref="AS158" si="1333">V158</f>
        <v>5634.3600000000015</v>
      </c>
      <c r="AT158" s="352">
        <f t="shared" ref="AT158" si="1334">W158</f>
        <v>6186.375</v>
      </c>
      <c r="AU158" s="352">
        <f t="shared" ref="AU158:AV158" si="1335">X158</f>
        <v>15672.150000000001</v>
      </c>
      <c r="AV158" s="352">
        <f t="shared" si="1335"/>
        <v>0</v>
      </c>
      <c r="AW158" s="352"/>
      <c r="AX158" s="352">
        <f t="shared" ref="AX158" si="1336">IF(AX$144=$E158,SUM(AC158:AF158),0)</f>
        <v>0</v>
      </c>
      <c r="AY158" s="352">
        <f t="shared" ref="AY158" si="1337">IF(AY$144=$E158,SUM(AD158:AG158),0)</f>
        <v>0</v>
      </c>
      <c r="AZ158" s="352">
        <f t="shared" ref="AZ158:BG158" si="1338">IF(AZ$144=$E158,SUM(AE158:AH158),0)</f>
        <v>0</v>
      </c>
      <c r="BA158" s="352">
        <f t="shared" si="1338"/>
        <v>0</v>
      </c>
      <c r="BB158" s="352">
        <f t="shared" si="1338"/>
        <v>0</v>
      </c>
      <c r="BC158" s="352">
        <f t="shared" si="1338"/>
        <v>0</v>
      </c>
      <c r="BD158" s="352">
        <f t="shared" si="1338"/>
        <v>0</v>
      </c>
      <c r="BE158" s="352">
        <f t="shared" si="1338"/>
        <v>0</v>
      </c>
      <c r="BF158" s="352">
        <f t="shared" si="1338"/>
        <v>0</v>
      </c>
      <c r="BG158" s="352">
        <f t="shared" si="1338"/>
        <v>0</v>
      </c>
      <c r="BH158" s="352">
        <v>0</v>
      </c>
      <c r="BI158" s="339">
        <f>16877.25+5625.75</f>
        <v>22503</v>
      </c>
      <c r="BJ158" s="352">
        <v>0</v>
      </c>
      <c r="BK158" s="339">
        <v>-5654.6</v>
      </c>
      <c r="BL158" s="339">
        <v>24745.5</v>
      </c>
      <c r="BM158" s="352">
        <v>0</v>
      </c>
      <c r="BN158" s="352">
        <v>0</v>
      </c>
      <c r="BO158" s="352">
        <v>0</v>
      </c>
      <c r="BP158" s="352">
        <v>13610.025000000001</v>
      </c>
      <c r="BQ158" s="352">
        <v>0</v>
      </c>
      <c r="BR158" s="464">
        <f>SUM(AC158:AV158)-SUM(AX158:BQ158)</f>
        <v>0</v>
      </c>
      <c r="BS158" s="408"/>
    </row>
    <row r="159" spans="1:71" s="240" customFormat="1" ht="14.45" customHeight="1" x14ac:dyDescent="0.25">
      <c r="A159" s="240" t="s">
        <v>143</v>
      </c>
      <c r="B159" s="241"/>
      <c r="C159" s="350"/>
      <c r="D159" s="447">
        <v>36750</v>
      </c>
      <c r="E159" s="350" t="s">
        <v>257</v>
      </c>
      <c r="F159" s="450"/>
      <c r="G159" s="450"/>
      <c r="H159" s="450"/>
      <c r="I159" s="351"/>
      <c r="J159" s="351">
        <v>0</v>
      </c>
      <c r="K159" s="351"/>
      <c r="L159" s="351"/>
      <c r="M159" s="351"/>
      <c r="N159" s="450"/>
      <c r="O159" s="450"/>
      <c r="P159" s="450">
        <v>0</v>
      </c>
      <c r="Q159" s="451">
        <v>0</v>
      </c>
      <c r="R159" s="451">
        <v>8.7619047619047624E-2</v>
      </c>
      <c r="S159" s="451">
        <v>0.22857142857142856</v>
      </c>
      <c r="T159" s="451">
        <v>0</v>
      </c>
      <c r="U159" s="351">
        <v>0.24489795918367346</v>
      </c>
      <c r="V159" s="351">
        <f>1-U159-T159-S159-R159</f>
        <v>0.43891156462585035</v>
      </c>
      <c r="W159" s="450"/>
      <c r="X159" s="450"/>
      <c r="Y159" s="450"/>
      <c r="Z159" s="449">
        <f t="shared" si="1216"/>
        <v>1</v>
      </c>
      <c r="AA159" s="350"/>
      <c r="AB159" s="350"/>
      <c r="AC159" s="447">
        <f t="shared" ref="AC159" si="1339">F159*$D159</f>
        <v>0</v>
      </c>
      <c r="AD159" s="339">
        <f t="shared" ref="AD159" si="1340">G159*$D159</f>
        <v>0</v>
      </c>
      <c r="AE159" s="447">
        <f t="shared" ref="AE159" si="1341">H159*$D159</f>
        <v>0</v>
      </c>
      <c r="AF159" s="447">
        <f t="shared" ref="AF159" si="1342">I159*$D159</f>
        <v>0</v>
      </c>
      <c r="AG159" s="447">
        <f t="shared" ref="AG159" si="1343">J159*$D159</f>
        <v>0</v>
      </c>
      <c r="AH159" s="447">
        <f t="shared" ref="AH159" si="1344">K159*$D159</f>
        <v>0</v>
      </c>
      <c r="AI159" s="447">
        <f t="shared" ref="AI159" si="1345">L159*$D159</f>
        <v>0</v>
      </c>
      <c r="AJ159" s="447">
        <f t="shared" ref="AJ159" si="1346">M159*$D159</f>
        <v>0</v>
      </c>
      <c r="AK159" s="447">
        <f t="shared" ref="AK159" si="1347">N159*$D159</f>
        <v>0</v>
      </c>
      <c r="AL159" s="339">
        <f t="shared" ref="AL159" si="1348">O159*$D159</f>
        <v>0</v>
      </c>
      <c r="AM159" s="459">
        <f t="shared" ref="AM159" si="1349">P159*$D159</f>
        <v>0</v>
      </c>
      <c r="AN159" s="339">
        <f t="shared" ref="AN159" si="1350">Q159*$D159</f>
        <v>0</v>
      </c>
      <c r="AO159" s="339">
        <f t="shared" ref="AO159" si="1351">R159*$D159</f>
        <v>3220</v>
      </c>
      <c r="AP159" s="339">
        <f t="shared" ref="AP159" si="1352">S159*$D159</f>
        <v>8400</v>
      </c>
      <c r="AQ159" s="339">
        <f t="shared" ref="AQ159" si="1353">T159*$D159</f>
        <v>0</v>
      </c>
      <c r="AR159" s="339">
        <f t="shared" ref="AR159" si="1354">U159*$D159</f>
        <v>9000</v>
      </c>
      <c r="AS159" s="352">
        <f t="shared" ref="AS159" si="1355">V159*$D159</f>
        <v>16130</v>
      </c>
      <c r="AT159" s="352">
        <f t="shared" ref="AT159" si="1356">W159*$D159</f>
        <v>0</v>
      </c>
      <c r="AU159" s="352">
        <f t="shared" ref="AU159" si="1357">X159*$D159</f>
        <v>0</v>
      </c>
      <c r="AV159" s="352"/>
      <c r="AW159" s="352"/>
      <c r="AX159" s="352">
        <f t="shared" ref="AX159:BQ159" si="1358">IF(AX$3=$E159,$D159,0)</f>
        <v>0</v>
      </c>
      <c r="AY159" s="352">
        <f t="shared" si="1358"/>
        <v>0</v>
      </c>
      <c r="AZ159" s="352">
        <f t="shared" si="1358"/>
        <v>0</v>
      </c>
      <c r="BA159" s="352">
        <f t="shared" si="1358"/>
        <v>0</v>
      </c>
      <c r="BB159" s="352">
        <f t="shared" si="1358"/>
        <v>0</v>
      </c>
      <c r="BC159" s="352">
        <f t="shared" si="1358"/>
        <v>0</v>
      </c>
      <c r="BD159" s="352">
        <f t="shared" si="1358"/>
        <v>0</v>
      </c>
      <c r="BE159" s="352">
        <f t="shared" si="1358"/>
        <v>0</v>
      </c>
      <c r="BF159" s="352">
        <f t="shared" si="1358"/>
        <v>0</v>
      </c>
      <c r="BG159" s="352">
        <f t="shared" si="1358"/>
        <v>0</v>
      </c>
      <c r="BH159" s="352">
        <f t="shared" si="1358"/>
        <v>0</v>
      </c>
      <c r="BI159" s="352">
        <f t="shared" si="1358"/>
        <v>0</v>
      </c>
      <c r="BJ159" s="352">
        <f t="shared" si="1358"/>
        <v>36750</v>
      </c>
      <c r="BK159" s="352">
        <f t="shared" si="1358"/>
        <v>0</v>
      </c>
      <c r="BL159" s="352">
        <f t="shared" si="1358"/>
        <v>0</v>
      </c>
      <c r="BM159" s="352">
        <f t="shared" si="1358"/>
        <v>0</v>
      </c>
      <c r="BN159" s="352">
        <f t="shared" si="1358"/>
        <v>0</v>
      </c>
      <c r="BO159" s="352">
        <f t="shared" si="1358"/>
        <v>0</v>
      </c>
      <c r="BP159" s="352">
        <f t="shared" si="1358"/>
        <v>0</v>
      </c>
      <c r="BQ159" s="352">
        <f t="shared" si="1358"/>
        <v>0</v>
      </c>
      <c r="BR159" s="376">
        <f t="shared" si="614"/>
        <v>0</v>
      </c>
      <c r="BS159" s="408"/>
    </row>
    <row r="160" spans="1:71" s="240" customFormat="1" ht="14.45" customHeight="1" x14ac:dyDescent="0.25">
      <c r="A160" s="240" t="s">
        <v>128</v>
      </c>
      <c r="C160" s="350"/>
      <c r="D160" s="447">
        <v>318.43</v>
      </c>
      <c r="E160" s="448" t="s">
        <v>216</v>
      </c>
      <c r="F160" s="450"/>
      <c r="G160" s="450"/>
      <c r="H160" s="450"/>
      <c r="I160" s="450"/>
      <c r="J160" s="450"/>
      <c r="K160" s="351">
        <v>0</v>
      </c>
      <c r="L160" s="351">
        <v>0</v>
      </c>
      <c r="M160" s="351">
        <v>1</v>
      </c>
      <c r="N160" s="351">
        <v>0</v>
      </c>
      <c r="O160" s="351">
        <v>0</v>
      </c>
      <c r="P160" s="351">
        <v>0</v>
      </c>
      <c r="Q160" s="351">
        <v>0</v>
      </c>
      <c r="R160" s="351">
        <v>0</v>
      </c>
      <c r="S160" s="351">
        <v>0</v>
      </c>
      <c r="T160" s="351">
        <v>0</v>
      </c>
      <c r="U160" s="351">
        <v>0</v>
      </c>
      <c r="V160" s="351"/>
      <c r="W160" s="351"/>
      <c r="X160" s="351"/>
      <c r="Y160" s="351"/>
      <c r="Z160" s="449">
        <f t="shared" ref="Z160" si="1359">SUM(F160:U160)</f>
        <v>1</v>
      </c>
      <c r="AA160" s="350"/>
      <c r="AB160" s="350"/>
      <c r="AC160" s="339">
        <f t="shared" ref="AC160" si="1360">F160*$D160</f>
        <v>0</v>
      </c>
      <c r="AD160" s="339">
        <f t="shared" ref="AD160" si="1361">G160*$D160</f>
        <v>0</v>
      </c>
      <c r="AE160" s="339">
        <f t="shared" ref="AE160" si="1362">H160*$D160</f>
        <v>0</v>
      </c>
      <c r="AF160" s="339">
        <f t="shared" ref="AF160" si="1363">I160*$D160</f>
        <v>0</v>
      </c>
      <c r="AG160" s="339">
        <f>J160*$D160</f>
        <v>0</v>
      </c>
      <c r="AH160" s="339">
        <f>K160*$D160</f>
        <v>0</v>
      </c>
      <c r="AI160" s="339">
        <f t="shared" ref="AI160" si="1364">L160*$D160</f>
        <v>0</v>
      </c>
      <c r="AJ160" s="339">
        <f t="shared" ref="AJ160" si="1365">M160*$D160</f>
        <v>318.43</v>
      </c>
      <c r="AK160" s="339">
        <f t="shared" ref="AK160" si="1366">N160*$D160</f>
        <v>0</v>
      </c>
      <c r="AL160" s="339">
        <f t="shared" ref="AL160" si="1367">O160*$D160</f>
        <v>0</v>
      </c>
      <c r="AM160" s="339">
        <f t="shared" ref="AM160" si="1368">P160*$D160</f>
        <v>0</v>
      </c>
      <c r="AN160" s="339">
        <f t="shared" ref="AN160" si="1369">Q160*$D160</f>
        <v>0</v>
      </c>
      <c r="AO160" s="339">
        <f t="shared" ref="AO160" si="1370">R160*$D160</f>
        <v>0</v>
      </c>
      <c r="AP160" s="339">
        <f t="shared" ref="AP160" si="1371">S160*$D160</f>
        <v>0</v>
      </c>
      <c r="AQ160" s="339">
        <f t="shared" ref="AQ160" si="1372">T160*$D160</f>
        <v>0</v>
      </c>
      <c r="AR160" s="339">
        <f t="shared" ref="AR160:AT161" si="1373">U160*$D160</f>
        <v>0</v>
      </c>
      <c r="AS160" s="339">
        <f t="shared" si="1373"/>
        <v>0</v>
      </c>
      <c r="AT160" s="339">
        <f t="shared" si="1373"/>
        <v>0</v>
      </c>
      <c r="AU160" s="339">
        <f t="shared" ref="AU160:AU161" si="1374">X160*$D160</f>
        <v>0</v>
      </c>
      <c r="AV160" s="447"/>
      <c r="AW160" s="352"/>
      <c r="AX160" s="352">
        <f>IF(AX$144=$E160,SUM(AC160:AF160),0)</f>
        <v>0</v>
      </c>
      <c r="AY160" s="352">
        <f t="shared" ref="AY160:AY161" si="1375">IF(AY$144=$E160,SUM(AD160:AG160),0)</f>
        <v>0</v>
      </c>
      <c r="AZ160" s="352">
        <f t="shared" ref="AZ160:BO161" si="1376">IF(AZ$3=$E160,$D160,0)</f>
        <v>0</v>
      </c>
      <c r="BA160" s="352">
        <f t="shared" si="1376"/>
        <v>0</v>
      </c>
      <c r="BB160" s="352">
        <f t="shared" si="1376"/>
        <v>0</v>
      </c>
      <c r="BC160" s="352">
        <f t="shared" si="1376"/>
        <v>0</v>
      </c>
      <c r="BD160" s="352">
        <f t="shared" si="1376"/>
        <v>0</v>
      </c>
      <c r="BE160" s="447">
        <f t="shared" si="1376"/>
        <v>318.43</v>
      </c>
      <c r="BF160" s="352">
        <f t="shared" si="1376"/>
        <v>0</v>
      </c>
      <c r="BG160" s="352">
        <f t="shared" si="1376"/>
        <v>0</v>
      </c>
      <c r="BH160" s="352">
        <f t="shared" si="1376"/>
        <v>0</v>
      </c>
      <c r="BI160" s="352">
        <f t="shared" si="1376"/>
        <v>0</v>
      </c>
      <c r="BJ160" s="352">
        <f t="shared" si="1376"/>
        <v>0</v>
      </c>
      <c r="BK160" s="352">
        <f t="shared" si="1376"/>
        <v>0</v>
      </c>
      <c r="BL160" s="352">
        <f t="shared" si="1376"/>
        <v>0</v>
      </c>
      <c r="BM160" s="352">
        <f t="shared" si="1376"/>
        <v>0</v>
      </c>
      <c r="BN160" s="352">
        <f t="shared" si="1376"/>
        <v>0</v>
      </c>
      <c r="BO160" s="352">
        <f t="shared" si="1376"/>
        <v>0</v>
      </c>
      <c r="BP160" s="352">
        <f t="shared" ref="BP160:BQ161" si="1377">IF(BP$3=$E160,$D160,0)</f>
        <v>0</v>
      </c>
      <c r="BQ160" s="352">
        <f t="shared" si="1377"/>
        <v>0</v>
      </c>
      <c r="BR160" s="376">
        <f t="shared" si="614"/>
        <v>0</v>
      </c>
    </row>
    <row r="161" spans="1:74" s="240" customFormat="1" ht="14.45" customHeight="1" x14ac:dyDescent="0.25">
      <c r="A161" s="240" t="s">
        <v>128</v>
      </c>
      <c r="C161" s="350"/>
      <c r="D161" s="447">
        <v>884.24</v>
      </c>
      <c r="E161" s="448" t="s">
        <v>216</v>
      </c>
      <c r="F161" s="450"/>
      <c r="G161" s="450"/>
      <c r="H161" s="450"/>
      <c r="I161" s="450"/>
      <c r="J161" s="450"/>
      <c r="K161" s="351">
        <v>0</v>
      </c>
      <c r="L161" s="351">
        <v>0</v>
      </c>
      <c r="M161" s="351">
        <v>1</v>
      </c>
      <c r="N161" s="351">
        <v>0</v>
      </c>
      <c r="O161" s="351">
        <v>0</v>
      </c>
      <c r="P161" s="351">
        <v>0</v>
      </c>
      <c r="Q161" s="351">
        <v>0</v>
      </c>
      <c r="R161" s="351">
        <v>0</v>
      </c>
      <c r="S161" s="351">
        <v>0</v>
      </c>
      <c r="T161" s="351">
        <v>0</v>
      </c>
      <c r="U161" s="351">
        <v>0</v>
      </c>
      <c r="V161" s="351"/>
      <c r="W161" s="351"/>
      <c r="X161" s="351"/>
      <c r="Y161" s="351"/>
      <c r="Z161" s="449">
        <f t="shared" ref="Z161" si="1378">SUM(F161:U161)</f>
        <v>1</v>
      </c>
      <c r="AA161" s="350"/>
      <c r="AB161" s="350"/>
      <c r="AC161" s="339">
        <f t="shared" ref="AC161" si="1379">F161*$D161</f>
        <v>0</v>
      </c>
      <c r="AD161" s="339">
        <f t="shared" ref="AD161" si="1380">G161*$D161</f>
        <v>0</v>
      </c>
      <c r="AE161" s="339">
        <f t="shared" ref="AE161" si="1381">H161*$D161</f>
        <v>0</v>
      </c>
      <c r="AF161" s="339">
        <f t="shared" ref="AF161" si="1382">I161*$D161</f>
        <v>0</v>
      </c>
      <c r="AG161" s="339">
        <f t="shared" ref="AG161" si="1383">J161*$D161</f>
        <v>0</v>
      </c>
      <c r="AH161" s="339">
        <f t="shared" ref="AH161" si="1384">K161*$D161</f>
        <v>0</v>
      </c>
      <c r="AI161" s="339">
        <f t="shared" ref="AI161" si="1385">L161*$D161</f>
        <v>0</v>
      </c>
      <c r="AJ161" s="339">
        <f t="shared" ref="AJ161" si="1386">M161*$D161</f>
        <v>884.24</v>
      </c>
      <c r="AK161" s="339">
        <f t="shared" ref="AK161" si="1387">N161*$D161</f>
        <v>0</v>
      </c>
      <c r="AL161" s="339">
        <f t="shared" ref="AL161" si="1388">O161*$D161</f>
        <v>0</v>
      </c>
      <c r="AM161" s="339">
        <f t="shared" ref="AM161" si="1389">P161*$D161</f>
        <v>0</v>
      </c>
      <c r="AN161" s="339">
        <f t="shared" ref="AN161" si="1390">Q161*$D161</f>
        <v>0</v>
      </c>
      <c r="AO161" s="339">
        <f t="shared" ref="AO161" si="1391">R161*$D161</f>
        <v>0</v>
      </c>
      <c r="AP161" s="339">
        <f t="shared" ref="AP161" si="1392">S161*$D161</f>
        <v>0</v>
      </c>
      <c r="AQ161" s="339">
        <f t="shared" ref="AQ161" si="1393">T161*$D161</f>
        <v>0</v>
      </c>
      <c r="AR161" s="339">
        <f t="shared" si="1373"/>
        <v>0</v>
      </c>
      <c r="AS161" s="339">
        <f t="shared" si="1373"/>
        <v>0</v>
      </c>
      <c r="AT161" s="339">
        <f t="shared" si="1373"/>
        <v>0</v>
      </c>
      <c r="AU161" s="339">
        <f t="shared" si="1374"/>
        <v>0</v>
      </c>
      <c r="AV161" s="447"/>
      <c r="AW161" s="352"/>
      <c r="AX161" s="352">
        <f t="shared" ref="AX161" si="1394">IF(AX$144=$E161,SUM(AC161:AF161),0)</f>
        <v>0</v>
      </c>
      <c r="AY161" s="352">
        <f t="shared" si="1375"/>
        <v>0</v>
      </c>
      <c r="AZ161" s="352">
        <f t="shared" si="1376"/>
        <v>0</v>
      </c>
      <c r="BA161" s="352">
        <f t="shared" si="1376"/>
        <v>0</v>
      </c>
      <c r="BB161" s="352">
        <f t="shared" si="1376"/>
        <v>0</v>
      </c>
      <c r="BC161" s="352">
        <f t="shared" si="1376"/>
        <v>0</v>
      </c>
      <c r="BD161" s="352">
        <f t="shared" si="1376"/>
        <v>0</v>
      </c>
      <c r="BE161" s="352">
        <f t="shared" si="1376"/>
        <v>884.24</v>
      </c>
      <c r="BF161" s="352">
        <f t="shared" si="1376"/>
        <v>0</v>
      </c>
      <c r="BG161" s="352">
        <f t="shared" si="1376"/>
        <v>0</v>
      </c>
      <c r="BH161" s="352">
        <f t="shared" si="1376"/>
        <v>0</v>
      </c>
      <c r="BI161" s="352">
        <f t="shared" si="1376"/>
        <v>0</v>
      </c>
      <c r="BJ161" s="352">
        <f t="shared" si="1376"/>
        <v>0</v>
      </c>
      <c r="BK161" s="352">
        <f t="shared" si="1376"/>
        <v>0</v>
      </c>
      <c r="BL161" s="352">
        <f t="shared" si="1376"/>
        <v>0</v>
      </c>
      <c r="BM161" s="352">
        <f t="shared" si="1376"/>
        <v>0</v>
      </c>
      <c r="BN161" s="352">
        <f t="shared" si="1376"/>
        <v>0</v>
      </c>
      <c r="BO161" s="352">
        <f t="shared" si="1376"/>
        <v>0</v>
      </c>
      <c r="BP161" s="352">
        <f t="shared" si="1377"/>
        <v>0</v>
      </c>
      <c r="BQ161" s="352">
        <f t="shared" si="1377"/>
        <v>0</v>
      </c>
      <c r="BR161" s="376">
        <f t="shared" si="614"/>
        <v>0</v>
      </c>
    </row>
    <row r="162" spans="1:74" s="366" customFormat="1" ht="14.45" customHeight="1" outlineLevel="1" x14ac:dyDescent="0.25">
      <c r="A162" s="366" t="s">
        <v>128</v>
      </c>
      <c r="C162" s="447"/>
      <c r="D162" s="447">
        <f>SUM(F162:Y162)</f>
        <v>146075.88</v>
      </c>
      <c r="E162" s="467" t="s">
        <v>196</v>
      </c>
      <c r="F162" s="447">
        <v>0</v>
      </c>
      <c r="G162" s="447">
        <v>0</v>
      </c>
      <c r="H162" s="447">
        <v>0</v>
      </c>
      <c r="I162" s="447">
        <v>0</v>
      </c>
      <c r="J162" s="447">
        <v>8041.6</v>
      </c>
      <c r="K162" s="447">
        <v>8903.2000000000007</v>
      </c>
      <c r="L162" s="447">
        <v>8185.2</v>
      </c>
      <c r="M162" s="447">
        <v>8616</v>
      </c>
      <c r="N162" s="447">
        <v>9190.4</v>
      </c>
      <c r="O162" s="447">
        <v>8616</v>
      </c>
      <c r="P162" s="447">
        <v>8185.2</v>
      </c>
      <c r="Q162" s="447">
        <v>8400.6</v>
      </c>
      <c r="R162" s="447">
        <v>9069.2000000000007</v>
      </c>
      <c r="S162" s="447">
        <v>9651.2000000000007</v>
      </c>
      <c r="T162" s="447">
        <v>8953.75</v>
      </c>
      <c r="U162" s="447">
        <f>9198.8+1000</f>
        <v>10198.799999999999</v>
      </c>
      <c r="V162" s="447">
        <f>9189.375-593.77-1000</f>
        <v>7595.6049999999996</v>
      </c>
      <c r="W162" s="447">
        <v>9189.375</v>
      </c>
      <c r="X162" s="447">
        <v>23279.75</v>
      </c>
      <c r="Y162" s="447">
        <v>0</v>
      </c>
      <c r="Z162" s="447">
        <f>SUM(F162:Y162)</f>
        <v>146075.88</v>
      </c>
      <c r="AA162" s="447"/>
      <c r="AB162" s="447"/>
      <c r="AC162" s="339">
        <f t="shared" ref="AC162:AV162" si="1395">F162</f>
        <v>0</v>
      </c>
      <c r="AD162" s="339">
        <f t="shared" si="1395"/>
        <v>0</v>
      </c>
      <c r="AE162" s="339">
        <f t="shared" si="1395"/>
        <v>0</v>
      </c>
      <c r="AF162" s="339">
        <f t="shared" si="1395"/>
        <v>0</v>
      </c>
      <c r="AG162" s="339">
        <f t="shared" si="1395"/>
        <v>8041.6</v>
      </c>
      <c r="AH162" s="339">
        <f t="shared" si="1395"/>
        <v>8903.2000000000007</v>
      </c>
      <c r="AI162" s="339">
        <f t="shared" si="1395"/>
        <v>8185.2</v>
      </c>
      <c r="AJ162" s="339">
        <f t="shared" si="1395"/>
        <v>8616</v>
      </c>
      <c r="AK162" s="339">
        <f t="shared" si="1395"/>
        <v>9190.4</v>
      </c>
      <c r="AL162" s="339">
        <f t="shared" si="1395"/>
        <v>8616</v>
      </c>
      <c r="AM162" s="339">
        <f t="shared" si="1395"/>
        <v>8185.2</v>
      </c>
      <c r="AN162" s="339">
        <f>Q162</f>
        <v>8400.6</v>
      </c>
      <c r="AO162" s="339">
        <f t="shared" si="1395"/>
        <v>9069.2000000000007</v>
      </c>
      <c r="AP162" s="339">
        <f t="shared" si="1395"/>
        <v>9651.2000000000007</v>
      </c>
      <c r="AQ162" s="339">
        <f>T162</f>
        <v>8953.75</v>
      </c>
      <c r="AR162" s="339">
        <f t="shared" si="1395"/>
        <v>10198.799999999999</v>
      </c>
      <c r="AS162" s="339">
        <f t="shared" si="1395"/>
        <v>7595.6049999999996</v>
      </c>
      <c r="AT162" s="339">
        <f t="shared" si="1395"/>
        <v>9189.375</v>
      </c>
      <c r="AU162" s="339">
        <f t="shared" si="1395"/>
        <v>23279.75</v>
      </c>
      <c r="AV162" s="447">
        <f t="shared" si="1395"/>
        <v>0</v>
      </c>
      <c r="AW162" s="447"/>
      <c r="AX162" s="447">
        <v>0</v>
      </c>
      <c r="AY162" s="447">
        <v>0</v>
      </c>
      <c r="AZ162" s="447">
        <v>0</v>
      </c>
      <c r="BA162" s="447">
        <v>35002.5</v>
      </c>
      <c r="BB162" s="447">
        <v>0</v>
      </c>
      <c r="BC162" s="447">
        <v>0</v>
      </c>
      <c r="BD162" s="447">
        <v>0</v>
      </c>
      <c r="BE162" s="447">
        <v>35002.5</v>
      </c>
      <c r="BF162" s="447">
        <v>-394.9</v>
      </c>
      <c r="BG162" s="447">
        <v>0</v>
      </c>
      <c r="BH162" s="447">
        <v>0</v>
      </c>
      <c r="BI162" s="447">
        <v>1256.5</v>
      </c>
      <c r="BJ162" s="447">
        <v>18235.150000000001</v>
      </c>
      <c r="BK162" s="447">
        <v>0</v>
      </c>
      <c r="BL162" s="472">
        <v>36757.5</v>
      </c>
      <c r="BM162" s="447">
        <v>0</v>
      </c>
      <c r="BN162" s="447">
        <v>0</v>
      </c>
      <c r="BO162" s="447">
        <v>0</v>
      </c>
      <c r="BP162" s="447">
        <v>20216.625</v>
      </c>
      <c r="BQ162" s="447">
        <f>IF(BQ$144=$E162,SUM(AV162:AZ162),0)</f>
        <v>0</v>
      </c>
      <c r="BR162" s="376">
        <f t="shared" si="614"/>
        <v>5.0000000046566129E-3</v>
      </c>
    </row>
    <row r="163" spans="1:74" ht="14.45" customHeight="1" x14ac:dyDescent="0.25">
      <c r="A163" s="240"/>
      <c r="B163" s="240"/>
      <c r="C163" s="313"/>
      <c r="D163" s="313"/>
      <c r="E163" s="313"/>
      <c r="F163" s="313"/>
      <c r="G163" s="333"/>
      <c r="H163" s="333"/>
      <c r="I163" s="333"/>
      <c r="J163" s="333"/>
      <c r="K163" s="333"/>
      <c r="L163" s="333"/>
      <c r="M163" s="333"/>
      <c r="N163" s="333"/>
      <c r="O163" s="333"/>
      <c r="P163" s="333"/>
      <c r="Q163" s="333"/>
      <c r="R163" s="333"/>
      <c r="S163" s="333"/>
      <c r="T163" s="333"/>
      <c r="U163" s="333"/>
      <c r="V163" s="333"/>
      <c r="W163" s="333"/>
      <c r="X163" s="333"/>
      <c r="Y163" s="333"/>
      <c r="Z163" s="333"/>
      <c r="AA163" s="313"/>
      <c r="AB163" s="313"/>
      <c r="AC163" s="353"/>
      <c r="AD163" s="339"/>
      <c r="AE163" s="353"/>
      <c r="AF163" s="353"/>
      <c r="AG163" s="353"/>
      <c r="AH163" s="353"/>
      <c r="AI163" s="353"/>
      <c r="AJ163" s="313"/>
      <c r="AK163" s="313"/>
      <c r="AL163" s="339"/>
      <c r="AM163" s="313"/>
      <c r="AN163" s="313"/>
      <c r="AO163" s="313"/>
      <c r="AP163" s="313"/>
      <c r="AQ163" s="313"/>
      <c r="AR163" s="313"/>
      <c r="AS163" s="313"/>
      <c r="AT163" s="313"/>
      <c r="AU163" s="313"/>
      <c r="AV163" s="313"/>
      <c r="AW163" s="313"/>
      <c r="AX163" s="353"/>
      <c r="AY163" s="353"/>
      <c r="AZ163" s="353"/>
      <c r="BA163" s="353"/>
      <c r="BB163" s="353"/>
      <c r="BC163" s="353"/>
      <c r="BD163" s="353"/>
      <c r="BE163" s="353"/>
      <c r="BF163" s="313"/>
      <c r="BG163" s="313"/>
      <c r="BH163" s="313"/>
      <c r="BI163" s="313"/>
      <c r="BJ163" s="313"/>
      <c r="BK163" s="313"/>
      <c r="BL163" s="313"/>
      <c r="BM163" s="313"/>
      <c r="BN163" s="313"/>
      <c r="BO163" s="313"/>
      <c r="BP163" s="313"/>
      <c r="BQ163" s="313"/>
      <c r="BR163" s="376">
        <f t="shared" si="614"/>
        <v>0</v>
      </c>
      <c r="BS163" s="240"/>
      <c r="BT163" s="240"/>
      <c r="BU163" s="240"/>
      <c r="BV163" s="240"/>
    </row>
    <row r="164" spans="1:74" ht="14.45" customHeight="1" x14ac:dyDescent="0.25">
      <c r="A164" s="240" t="s">
        <v>188</v>
      </c>
      <c r="B164" s="240"/>
      <c r="C164" s="313"/>
      <c r="D164" s="313"/>
      <c r="E164" s="313"/>
      <c r="F164" s="313"/>
      <c r="G164" s="333"/>
      <c r="H164" s="333"/>
      <c r="I164" s="333"/>
      <c r="J164" s="333"/>
      <c r="K164" s="333"/>
      <c r="L164" s="333"/>
      <c r="M164" s="333"/>
      <c r="N164" s="333"/>
      <c r="O164" s="333"/>
      <c r="P164" s="333"/>
      <c r="Q164" s="333"/>
      <c r="R164" s="333"/>
      <c r="S164" s="333"/>
      <c r="T164" s="333"/>
      <c r="U164" s="333"/>
      <c r="V164" s="333"/>
      <c r="W164" s="333"/>
      <c r="X164" s="333"/>
      <c r="Y164" s="333"/>
      <c r="Z164" s="333"/>
      <c r="AA164" s="313"/>
      <c r="AB164" s="313"/>
      <c r="AC164" s="353"/>
      <c r="AD164" s="339"/>
      <c r="AE164" s="353"/>
      <c r="AF164" s="353"/>
      <c r="AG164" s="353"/>
      <c r="AH164" s="353"/>
      <c r="AI164" s="353"/>
      <c r="AJ164" s="313"/>
      <c r="AK164" s="313"/>
      <c r="AL164" s="339"/>
      <c r="AM164" s="313"/>
      <c r="AN164" s="313"/>
      <c r="AO164" s="313"/>
      <c r="AP164" s="313"/>
      <c r="AQ164" s="313"/>
      <c r="AR164" s="313"/>
      <c r="AS164" s="313"/>
      <c r="AT164" s="313"/>
      <c r="AU164" s="313"/>
      <c r="AV164" s="313"/>
      <c r="AW164" s="313"/>
      <c r="AX164" s="353"/>
      <c r="AY164" s="353"/>
      <c r="AZ164" s="353"/>
      <c r="BA164" s="353"/>
      <c r="BB164" s="353"/>
      <c r="BC164" s="353"/>
      <c r="BD164" s="353"/>
      <c r="BE164" s="353"/>
      <c r="BF164" s="313"/>
      <c r="BG164" s="313"/>
      <c r="BH164" s="313"/>
      <c r="BI164" s="313"/>
      <c r="BJ164" s="313"/>
      <c r="BK164" s="313"/>
      <c r="BL164" s="313"/>
      <c r="BM164" s="313"/>
      <c r="BN164" s="313"/>
      <c r="BO164" s="313"/>
      <c r="BP164" s="313"/>
      <c r="BQ164" s="313"/>
      <c r="BR164" s="376">
        <f t="shared" si="614"/>
        <v>0</v>
      </c>
      <c r="BS164" s="240"/>
      <c r="BT164" s="240"/>
      <c r="BU164" s="240"/>
      <c r="BV164" s="240"/>
    </row>
    <row r="165" spans="1:74" ht="14.45" customHeight="1" x14ac:dyDescent="0.25">
      <c r="A165" s="384" t="s">
        <v>143</v>
      </c>
      <c r="B165" s="404"/>
      <c r="C165" s="411"/>
      <c r="D165" s="409">
        <f>20500+130000-15000</f>
        <v>135500</v>
      </c>
      <c r="E165" s="385"/>
      <c r="F165" s="374"/>
      <c r="G165" s="374">
        <v>1000</v>
      </c>
      <c r="H165" s="374">
        <v>0</v>
      </c>
      <c r="I165" s="374">
        <v>1672.1</v>
      </c>
      <c r="J165" s="374">
        <v>0</v>
      </c>
      <c r="K165" s="374">
        <v>0</v>
      </c>
      <c r="L165" s="374">
        <v>0</v>
      </c>
      <c r="M165" s="374">
        <v>0</v>
      </c>
      <c r="N165" s="374">
        <v>0</v>
      </c>
      <c r="O165" s="374">
        <v>0</v>
      </c>
      <c r="P165" s="374">
        <v>0</v>
      </c>
      <c r="Q165" s="374">
        <v>0</v>
      </c>
      <c r="R165" s="374">
        <v>2500</v>
      </c>
      <c r="S165" s="374">
        <v>0</v>
      </c>
      <c r="T165" s="374">
        <v>2269.38</v>
      </c>
      <c r="U165" s="374">
        <v>2000</v>
      </c>
      <c r="V165" s="374">
        <v>1327.9</v>
      </c>
      <c r="W165" s="374">
        <v>0</v>
      </c>
      <c r="X165" s="374">
        <f>10000+129730.62-7000</f>
        <v>132730.62</v>
      </c>
      <c r="Y165" s="374"/>
      <c r="Z165" s="374">
        <f>SUM(F165:Y165)</f>
        <v>143500</v>
      </c>
      <c r="AA165" s="385"/>
      <c r="AB165" s="385"/>
      <c r="AC165" s="387">
        <f t="shared" ref="AC165:AC168" si="1396">F165</f>
        <v>0</v>
      </c>
      <c r="AD165" s="375">
        <f t="shared" ref="AD165:AD168" si="1397">G165</f>
        <v>1000</v>
      </c>
      <c r="AE165" s="387">
        <f t="shared" ref="AE165:AE168" si="1398">H165</f>
        <v>0</v>
      </c>
      <c r="AF165" s="387">
        <f t="shared" ref="AF165" si="1399">I165</f>
        <v>1672.1</v>
      </c>
      <c r="AG165" s="387">
        <f t="shared" ref="AG165" si="1400">J165</f>
        <v>0</v>
      </c>
      <c r="AH165" s="387">
        <f t="shared" ref="AH165" si="1401">K165</f>
        <v>0</v>
      </c>
      <c r="AI165" s="387">
        <f t="shared" ref="AI165" si="1402">L165</f>
        <v>0</v>
      </c>
      <c r="AJ165" s="374">
        <f t="shared" ref="AJ165" si="1403">M165</f>
        <v>0</v>
      </c>
      <c r="AK165" s="374">
        <f>N165</f>
        <v>0</v>
      </c>
      <c r="AL165" s="375">
        <f t="shared" ref="AL165" si="1404">O165</f>
        <v>0</v>
      </c>
      <c r="AM165" s="352">
        <f t="shared" ref="AM165" si="1405">P165</f>
        <v>0</v>
      </c>
      <c r="AN165" s="468">
        <f t="shared" ref="AN165" si="1406">Q165</f>
        <v>0</v>
      </c>
      <c r="AO165" s="352">
        <f t="shared" ref="AO165" si="1407">R165</f>
        <v>2500</v>
      </c>
      <c r="AP165" s="339">
        <f t="shared" ref="AP165" si="1408">S165</f>
        <v>0</v>
      </c>
      <c r="AQ165" s="352">
        <f t="shared" ref="AQ165" si="1409">T165</f>
        <v>2269.38</v>
      </c>
      <c r="AR165" s="352">
        <f>U165</f>
        <v>2000</v>
      </c>
      <c r="AS165" s="352">
        <f t="shared" ref="AS165" si="1410">V165</f>
        <v>1327.9</v>
      </c>
      <c r="AT165" s="352">
        <f t="shared" ref="AT165" si="1411">W165</f>
        <v>0</v>
      </c>
      <c r="AU165" s="473">
        <f t="shared" ref="AU165" si="1412">X165</f>
        <v>132730.62</v>
      </c>
      <c r="AV165" s="352"/>
      <c r="AW165" s="352"/>
      <c r="AX165" s="352">
        <f t="shared" ref="AX165:BL168" si="1413">AC165</f>
        <v>0</v>
      </c>
      <c r="AY165" s="352">
        <f t="shared" si="1413"/>
        <v>1000</v>
      </c>
      <c r="AZ165" s="352">
        <f t="shared" si="1413"/>
        <v>0</v>
      </c>
      <c r="BA165" s="352">
        <f t="shared" si="1413"/>
        <v>1672.1</v>
      </c>
      <c r="BB165" s="352">
        <f t="shared" si="1413"/>
        <v>0</v>
      </c>
      <c r="BC165" s="352">
        <f t="shared" si="1413"/>
        <v>0</v>
      </c>
      <c r="BD165" s="352">
        <f t="shared" si="1413"/>
        <v>0</v>
      </c>
      <c r="BE165" s="352">
        <f t="shared" si="1413"/>
        <v>0</v>
      </c>
      <c r="BF165" s="352">
        <f t="shared" si="1413"/>
        <v>0</v>
      </c>
      <c r="BG165" s="352">
        <f t="shared" si="1413"/>
        <v>0</v>
      </c>
      <c r="BH165" s="352">
        <f t="shared" si="1413"/>
        <v>0</v>
      </c>
      <c r="BI165" s="352">
        <f t="shared" si="1413"/>
        <v>0</v>
      </c>
      <c r="BJ165" s="352">
        <f t="shared" si="1413"/>
        <v>2500</v>
      </c>
      <c r="BK165" s="352">
        <v>2269.38</v>
      </c>
      <c r="BL165" s="352">
        <v>0</v>
      </c>
      <c r="BM165" s="352">
        <f t="shared" ref="BM165:BM168" si="1414">AR165</f>
        <v>2000</v>
      </c>
      <c r="BN165" s="352">
        <f t="shared" ref="BN165:BN168" si="1415">AS165</f>
        <v>1327.9</v>
      </c>
      <c r="BO165" s="352">
        <f t="shared" ref="BO165:BO168" si="1416">AT165</f>
        <v>0</v>
      </c>
      <c r="BP165" s="352">
        <f t="shared" ref="BP165:BQ168" si="1417">AU165</f>
        <v>132730.62</v>
      </c>
      <c r="BQ165" s="352">
        <f t="shared" si="1417"/>
        <v>0</v>
      </c>
      <c r="BR165" s="376">
        <f t="shared" si="614"/>
        <v>0</v>
      </c>
      <c r="BS165" s="240"/>
      <c r="BT165" s="240"/>
      <c r="BU165" s="240"/>
      <c r="BV165" s="240"/>
    </row>
    <row r="166" spans="1:74" s="290" customFormat="1" ht="14.45" customHeight="1" x14ac:dyDescent="0.25">
      <c r="A166" s="384" t="s">
        <v>143</v>
      </c>
      <c r="B166" s="404"/>
      <c r="C166" s="385"/>
      <c r="D166" s="387">
        <v>2000</v>
      </c>
      <c r="E166" s="385" t="s">
        <v>271</v>
      </c>
      <c r="F166" s="388"/>
      <c r="G166" s="388">
        <v>0</v>
      </c>
      <c r="H166" s="388">
        <v>0</v>
      </c>
      <c r="I166" s="388">
        <v>0</v>
      </c>
      <c r="J166" s="389"/>
      <c r="K166" s="389"/>
      <c r="L166" s="389">
        <v>0</v>
      </c>
      <c r="M166" s="389">
        <v>0</v>
      </c>
      <c r="N166" s="389">
        <v>0</v>
      </c>
      <c r="O166" s="402">
        <v>0</v>
      </c>
      <c r="P166" s="389"/>
      <c r="Q166" s="389"/>
      <c r="R166" s="389"/>
      <c r="S166" s="403">
        <v>0</v>
      </c>
      <c r="T166" s="389"/>
      <c r="U166" s="389">
        <v>1</v>
      </c>
      <c r="V166" s="389"/>
      <c r="W166" s="389"/>
      <c r="X166" s="389"/>
      <c r="Y166" s="389"/>
      <c r="Z166" s="386">
        <f>SUM(F166:Y166)</f>
        <v>1</v>
      </c>
      <c r="AA166" s="385"/>
      <c r="AB166" s="385"/>
      <c r="AC166" s="387">
        <f t="shared" ref="AC166" si="1418">F166*$D166</f>
        <v>0</v>
      </c>
      <c r="AD166" s="375">
        <f t="shared" ref="AD166" si="1419">G166*$D166</f>
        <v>0</v>
      </c>
      <c r="AE166" s="387">
        <f t="shared" ref="AE166" si="1420">H166*$D166</f>
        <v>0</v>
      </c>
      <c r="AF166" s="387">
        <f t="shared" ref="AF166" si="1421">I166*$D166</f>
        <v>0</v>
      </c>
      <c r="AG166" s="387">
        <f t="shared" ref="AG166" si="1422">J166*$D166</f>
        <v>0</v>
      </c>
      <c r="AH166" s="387">
        <f t="shared" ref="AH166" si="1423">K166*$D166</f>
        <v>0</v>
      </c>
      <c r="AI166" s="387">
        <f t="shared" ref="AI166" si="1424">L166*$D166</f>
        <v>0</v>
      </c>
      <c r="AJ166" s="387">
        <f t="shared" ref="AJ166" si="1425">M166*$D166</f>
        <v>0</v>
      </c>
      <c r="AK166" s="374">
        <f t="shared" ref="AK166" si="1426">N166*$D166</f>
        <v>0</v>
      </c>
      <c r="AL166" s="375">
        <f t="shared" ref="AL166" si="1427">O166*$D166</f>
        <v>0</v>
      </c>
      <c r="AM166" s="352">
        <f t="shared" ref="AM166" si="1428">P166*$D166</f>
        <v>0</v>
      </c>
      <c r="AN166" s="339">
        <f t="shared" ref="AN166" si="1429">Q166*$D166</f>
        <v>0</v>
      </c>
      <c r="AO166" s="352">
        <f t="shared" ref="AO166" si="1430">R166*$D166</f>
        <v>0</v>
      </c>
      <c r="AP166" s="339">
        <f t="shared" ref="AP166" si="1431">S166*$D166</f>
        <v>0</v>
      </c>
      <c r="AQ166" s="352">
        <f t="shared" ref="AQ166" si="1432">T166*$D166</f>
        <v>0</v>
      </c>
      <c r="AR166" s="352">
        <f t="shared" ref="AR166" si="1433">U166*$D166</f>
        <v>2000</v>
      </c>
      <c r="AS166" s="352">
        <f t="shared" ref="AS166" si="1434">V166*$D166</f>
        <v>0</v>
      </c>
      <c r="AT166" s="352">
        <f t="shared" ref="AT166" si="1435">W166*$D166</f>
        <v>0</v>
      </c>
      <c r="AU166" s="352">
        <f t="shared" ref="AU166" si="1436">X166*$D166</f>
        <v>0</v>
      </c>
      <c r="AV166" s="352"/>
      <c r="AW166" s="352"/>
      <c r="AX166" s="352">
        <f t="shared" ref="AX166:BQ167" si="1437">IF(AX$3=$E166,$D166,0)</f>
        <v>0</v>
      </c>
      <c r="AY166" s="352">
        <f t="shared" si="1437"/>
        <v>0</v>
      </c>
      <c r="AZ166" s="352">
        <f t="shared" si="1437"/>
        <v>0</v>
      </c>
      <c r="BA166" s="352">
        <f t="shared" si="1437"/>
        <v>0</v>
      </c>
      <c r="BB166" s="352">
        <f t="shared" si="1437"/>
        <v>0</v>
      </c>
      <c r="BC166" s="352">
        <f t="shared" si="1437"/>
        <v>0</v>
      </c>
      <c r="BD166" s="352">
        <f t="shared" si="1437"/>
        <v>0</v>
      </c>
      <c r="BE166" s="352">
        <f t="shared" si="1437"/>
        <v>0</v>
      </c>
      <c r="BF166" s="352">
        <f t="shared" si="1437"/>
        <v>0</v>
      </c>
      <c r="BG166" s="352">
        <f t="shared" si="1437"/>
        <v>0</v>
      </c>
      <c r="BH166" s="352">
        <f t="shared" si="1437"/>
        <v>0</v>
      </c>
      <c r="BI166" s="352">
        <f t="shared" si="1437"/>
        <v>0</v>
      </c>
      <c r="BJ166" s="352">
        <f t="shared" si="1437"/>
        <v>0</v>
      </c>
      <c r="BK166" s="352">
        <f t="shared" si="1437"/>
        <v>0</v>
      </c>
      <c r="BL166" s="352">
        <f t="shared" si="1437"/>
        <v>0</v>
      </c>
      <c r="BM166" s="352">
        <f t="shared" si="1437"/>
        <v>2000</v>
      </c>
      <c r="BN166" s="352">
        <f t="shared" si="1437"/>
        <v>0</v>
      </c>
      <c r="BO166" s="352">
        <f t="shared" si="1437"/>
        <v>0</v>
      </c>
      <c r="BP166" s="352">
        <f t="shared" si="1437"/>
        <v>0</v>
      </c>
      <c r="BQ166" s="352">
        <f t="shared" si="1437"/>
        <v>0</v>
      </c>
      <c r="BR166" s="376">
        <f t="shared" ref="BR166" si="1438">SUM(AC166:AV166)-SUM(AX166:BQ166)</f>
        <v>0</v>
      </c>
      <c r="BS166" s="240"/>
      <c r="BT166" s="240"/>
      <c r="BU166" s="240"/>
      <c r="BV166" s="240"/>
    </row>
    <row r="167" spans="1:74" s="290" customFormat="1" ht="14.45" customHeight="1" x14ac:dyDescent="0.25">
      <c r="A167" s="384" t="s">
        <v>143</v>
      </c>
      <c r="B167" s="404"/>
      <c r="C167" s="385"/>
      <c r="D167" s="387">
        <v>3200</v>
      </c>
      <c r="E167" s="385" t="s">
        <v>257</v>
      </c>
      <c r="F167" s="388"/>
      <c r="G167" s="388">
        <v>0</v>
      </c>
      <c r="H167" s="388">
        <v>0</v>
      </c>
      <c r="I167" s="388">
        <v>0</v>
      </c>
      <c r="J167" s="389"/>
      <c r="K167" s="389"/>
      <c r="L167" s="389">
        <v>0</v>
      </c>
      <c r="M167" s="389">
        <v>0</v>
      </c>
      <c r="N167" s="389">
        <v>0</v>
      </c>
      <c r="O167" s="402">
        <v>0</v>
      </c>
      <c r="P167" s="389"/>
      <c r="Q167" s="389"/>
      <c r="R167" s="389"/>
      <c r="S167" s="403">
        <v>1</v>
      </c>
      <c r="T167" s="389"/>
      <c r="U167" s="389"/>
      <c r="V167" s="389"/>
      <c r="W167" s="389"/>
      <c r="X167" s="389"/>
      <c r="Y167" s="389"/>
      <c r="Z167" s="386">
        <f>SUM(F167:Y167)</f>
        <v>1</v>
      </c>
      <c r="AA167" s="385"/>
      <c r="AB167" s="385"/>
      <c r="AC167" s="387">
        <f t="shared" ref="AC167" si="1439">F167*$D167</f>
        <v>0</v>
      </c>
      <c r="AD167" s="375">
        <f t="shared" ref="AD167" si="1440">G167*$D167</f>
        <v>0</v>
      </c>
      <c r="AE167" s="387">
        <f t="shared" ref="AE167" si="1441">H167*$D167</f>
        <v>0</v>
      </c>
      <c r="AF167" s="387">
        <f t="shared" ref="AF167" si="1442">I167*$D167</f>
        <v>0</v>
      </c>
      <c r="AG167" s="387">
        <f t="shared" ref="AG167" si="1443">J167*$D167</f>
        <v>0</v>
      </c>
      <c r="AH167" s="387">
        <f t="shared" ref="AH167" si="1444">K167*$D167</f>
        <v>0</v>
      </c>
      <c r="AI167" s="387">
        <f t="shared" ref="AI167" si="1445">L167*$D167</f>
        <v>0</v>
      </c>
      <c r="AJ167" s="387">
        <f t="shared" ref="AJ167" si="1446">M167*$D167</f>
        <v>0</v>
      </c>
      <c r="AK167" s="374">
        <f t="shared" ref="AK167" si="1447">N167*$D167</f>
        <v>0</v>
      </c>
      <c r="AL167" s="375">
        <f t="shared" ref="AL167" si="1448">O167*$D167</f>
        <v>0</v>
      </c>
      <c r="AM167" s="352">
        <f t="shared" ref="AM167" si="1449">P167*$D167</f>
        <v>0</v>
      </c>
      <c r="AN167" s="339">
        <f t="shared" ref="AN167" si="1450">Q167*$D167</f>
        <v>0</v>
      </c>
      <c r="AO167" s="352">
        <f t="shared" ref="AO167" si="1451">R167*$D167</f>
        <v>0</v>
      </c>
      <c r="AP167" s="339">
        <f t="shared" ref="AP167" si="1452">S167*$D167</f>
        <v>3200</v>
      </c>
      <c r="AQ167" s="352">
        <f t="shared" ref="AQ167" si="1453">T167*$D167</f>
        <v>0</v>
      </c>
      <c r="AR167" s="352">
        <f t="shared" ref="AR167" si="1454">U167*$D167</f>
        <v>0</v>
      </c>
      <c r="AS167" s="352">
        <f t="shared" ref="AS167" si="1455">V167*$D167</f>
        <v>0</v>
      </c>
      <c r="AT167" s="352">
        <f t="shared" ref="AT167" si="1456">W167*$D167</f>
        <v>0</v>
      </c>
      <c r="AU167" s="352">
        <f t="shared" ref="AU167" si="1457">X167*$D167</f>
        <v>0</v>
      </c>
      <c r="AV167" s="352"/>
      <c r="AW167" s="352"/>
      <c r="AX167" s="352">
        <f t="shared" si="1437"/>
        <v>0</v>
      </c>
      <c r="AY167" s="352">
        <f t="shared" si="1437"/>
        <v>0</v>
      </c>
      <c r="AZ167" s="352">
        <f t="shared" si="1437"/>
        <v>0</v>
      </c>
      <c r="BA167" s="352">
        <f t="shared" si="1437"/>
        <v>0</v>
      </c>
      <c r="BB167" s="352">
        <f t="shared" si="1437"/>
        <v>0</v>
      </c>
      <c r="BC167" s="352">
        <f t="shared" si="1437"/>
        <v>0</v>
      </c>
      <c r="BD167" s="352">
        <f t="shared" si="1437"/>
        <v>0</v>
      </c>
      <c r="BE167" s="352">
        <f t="shared" si="1437"/>
        <v>0</v>
      </c>
      <c r="BF167" s="352">
        <f t="shared" si="1437"/>
        <v>0</v>
      </c>
      <c r="BG167" s="352">
        <f t="shared" si="1437"/>
        <v>0</v>
      </c>
      <c r="BH167" s="352">
        <f t="shared" si="1437"/>
        <v>0</v>
      </c>
      <c r="BI167" s="352">
        <f t="shared" si="1437"/>
        <v>0</v>
      </c>
      <c r="BJ167" s="352">
        <f t="shared" si="1437"/>
        <v>3200</v>
      </c>
      <c r="BK167" s="352">
        <f t="shared" si="1437"/>
        <v>0</v>
      </c>
      <c r="BL167" s="352">
        <f t="shared" si="1437"/>
        <v>0</v>
      </c>
      <c r="BM167" s="352">
        <f t="shared" si="1437"/>
        <v>0</v>
      </c>
      <c r="BN167" s="352">
        <f t="shared" si="1437"/>
        <v>0</v>
      </c>
      <c r="BO167" s="352">
        <f t="shared" si="1437"/>
        <v>0</v>
      </c>
      <c r="BP167" s="352">
        <f t="shared" si="1437"/>
        <v>0</v>
      </c>
      <c r="BQ167" s="352">
        <f t="shared" si="1437"/>
        <v>0</v>
      </c>
      <c r="BR167" s="376">
        <f t="shared" ref="BR167" si="1458">SUM(AC167:AV167)-SUM(AX167:BQ167)</f>
        <v>0</v>
      </c>
      <c r="BS167" s="240"/>
      <c r="BT167" s="240"/>
      <c r="BU167" s="240"/>
      <c r="BV167" s="240"/>
    </row>
    <row r="168" spans="1:74" ht="14.45" customHeight="1" x14ac:dyDescent="0.25">
      <c r="A168" s="384" t="s">
        <v>141</v>
      </c>
      <c r="B168" s="404"/>
      <c r="C168" s="411"/>
      <c r="D168" s="410">
        <v>78000</v>
      </c>
      <c r="E168" s="405"/>
      <c r="F168" s="406">
        <v>0</v>
      </c>
      <c r="G168" s="406">
        <v>0</v>
      </c>
      <c r="H168" s="406">
        <v>573.21</v>
      </c>
      <c r="I168" s="406">
        <v>2945.2999999999997</v>
      </c>
      <c r="J168" s="406">
        <v>276.14</v>
      </c>
      <c r="K168" s="406">
        <v>0</v>
      </c>
      <c r="L168" s="406">
        <v>2619.6499999999996</v>
      </c>
      <c r="M168" s="406">
        <v>13337.339999999998</v>
      </c>
      <c r="N168" s="406">
        <v>4226.3999999999996</v>
      </c>
      <c r="O168" s="406">
        <v>3660.32</v>
      </c>
      <c r="P168" s="374">
        <v>161.88</v>
      </c>
      <c r="Q168" s="374">
        <v>632.48</v>
      </c>
      <c r="R168" s="374">
        <v>3382.5899999999997</v>
      </c>
      <c r="S168" s="374">
        <f>12459.14+51.77+70</f>
        <v>12580.91</v>
      </c>
      <c r="T168" s="384">
        <v>4303.54</v>
      </c>
      <c r="U168" s="384">
        <v>12000</v>
      </c>
      <c r="V168" s="384">
        <v>12696.46</v>
      </c>
      <c r="W168" s="384">
        <v>2000</v>
      </c>
      <c r="X168" s="384">
        <f>2725.55-51.77</f>
        <v>2673.78</v>
      </c>
      <c r="Y168" s="387"/>
      <c r="Z168" s="374">
        <f>SUM(F168:X168)</f>
        <v>78070</v>
      </c>
      <c r="AA168" s="385"/>
      <c r="AB168" s="385"/>
      <c r="AC168" s="407">
        <f t="shared" si="1396"/>
        <v>0</v>
      </c>
      <c r="AD168" s="407">
        <f t="shared" si="1397"/>
        <v>0</v>
      </c>
      <c r="AE168" s="407">
        <f t="shared" si="1398"/>
        <v>573.21</v>
      </c>
      <c r="AF168" s="407">
        <f t="shared" ref="AF168" si="1459">I168</f>
        <v>2945.2999999999997</v>
      </c>
      <c r="AG168" s="407">
        <f t="shared" ref="AG168" si="1460">J168</f>
        <v>276.14</v>
      </c>
      <c r="AH168" s="407">
        <f t="shared" ref="AH168" si="1461">K168</f>
        <v>0</v>
      </c>
      <c r="AI168" s="407">
        <f t="shared" ref="AI168" si="1462">L168</f>
        <v>2619.6499999999996</v>
      </c>
      <c r="AJ168" s="407">
        <f t="shared" ref="AJ168" si="1463">M168</f>
        <v>13337.339999999998</v>
      </c>
      <c r="AK168" s="407">
        <f t="shared" ref="AK168" si="1464">N168</f>
        <v>4226.3999999999996</v>
      </c>
      <c r="AL168" s="407">
        <f t="shared" ref="AL168" si="1465">O168</f>
        <v>3660.32</v>
      </c>
      <c r="AM168" s="469">
        <f t="shared" ref="AM168" si="1466">P168</f>
        <v>161.88</v>
      </c>
      <c r="AN168" s="469">
        <f t="shared" ref="AN168" si="1467">Q168</f>
        <v>632.48</v>
      </c>
      <c r="AO168" s="469">
        <f t="shared" ref="AO168" si="1468">R168</f>
        <v>3382.5899999999997</v>
      </c>
      <c r="AP168" s="469">
        <f t="shared" ref="AP168" si="1469">S168</f>
        <v>12580.91</v>
      </c>
      <c r="AQ168" s="468">
        <f t="shared" ref="AQ168" si="1470">T168</f>
        <v>4303.54</v>
      </c>
      <c r="AR168" s="469">
        <f t="shared" ref="AR168" si="1471">U168</f>
        <v>12000</v>
      </c>
      <c r="AS168" s="469">
        <f t="shared" ref="AS168" si="1472">V168</f>
        <v>12696.46</v>
      </c>
      <c r="AT168" s="469">
        <f t="shared" ref="AT168" si="1473">W168</f>
        <v>2000</v>
      </c>
      <c r="AU168" s="474">
        <f t="shared" ref="AU168" si="1474">X168</f>
        <v>2673.78</v>
      </c>
      <c r="AV168" s="352"/>
      <c r="AW168" s="352"/>
      <c r="AX168" s="339">
        <f t="shared" si="1413"/>
        <v>0</v>
      </c>
      <c r="AY168" s="468">
        <f t="shared" si="1413"/>
        <v>0</v>
      </c>
      <c r="AZ168" s="468">
        <f t="shared" si="1413"/>
        <v>573.21</v>
      </c>
      <c r="BA168" s="468">
        <f t="shared" si="1413"/>
        <v>2945.2999999999997</v>
      </c>
      <c r="BB168" s="468">
        <f t="shared" si="1413"/>
        <v>276.14</v>
      </c>
      <c r="BC168" s="468">
        <f t="shared" si="1413"/>
        <v>0</v>
      </c>
      <c r="BD168" s="468">
        <f>AI168</f>
        <v>2619.6499999999996</v>
      </c>
      <c r="BE168" s="468">
        <f t="shared" si="1413"/>
        <v>13337.339999999998</v>
      </c>
      <c r="BF168" s="468">
        <f t="shared" si="1413"/>
        <v>4226.3999999999996</v>
      </c>
      <c r="BG168" s="468">
        <f t="shared" si="1413"/>
        <v>3660.32</v>
      </c>
      <c r="BH168" s="339">
        <f t="shared" si="1413"/>
        <v>161.88</v>
      </c>
      <c r="BI168" s="352">
        <f t="shared" si="1413"/>
        <v>632.48</v>
      </c>
      <c r="BJ168" s="352">
        <v>4719.59</v>
      </c>
      <c r="BK168" s="459">
        <f>11042.38+79.76+51.77+70</f>
        <v>11243.91</v>
      </c>
      <c r="BL168" s="339">
        <f t="shared" si="1413"/>
        <v>4303.54</v>
      </c>
      <c r="BM168" s="352">
        <f t="shared" si="1414"/>
        <v>12000</v>
      </c>
      <c r="BN168" s="352">
        <f t="shared" si="1415"/>
        <v>12696.46</v>
      </c>
      <c r="BO168" s="352">
        <f t="shared" si="1416"/>
        <v>2000</v>
      </c>
      <c r="BP168" s="352">
        <f t="shared" si="1417"/>
        <v>2673.78</v>
      </c>
      <c r="BQ168" s="352">
        <f t="shared" si="1417"/>
        <v>0</v>
      </c>
      <c r="BR168" s="470">
        <f t="shared" si="614"/>
        <v>0</v>
      </c>
      <c r="BS168" s="240"/>
      <c r="BT168" s="240"/>
      <c r="BU168" s="240"/>
      <c r="BV168" s="240"/>
    </row>
    <row r="169" spans="1:74" s="240" customFormat="1" ht="14.45" customHeight="1" x14ac:dyDescent="0.25">
      <c r="A169" s="241"/>
      <c r="D169" s="242"/>
      <c r="H169" s="313"/>
      <c r="T169" s="290"/>
      <c r="U169" s="290"/>
      <c r="V169" s="290"/>
      <c r="W169" s="290"/>
      <c r="X169" s="290"/>
      <c r="Z169" s="243"/>
      <c r="AC169" s="237"/>
      <c r="AD169" s="366"/>
      <c r="AE169" s="237"/>
      <c r="AF169" s="237"/>
      <c r="AG169" s="237"/>
      <c r="AH169" s="237"/>
      <c r="AI169" s="237"/>
      <c r="AJ169" s="237"/>
      <c r="AK169" s="237"/>
      <c r="AL169" s="366"/>
      <c r="AM169" s="237"/>
      <c r="AN169" s="237"/>
      <c r="AO169" s="237"/>
      <c r="AP169" s="237"/>
      <c r="AQ169" s="237"/>
      <c r="AS169" s="237"/>
      <c r="AU169" s="237"/>
      <c r="AV169" s="237"/>
      <c r="BR169" s="376">
        <f t="shared" si="614"/>
        <v>0</v>
      </c>
    </row>
    <row r="170" spans="1:74" ht="14.45" customHeight="1" x14ac:dyDescent="0.25">
      <c r="A170" s="240"/>
      <c r="B170" s="248"/>
      <c r="C170" s="240"/>
      <c r="D170" s="247">
        <f>SUM(D4:D168)</f>
        <v>25435628.487500001</v>
      </c>
      <c r="E170" s="248"/>
      <c r="F170" s="248"/>
      <c r="G170" s="248"/>
      <c r="H170" s="313"/>
      <c r="I170" s="248"/>
      <c r="J170" s="248"/>
      <c r="K170" s="248"/>
      <c r="L170" s="248"/>
      <c r="M170" s="248"/>
      <c r="N170" s="248"/>
      <c r="O170" s="248"/>
      <c r="P170" s="248"/>
      <c r="Q170" s="248"/>
      <c r="R170" s="248"/>
      <c r="S170" s="240"/>
      <c r="T170" s="290"/>
      <c r="Y170" s="332"/>
      <c r="Z170" s="248"/>
      <c r="AA170" s="240"/>
      <c r="AB170" s="240"/>
      <c r="AC170" s="237" t="s">
        <v>101</v>
      </c>
      <c r="AD170" s="366"/>
      <c r="AE170" s="240"/>
      <c r="AF170" s="240"/>
      <c r="AG170" s="240"/>
      <c r="AH170" s="240"/>
      <c r="AI170" s="240"/>
      <c r="AJ170" s="240"/>
      <c r="AK170" s="240"/>
      <c r="AL170" s="366"/>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c r="BR170" s="376">
        <f t="shared" si="614"/>
        <v>0</v>
      </c>
      <c r="BS170" s="240"/>
      <c r="BT170" s="240"/>
      <c r="BU170" s="240"/>
      <c r="BV170" s="240"/>
    </row>
    <row r="171" spans="1:74" ht="14.45" customHeight="1" x14ac:dyDescent="0.25">
      <c r="A171" s="240"/>
      <c r="B171" s="240"/>
      <c r="C171" s="240"/>
      <c r="D171" s="247"/>
      <c r="E171" s="248"/>
      <c r="F171" s="248"/>
      <c r="G171" s="248"/>
      <c r="H171" s="313"/>
      <c r="I171" s="248"/>
      <c r="J171" s="248"/>
      <c r="K171" s="248"/>
      <c r="L171" s="248"/>
      <c r="M171" s="248"/>
      <c r="N171" s="248"/>
      <c r="O171" s="248"/>
      <c r="P171" s="248"/>
      <c r="Q171" s="248"/>
      <c r="R171" s="248"/>
      <c r="S171" s="248"/>
      <c r="T171" s="290"/>
      <c r="Y171" s="248"/>
      <c r="Z171" s="248"/>
      <c r="AA171" s="240"/>
      <c r="AB171" s="240"/>
      <c r="AC171" s="237"/>
      <c r="AD171" s="366"/>
      <c r="AE171" s="240"/>
      <c r="AF171" s="240"/>
      <c r="AG171" s="240"/>
      <c r="AH171" s="240"/>
      <c r="AI171" s="240"/>
      <c r="AJ171" s="240"/>
      <c r="AK171" s="240"/>
      <c r="AL171" s="366"/>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c r="BR171" s="376">
        <f t="shared" si="614"/>
        <v>0</v>
      </c>
      <c r="BS171" s="240"/>
      <c r="BT171" s="240"/>
      <c r="BU171" s="240"/>
      <c r="BV171" s="240"/>
    </row>
    <row r="172" spans="1:74" ht="14.45" customHeight="1" x14ac:dyDescent="0.25">
      <c r="A172" s="390" t="s">
        <v>125</v>
      </c>
      <c r="B172" s="510"/>
      <c r="C172" s="510"/>
      <c r="D172" s="391">
        <f>SUMIF($A$4:$A$169,"="&amp;A172,$D$4:$D$169)</f>
        <v>7593016.0899999999</v>
      </c>
      <c r="E172" s="240"/>
      <c r="F172" s="240"/>
      <c r="G172" s="240"/>
      <c r="H172" s="313"/>
      <c r="I172" s="240"/>
      <c r="J172" s="240"/>
      <c r="K172" s="240"/>
      <c r="L172" s="240"/>
      <c r="M172" s="240"/>
      <c r="N172" s="240"/>
      <c r="O172" s="240"/>
      <c r="P172" s="240"/>
      <c r="Q172" s="240"/>
      <c r="R172" s="240"/>
      <c r="S172" s="237"/>
      <c r="T172" s="29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c r="BR172" s="376">
        <f t="shared" si="614"/>
        <v>0</v>
      </c>
      <c r="BS172" s="240"/>
      <c r="BT172" s="240"/>
      <c r="BU172" s="240"/>
      <c r="BV172" s="240"/>
    </row>
    <row r="173" spans="1:74" ht="14.45" customHeight="1" x14ac:dyDescent="0.25">
      <c r="A173" s="390" t="s">
        <v>126</v>
      </c>
      <c r="B173" s="510"/>
      <c r="C173" s="510"/>
      <c r="D173" s="396">
        <f>SUMIF($A$4:$A$169,"="&amp;A173,$D$4:$D$169)</f>
        <v>4390617.6500000004</v>
      </c>
      <c r="E173" s="240"/>
      <c r="F173" s="240"/>
      <c r="G173" s="240"/>
      <c r="H173" s="313"/>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c r="BR173" s="376">
        <f t="shared" si="614"/>
        <v>0</v>
      </c>
      <c r="BS173" s="240"/>
      <c r="BT173" s="240"/>
      <c r="BU173" s="240"/>
      <c r="BV173" s="240"/>
    </row>
    <row r="174" spans="1:74" ht="14.45" customHeight="1" x14ac:dyDescent="0.25">
      <c r="A174" s="390" t="s">
        <v>128</v>
      </c>
      <c r="B174" s="510"/>
      <c r="C174" s="510"/>
      <c r="D174" s="391">
        <f>SUMIF($A$4:$A$169,"="&amp;A174,$D$4:$D$169)</f>
        <v>4788681.9799999995</v>
      </c>
      <c r="E174" s="240"/>
      <c r="F174" s="240"/>
      <c r="G174" s="240"/>
      <c r="H174" s="313"/>
      <c r="I174" s="240"/>
      <c r="J174" s="240"/>
      <c r="K174" s="240"/>
      <c r="L174" s="240"/>
      <c r="M174" s="240"/>
      <c r="N174" s="240"/>
      <c r="O174" s="240"/>
      <c r="P174" s="240"/>
      <c r="Q174" s="240"/>
      <c r="R174" s="240"/>
      <c r="S174" s="240"/>
      <c r="T174" s="237"/>
      <c r="U174" s="240"/>
      <c r="V174" s="240"/>
      <c r="W174" s="240"/>
      <c r="X174" s="240"/>
      <c r="Y174" s="240"/>
      <c r="Z174" s="240"/>
      <c r="AA174" s="240"/>
      <c r="AB174" s="240"/>
      <c r="AC174" s="366"/>
      <c r="AD174" s="366"/>
      <c r="AE174" s="366"/>
      <c r="AF174" s="366"/>
      <c r="AG174" s="366"/>
      <c r="AH174" s="366"/>
      <c r="AI174" s="366"/>
      <c r="AJ174" s="366"/>
      <c r="AK174" s="366"/>
      <c r="AL174" s="366"/>
      <c r="AM174" s="366"/>
      <c r="AN174" s="366"/>
      <c r="AO174" s="366"/>
      <c r="AP174" s="366"/>
      <c r="AQ174" s="366"/>
      <c r="AR174" s="366"/>
      <c r="AS174" s="366"/>
      <c r="AT174" s="366"/>
      <c r="AU174" s="366"/>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c r="BR174" s="376">
        <f t="shared" si="614"/>
        <v>0</v>
      </c>
      <c r="BS174" s="240"/>
      <c r="BT174" s="240"/>
      <c r="BU174" s="240"/>
      <c r="BV174" s="240"/>
    </row>
    <row r="175" spans="1:74" ht="14.45" customHeight="1" x14ac:dyDescent="0.25">
      <c r="A175" s="390" t="s">
        <v>129</v>
      </c>
      <c r="B175" s="510"/>
      <c r="C175" s="510"/>
      <c r="D175" s="391">
        <f>SUMIF($A$4:$A$169,"="&amp;A175,$D$4:$D$169)</f>
        <v>2772876.18</v>
      </c>
      <c r="E175" s="240"/>
      <c r="F175" s="240"/>
      <c r="G175" s="240"/>
      <c r="H175" s="313"/>
      <c r="I175" s="240"/>
      <c r="J175" s="240"/>
      <c r="K175" s="240"/>
      <c r="L175" s="240"/>
      <c r="M175" s="240"/>
      <c r="N175" s="240"/>
      <c r="O175" s="240"/>
      <c r="P175" s="240"/>
      <c r="Q175" s="240"/>
      <c r="R175" s="240"/>
      <c r="S175" s="240"/>
      <c r="T175" s="237"/>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c r="BR175" s="376">
        <f t="shared" si="614"/>
        <v>0</v>
      </c>
      <c r="BS175" s="240"/>
      <c r="BT175" s="240"/>
      <c r="BU175" s="240"/>
      <c r="BV175" s="240"/>
    </row>
    <row r="176" spans="1:74" ht="14.45" customHeight="1" x14ac:dyDescent="0.25">
      <c r="A176" s="390" t="s">
        <v>130</v>
      </c>
      <c r="B176" s="510"/>
      <c r="C176" s="510"/>
      <c r="D176" s="391">
        <f>SUMIF($A$4:$A$169,"="&amp;A176,$D$4:$D$169)</f>
        <v>324793.87750000006</v>
      </c>
      <c r="E176" s="240"/>
      <c r="F176" s="240"/>
      <c r="G176" s="240"/>
      <c r="H176" s="313"/>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376">
        <f t="shared" si="614"/>
        <v>0</v>
      </c>
      <c r="BS176" s="240"/>
      <c r="BT176" s="240"/>
      <c r="BU176" s="240"/>
      <c r="BV176" s="240"/>
    </row>
    <row r="177" spans="1:74" s="290" customFormat="1" ht="14.45" customHeight="1" x14ac:dyDescent="0.25">
      <c r="A177" s="240"/>
      <c r="B177" s="377"/>
      <c r="C177" s="377"/>
      <c r="D177" s="378">
        <f>SUM(D172:D176)</f>
        <v>19869985.7775</v>
      </c>
      <c r="E177" s="327"/>
      <c r="F177" s="237"/>
      <c r="G177" s="240"/>
      <c r="H177" s="313"/>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366"/>
      <c r="AE177" s="240"/>
      <c r="AF177" s="240"/>
      <c r="AG177" s="240"/>
      <c r="AH177" s="240"/>
      <c r="AI177" s="240"/>
      <c r="AJ177" s="240"/>
      <c r="AK177" s="240"/>
      <c r="AL177" s="366"/>
      <c r="AM177" s="240"/>
      <c r="AN177" s="240"/>
      <c r="AO177" s="240"/>
      <c r="AP177" s="408"/>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376">
        <f t="shared" si="614"/>
        <v>0</v>
      </c>
      <c r="BS177" s="240"/>
      <c r="BT177" s="240"/>
      <c r="BU177" s="240"/>
      <c r="BV177" s="240"/>
    </row>
    <row r="178" spans="1:74" ht="15" customHeight="1" x14ac:dyDescent="0.25">
      <c r="A178" s="390" t="s">
        <v>132</v>
      </c>
      <c r="B178" s="510"/>
      <c r="C178" s="510"/>
      <c r="D178" s="412">
        <f>SUMIF($A$4:$A$169,"="&amp;A178,$D$4:$D$169)</f>
        <v>1209254.8399999999</v>
      </c>
      <c r="E178" s="240"/>
      <c r="F178" s="240"/>
      <c r="G178" s="240"/>
      <c r="H178" s="313"/>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376">
        <f t="shared" ref="BR178:BR194" si="1475">SUM(AC178:AV178)-SUM(AX178:BQ178)</f>
        <v>0</v>
      </c>
      <c r="BS178" s="240"/>
      <c r="BT178" s="240"/>
      <c r="BU178" s="240"/>
      <c r="BV178" s="240"/>
    </row>
    <row r="179" spans="1:74" s="290" customFormat="1" ht="14.45" customHeight="1" x14ac:dyDescent="0.25">
      <c r="A179" s="240"/>
      <c r="B179" s="377"/>
      <c r="C179" s="377"/>
      <c r="D179" s="379">
        <f>D178</f>
        <v>1209254.8399999999</v>
      </c>
      <c r="E179" s="327">
        <f>'QFR - B'!I20</f>
        <v>800000</v>
      </c>
      <c r="F179" s="237">
        <f>E179-D179</f>
        <v>-409254.83999999985</v>
      </c>
      <c r="G179" s="240"/>
      <c r="H179" s="313"/>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366"/>
      <c r="AE179" s="240"/>
      <c r="AF179" s="240"/>
      <c r="AG179" s="240"/>
      <c r="AH179" s="240"/>
      <c r="AI179" s="240"/>
      <c r="AJ179" s="240"/>
      <c r="AK179" s="240"/>
      <c r="AL179" s="366"/>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376">
        <f t="shared" si="1475"/>
        <v>0</v>
      </c>
      <c r="BS179" s="240"/>
      <c r="BT179" s="240"/>
      <c r="BU179" s="240"/>
      <c r="BV179" s="240"/>
    </row>
    <row r="180" spans="1:74" ht="14.45" customHeight="1" x14ac:dyDescent="0.25">
      <c r="A180" s="390" t="s">
        <v>133</v>
      </c>
      <c r="B180" s="510"/>
      <c r="C180" s="510"/>
      <c r="D180" s="392">
        <f>SUMIF($A$4:$A$169,"="&amp;A180,$D$4:$D$169)</f>
        <v>696097.67</v>
      </c>
      <c r="E180" s="240"/>
      <c r="F180" s="240"/>
      <c r="G180" s="240"/>
      <c r="H180" s="313"/>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366"/>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c r="BR180" s="376">
        <f t="shared" si="1475"/>
        <v>0</v>
      </c>
      <c r="BS180" s="240"/>
      <c r="BT180" s="240"/>
      <c r="BU180" s="240"/>
      <c r="BV180" s="240"/>
    </row>
    <row r="181" spans="1:74" ht="14.45" customHeight="1" x14ac:dyDescent="0.25">
      <c r="A181" s="390" t="s">
        <v>134</v>
      </c>
      <c r="B181" s="510"/>
      <c r="C181" s="510"/>
      <c r="D181" s="392">
        <f>SUMIF($A$4:$A$169,"="&amp;A181,$D$4:$D$169)</f>
        <v>1030229</v>
      </c>
      <c r="E181" s="240"/>
      <c r="F181" s="240"/>
      <c r="G181" s="240"/>
      <c r="H181" s="313"/>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c r="BR181" s="376">
        <f t="shared" si="1475"/>
        <v>0</v>
      </c>
      <c r="BS181" s="240"/>
      <c r="BT181" s="240"/>
      <c r="BU181" s="240"/>
      <c r="BV181" s="240"/>
    </row>
    <row r="182" spans="1:74" s="290" customFormat="1" ht="14.45" customHeight="1" x14ac:dyDescent="0.25">
      <c r="A182" s="240"/>
      <c r="B182" s="377"/>
      <c r="C182" s="377"/>
      <c r="D182" s="379">
        <f>SUM(D180:D181)</f>
        <v>1726326.67</v>
      </c>
      <c r="E182" s="327">
        <f>'QFR - B'!I21</f>
        <v>3307400</v>
      </c>
      <c r="F182" s="237">
        <f>E182-D182</f>
        <v>1581073.33</v>
      </c>
      <c r="G182" s="240"/>
      <c r="H182" s="313"/>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366"/>
      <c r="AE182" s="240"/>
      <c r="AF182" s="240"/>
      <c r="AG182" s="240"/>
      <c r="AH182" s="240"/>
      <c r="AI182" s="240"/>
      <c r="AJ182" s="240"/>
      <c r="AK182" s="240"/>
      <c r="AL182" s="366"/>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c r="BR182" s="376">
        <f t="shared" si="1475"/>
        <v>0</v>
      </c>
      <c r="BS182" s="240"/>
      <c r="BT182" s="240"/>
      <c r="BU182" s="240"/>
      <c r="BV182" s="240"/>
    </row>
    <row r="183" spans="1:74" ht="14.45" customHeight="1" x14ac:dyDescent="0.25">
      <c r="A183" s="390" t="s">
        <v>136</v>
      </c>
      <c r="B183" s="510"/>
      <c r="C183" s="510"/>
      <c r="D183" s="392">
        <f>SUMIF($A$4:$A$169,"="&amp;A183,$D$4:$D$169)</f>
        <v>680952.62</v>
      </c>
      <c r="E183" s="240"/>
      <c r="F183" s="240"/>
      <c r="G183" s="240"/>
      <c r="H183" s="313"/>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366"/>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c r="BR183" s="376">
        <f t="shared" si="1475"/>
        <v>0</v>
      </c>
      <c r="BS183" s="240"/>
      <c r="BT183" s="240"/>
      <c r="BU183" s="240"/>
      <c r="BV183" s="240"/>
    </row>
    <row r="184" spans="1:74" ht="14.45" customHeight="1" x14ac:dyDescent="0.25">
      <c r="A184" s="390" t="s">
        <v>137</v>
      </c>
      <c r="B184" s="510"/>
      <c r="C184" s="510"/>
      <c r="D184" s="392">
        <f>SUMIF($A$4:$A$169,"="&amp;A184,$D$4:$D$169)</f>
        <v>0</v>
      </c>
      <c r="E184" s="240"/>
      <c r="F184" s="240"/>
      <c r="G184" s="240"/>
      <c r="H184" s="313"/>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c r="BR184" s="376">
        <f t="shared" si="1475"/>
        <v>0</v>
      </c>
      <c r="BS184" s="240"/>
      <c r="BT184" s="240"/>
      <c r="BU184" s="240"/>
      <c r="BV184" s="240"/>
    </row>
    <row r="185" spans="1:74" ht="14.45" customHeight="1" x14ac:dyDescent="0.25">
      <c r="A185" s="390" t="s">
        <v>138</v>
      </c>
      <c r="B185" s="510"/>
      <c r="C185" s="510"/>
      <c r="D185" s="392">
        <f>SUMIF($A$4:$A$169,"="&amp;A185,$D$4:$D$169)</f>
        <v>0</v>
      </c>
      <c r="E185" s="240"/>
      <c r="F185" s="240"/>
      <c r="G185" s="240"/>
      <c r="H185" s="313"/>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c r="BR185" s="376">
        <f t="shared" si="1475"/>
        <v>0</v>
      </c>
      <c r="BS185" s="240"/>
      <c r="BT185" s="240"/>
      <c r="BU185" s="240"/>
      <c r="BV185" s="240"/>
    </row>
    <row r="186" spans="1:74" ht="14.45" customHeight="1" x14ac:dyDescent="0.25">
      <c r="A186" s="390" t="s">
        <v>139</v>
      </c>
      <c r="B186" s="510"/>
      <c r="C186" s="510"/>
      <c r="D186" s="391">
        <f>SUMIF($A$4:$A$169,"="&amp;A186,$D$4:$D$169)</f>
        <v>404689.00999999995</v>
      </c>
      <c r="E186" s="240"/>
      <c r="F186" s="240"/>
      <c r="G186" s="240"/>
      <c r="H186" s="313"/>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c r="BR186" s="376">
        <f t="shared" si="1475"/>
        <v>0</v>
      </c>
      <c r="BS186" s="240"/>
      <c r="BT186" s="240"/>
      <c r="BU186" s="240"/>
      <c r="BV186" s="240"/>
    </row>
    <row r="187" spans="1:74" s="290" customFormat="1" ht="14.45" customHeight="1" x14ac:dyDescent="0.25">
      <c r="A187" s="240"/>
      <c r="B187" s="377"/>
      <c r="C187" s="377"/>
      <c r="D187" s="379">
        <f>SUM(D183:D186)</f>
        <v>1085641.6299999999</v>
      </c>
      <c r="E187" s="327">
        <f>'QFR - B'!I24</f>
        <v>1431000</v>
      </c>
      <c r="F187" s="237">
        <f>E187-D187</f>
        <v>345358.37000000011</v>
      </c>
      <c r="G187" s="240"/>
      <c r="H187" s="313"/>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366"/>
      <c r="AE187" s="240"/>
      <c r="AF187" s="240"/>
      <c r="AG187" s="240"/>
      <c r="AH187" s="240"/>
      <c r="AI187" s="240"/>
      <c r="AJ187" s="240"/>
      <c r="AK187" s="240"/>
      <c r="AL187" s="366"/>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c r="BR187" s="376">
        <f t="shared" si="1475"/>
        <v>0</v>
      </c>
      <c r="BS187" s="240"/>
      <c r="BT187" s="240"/>
      <c r="BU187" s="240"/>
      <c r="BV187" s="240"/>
    </row>
    <row r="188" spans="1:74" ht="14.45" customHeight="1" x14ac:dyDescent="0.25">
      <c r="A188" s="390" t="s">
        <v>140</v>
      </c>
      <c r="B188" s="510"/>
      <c r="C188" s="510"/>
      <c r="D188" s="392">
        <f>SUMIF($A$4:$A$169,"="&amp;A188,$D$4:$D$169)</f>
        <v>1056879.93</v>
      </c>
      <c r="E188" s="240"/>
      <c r="F188" s="240"/>
      <c r="G188" s="240"/>
      <c r="H188" s="313"/>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366"/>
      <c r="BF188" s="240"/>
      <c r="BG188" s="240"/>
      <c r="BH188" s="240"/>
      <c r="BI188" s="240"/>
      <c r="BJ188" s="240"/>
      <c r="BK188" s="240"/>
      <c r="BL188" s="366"/>
      <c r="BM188" s="240"/>
      <c r="BN188" s="240"/>
      <c r="BO188" s="240"/>
      <c r="BP188" s="240"/>
      <c r="BQ188" s="240"/>
      <c r="BR188" s="376">
        <f t="shared" si="1475"/>
        <v>0</v>
      </c>
      <c r="BS188" s="240"/>
      <c r="BT188" s="240"/>
      <c r="BU188" s="240"/>
      <c r="BV188" s="240"/>
    </row>
    <row r="189" spans="1:74" ht="14.45" customHeight="1" x14ac:dyDescent="0.25">
      <c r="A189" s="390" t="s">
        <v>141</v>
      </c>
      <c r="B189" s="510"/>
      <c r="C189" s="510"/>
      <c r="D189" s="392">
        <f>SUMIF($A$4:$A$169,"="&amp;A189,$D$4:$D$169)</f>
        <v>78000</v>
      </c>
      <c r="E189" s="240"/>
      <c r="F189" s="240"/>
      <c r="G189" s="240"/>
      <c r="H189" s="313"/>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c r="BR189" s="376">
        <f t="shared" si="1475"/>
        <v>0</v>
      </c>
      <c r="BS189" s="240"/>
      <c r="BT189" s="240"/>
      <c r="BU189" s="240"/>
      <c r="BV189" s="240"/>
    </row>
    <row r="190" spans="1:74" ht="14.45" customHeight="1" x14ac:dyDescent="0.25">
      <c r="A190" s="390" t="s">
        <v>142</v>
      </c>
      <c r="B190" s="510"/>
      <c r="C190" s="510"/>
      <c r="D190" s="392">
        <f>SUMIF($A$4:$A$169,"="&amp;A190,$D$4:$D$169)</f>
        <v>120000</v>
      </c>
      <c r="E190" s="240"/>
      <c r="F190" s="240"/>
      <c r="G190" s="240"/>
      <c r="H190" s="313"/>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38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c r="BR190" s="376">
        <f t="shared" si="1475"/>
        <v>0</v>
      </c>
      <c r="BS190" s="240"/>
      <c r="BT190" s="240"/>
      <c r="BU190" s="240"/>
      <c r="BV190" s="240"/>
    </row>
    <row r="191" spans="1:74" ht="14.45" customHeight="1" x14ac:dyDescent="0.25">
      <c r="A191" s="390" t="s">
        <v>143</v>
      </c>
      <c r="B191" s="510"/>
      <c r="C191" s="510"/>
      <c r="D191" s="392">
        <f>SUMIF($A$4:$A$169,"="&amp;A191,$D$4:$D$169)</f>
        <v>247949.80000000002</v>
      </c>
      <c r="E191" s="240"/>
      <c r="F191" s="240"/>
      <c r="G191" s="240"/>
      <c r="H191" s="313"/>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366"/>
      <c r="AE191" s="240"/>
      <c r="AF191" s="240"/>
      <c r="AG191" s="240"/>
      <c r="AH191" s="240"/>
      <c r="AI191" s="240"/>
      <c r="AJ191" s="240"/>
      <c r="AK191" s="240"/>
      <c r="AL191" s="366"/>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c r="BR191" s="376">
        <f t="shared" si="1475"/>
        <v>0</v>
      </c>
      <c r="BS191" s="240"/>
      <c r="BT191" s="240"/>
      <c r="BU191" s="240"/>
      <c r="BV191" s="240"/>
    </row>
    <row r="192" spans="1:74" s="290" customFormat="1" ht="14.45" customHeight="1" x14ac:dyDescent="0.25">
      <c r="A192" s="240"/>
      <c r="B192" s="377"/>
      <c r="C192" s="377"/>
      <c r="D192" s="379">
        <f>SUM(D188:D191)</f>
        <v>1502829.73</v>
      </c>
      <c r="E192" s="327">
        <f>'QFR - B'!I27</f>
        <v>1261000</v>
      </c>
      <c r="F192" s="237">
        <f>E192-D192</f>
        <v>-241829.72999999998</v>
      </c>
      <c r="G192" s="240"/>
      <c r="H192" s="313"/>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366"/>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c r="BR192" s="376">
        <f t="shared" si="1475"/>
        <v>0</v>
      </c>
      <c r="BS192" s="240"/>
      <c r="BT192" s="240"/>
      <c r="BU192" s="240"/>
      <c r="BV192" s="240"/>
    </row>
    <row r="193" spans="1:70" ht="8.25" customHeight="1" x14ac:dyDescent="0.25">
      <c r="A193" s="240"/>
      <c r="B193" s="240"/>
      <c r="C193" s="240"/>
      <c r="D193" s="366"/>
      <c r="E193" s="240"/>
      <c r="F193" s="240"/>
      <c r="G193" s="240"/>
      <c r="H193" s="313"/>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40"/>
      <c r="AK193" s="240"/>
      <c r="AL193" s="366"/>
      <c r="AM193" s="240"/>
      <c r="AN193" s="240"/>
      <c r="AO193" s="381"/>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366"/>
      <c r="BM193" s="240"/>
      <c r="BN193" s="240"/>
      <c r="BO193" s="240"/>
      <c r="BP193" s="240"/>
      <c r="BQ193" s="240"/>
      <c r="BR193" s="376">
        <f t="shared" si="1475"/>
        <v>0</v>
      </c>
    </row>
    <row r="194" spans="1:70" x14ac:dyDescent="0.25">
      <c r="A194" s="240"/>
      <c r="B194" s="240"/>
      <c r="C194" s="240"/>
      <c r="D194" s="366">
        <f t="shared" ref="D194:U194" si="1476">SUBTOTAL(9,D4:D193)</f>
        <v>101659334.27000003</v>
      </c>
      <c r="E194" s="366">
        <f t="shared" si="1476"/>
        <v>6799400</v>
      </c>
      <c r="F194" s="366">
        <f t="shared" si="1476"/>
        <v>1285347.1300000004</v>
      </c>
      <c r="G194" s="366">
        <f t="shared" si="1476"/>
        <v>24587.919961000051</v>
      </c>
      <c r="H194" s="366">
        <f t="shared" si="1476"/>
        <v>42450.041818181817</v>
      </c>
      <c r="I194" s="366">
        <f t="shared" si="1476"/>
        <v>49890.605187728768</v>
      </c>
      <c r="J194" s="366">
        <f t="shared" si="1476"/>
        <v>60364.95046366829</v>
      </c>
      <c r="K194" s="366">
        <f t="shared" si="1476"/>
        <v>62497.259050780995</v>
      </c>
      <c r="L194" s="366">
        <f t="shared" si="1476"/>
        <v>61400.73112057682</v>
      </c>
      <c r="M194" s="366">
        <f t="shared" si="1476"/>
        <v>68058.169318499335</v>
      </c>
      <c r="N194" s="366">
        <f t="shared" si="1476"/>
        <v>72918.146263474337</v>
      </c>
      <c r="O194" s="366">
        <f t="shared" si="1476"/>
        <v>85772.576873468119</v>
      </c>
      <c r="P194" s="366">
        <f t="shared" si="1476"/>
        <v>69900.350067698557</v>
      </c>
      <c r="Q194" s="366">
        <f t="shared" si="1476"/>
        <v>80824.991132340438</v>
      </c>
      <c r="R194" s="366">
        <f t="shared" si="1476"/>
        <v>89131.383317443178</v>
      </c>
      <c r="S194" s="366">
        <f t="shared" si="1476"/>
        <v>100671.37232894456</v>
      </c>
      <c r="T194" s="366">
        <f t="shared" si="1476"/>
        <v>96789.898179501339</v>
      </c>
      <c r="U194" s="366">
        <f t="shared" si="1476"/>
        <v>127051.57599457806</v>
      </c>
      <c r="V194" s="366"/>
      <c r="W194" s="366"/>
      <c r="X194" s="366"/>
      <c r="Y194" s="366"/>
      <c r="Z194" s="366"/>
      <c r="AA194" s="366">
        <f t="shared" ref="AA194:AV194" si="1477">SUBTOTAL(9,AA4:AA193)</f>
        <v>0</v>
      </c>
      <c r="AB194" s="366">
        <f t="shared" si="1477"/>
        <v>0</v>
      </c>
      <c r="AC194" s="397">
        <f t="shared" si="1477"/>
        <v>10000</v>
      </c>
      <c r="AD194" s="397">
        <f t="shared" si="1477"/>
        <v>32521.445714285714</v>
      </c>
      <c r="AE194" s="397">
        <f t="shared" si="1477"/>
        <v>71394.631136363649</v>
      </c>
      <c r="AF194" s="397">
        <f t="shared" si="1477"/>
        <v>187699.20255054545</v>
      </c>
      <c r="AG194" s="397">
        <f t="shared" si="1477"/>
        <v>897773.572146566</v>
      </c>
      <c r="AH194" s="397">
        <f t="shared" si="1477"/>
        <v>1112159.686836239</v>
      </c>
      <c r="AI194" s="397">
        <f t="shared" si="1477"/>
        <v>1161252.381623609</v>
      </c>
      <c r="AJ194" s="397">
        <f t="shared" si="1477"/>
        <v>490485.57999239065</v>
      </c>
      <c r="AK194" s="397">
        <f t="shared" si="1477"/>
        <v>1507988.4100000001</v>
      </c>
      <c r="AL194" s="397">
        <f t="shared" si="1477"/>
        <v>2492864.4</v>
      </c>
      <c r="AM194" s="397">
        <f t="shared" si="1477"/>
        <v>1622558.2015999998</v>
      </c>
      <c r="AN194" s="397">
        <f t="shared" si="1477"/>
        <v>2810659.9789000009</v>
      </c>
      <c r="AO194" s="397">
        <f t="shared" si="1477"/>
        <v>2037176.2843743174</v>
      </c>
      <c r="AP194" s="397">
        <f t="shared" si="1477"/>
        <v>1976976.4016898409</v>
      </c>
      <c r="AQ194" s="413">
        <f t="shared" si="1477"/>
        <v>2279065.4403088726</v>
      </c>
      <c r="AR194" s="413">
        <f t="shared" si="1477"/>
        <v>2231734.4587793285</v>
      </c>
      <c r="AS194" s="413">
        <f t="shared" si="1477"/>
        <v>1482609.6984181821</v>
      </c>
      <c r="AT194" s="397">
        <f t="shared" si="1477"/>
        <v>2395325.3584181019</v>
      </c>
      <c r="AU194" s="397">
        <f t="shared" si="1477"/>
        <v>643453.36501135712</v>
      </c>
      <c r="AV194" s="397">
        <f t="shared" si="1477"/>
        <v>0</v>
      </c>
      <c r="AW194" s="366"/>
      <c r="AX194" s="382">
        <f t="shared" ref="AX194:BQ194" si="1478">SUBTOTAL(9,AX4:AX193)</f>
        <v>45000</v>
      </c>
      <c r="AY194" s="382">
        <f t="shared" si="1478"/>
        <v>194969.19</v>
      </c>
      <c r="AZ194" s="382">
        <f t="shared" si="1478"/>
        <v>346447.23000000004</v>
      </c>
      <c r="BA194" s="382">
        <f t="shared" si="1478"/>
        <v>10604853.110000001</v>
      </c>
      <c r="BB194" s="382">
        <f t="shared" si="1478"/>
        <v>249800.41000000003</v>
      </c>
      <c r="BC194" s="382">
        <f t="shared" si="1478"/>
        <v>3434986.2700000005</v>
      </c>
      <c r="BD194" s="382">
        <f t="shared" si="1478"/>
        <v>351557.53</v>
      </c>
      <c r="BE194" s="382">
        <f t="shared" si="1478"/>
        <v>266594.96999999997</v>
      </c>
      <c r="BF194" s="382">
        <f t="shared" si="1478"/>
        <v>5527721.580000001</v>
      </c>
      <c r="BG194" s="382">
        <f t="shared" si="1478"/>
        <v>67996.44</v>
      </c>
      <c r="BH194" s="382">
        <f t="shared" si="1478"/>
        <v>416426.44</v>
      </c>
      <c r="BI194" s="382">
        <f t="shared" si="1478"/>
        <v>35628.9</v>
      </c>
      <c r="BJ194" s="382">
        <f t="shared" si="1478"/>
        <v>805244.14</v>
      </c>
      <c r="BK194" s="382">
        <f t="shared" si="1478"/>
        <v>46932.310000000012</v>
      </c>
      <c r="BL194" s="382">
        <f t="shared" si="1478"/>
        <v>754878.54</v>
      </c>
      <c r="BM194" s="382">
        <f t="shared" si="1478"/>
        <v>791862.98</v>
      </c>
      <c r="BN194" s="382">
        <f t="shared" si="1478"/>
        <v>650233.29999999993</v>
      </c>
      <c r="BO194" s="382">
        <f t="shared" si="1478"/>
        <v>451550</v>
      </c>
      <c r="BP194" s="382">
        <f t="shared" si="1478"/>
        <v>401015.14250000007</v>
      </c>
      <c r="BQ194" s="382">
        <f t="shared" si="1478"/>
        <v>0</v>
      </c>
      <c r="BR194" s="400">
        <f t="shared" si="1475"/>
        <v>1.5000000596046448E-2</v>
      </c>
    </row>
    <row r="195" spans="1:70" x14ac:dyDescent="0.25">
      <c r="A195" s="240"/>
      <c r="B195" s="240"/>
      <c r="C195" s="240"/>
      <c r="D195" s="240"/>
      <c r="E195" s="240"/>
      <c r="F195" s="240"/>
      <c r="G195" s="240"/>
      <c r="H195" s="313"/>
      <c r="I195" s="240"/>
      <c r="J195" s="240"/>
      <c r="K195" s="240"/>
      <c r="L195" s="240"/>
      <c r="M195" s="240"/>
      <c r="N195" s="240"/>
      <c r="O195" s="240"/>
      <c r="P195" s="240"/>
      <c r="Q195" s="240"/>
      <c r="R195" s="240"/>
      <c r="S195" s="240"/>
      <c r="T195" s="240"/>
      <c r="U195" s="240"/>
      <c r="V195" s="240"/>
      <c r="W195" s="240"/>
      <c r="X195" s="240"/>
      <c r="Y195" s="240"/>
      <c r="Z195" s="240"/>
      <c r="AA195" s="240"/>
      <c r="AB195" s="240"/>
      <c r="AC195" s="398">
        <f>+AC194</f>
        <v>10000</v>
      </c>
      <c r="AD195" s="399">
        <f>+AC195+AD194</f>
        <v>42521.445714285714</v>
      </c>
      <c r="AE195" s="399">
        <f>+AD195+AE194</f>
        <v>113916.07685064936</v>
      </c>
      <c r="AF195" s="399">
        <f>+AE195+AF194</f>
        <v>301615.27940119483</v>
      </c>
      <c r="AG195" s="399">
        <f t="shared" ref="AG195:AV195" si="1479">+AF195+AG194</f>
        <v>1199388.8515477609</v>
      </c>
      <c r="AH195" s="399">
        <f t="shared" si="1479"/>
        <v>2311548.5383839998</v>
      </c>
      <c r="AI195" s="399">
        <f t="shared" si="1479"/>
        <v>3472800.9200076088</v>
      </c>
      <c r="AJ195" s="399">
        <f t="shared" si="1479"/>
        <v>3963286.4999999995</v>
      </c>
      <c r="AK195" s="399">
        <f t="shared" si="1479"/>
        <v>5471274.9100000001</v>
      </c>
      <c r="AL195" s="399">
        <f t="shared" si="1479"/>
        <v>7964139.3100000005</v>
      </c>
      <c r="AM195" s="399">
        <f t="shared" si="1479"/>
        <v>9586697.5116000008</v>
      </c>
      <c r="AN195" s="399">
        <f t="shared" si="1479"/>
        <v>12397357.490500001</v>
      </c>
      <c r="AO195" s="399">
        <f t="shared" si="1479"/>
        <v>14434533.774874318</v>
      </c>
      <c r="AP195" s="399">
        <f t="shared" si="1479"/>
        <v>16411510.176564159</v>
      </c>
      <c r="AQ195" s="399">
        <f t="shared" si="1479"/>
        <v>18690575.616873033</v>
      </c>
      <c r="AR195" s="399">
        <f t="shared" si="1479"/>
        <v>20922310.075652361</v>
      </c>
      <c r="AS195" s="399">
        <f t="shared" si="1479"/>
        <v>22404919.774070542</v>
      </c>
      <c r="AT195" s="399">
        <f t="shared" si="1479"/>
        <v>24800245.132488646</v>
      </c>
      <c r="AU195" s="399">
        <f t="shared" si="1479"/>
        <v>25443698.497500002</v>
      </c>
      <c r="AV195" s="399">
        <f t="shared" si="1479"/>
        <v>25443698.497500002</v>
      </c>
      <c r="AW195" s="240"/>
      <c r="AX195" s="401">
        <f>+AX194</f>
        <v>45000</v>
      </c>
      <c r="AY195" s="383">
        <f>+AX195+AY194</f>
        <v>239969.19</v>
      </c>
      <c r="AZ195" s="383">
        <f>+AY195+AZ194</f>
        <v>586416.42000000004</v>
      </c>
      <c r="BA195" s="383">
        <f>+AZ195+BA194</f>
        <v>11191269.530000001</v>
      </c>
      <c r="BB195" s="383">
        <f t="shared" ref="BB195:BQ195" si="1480">+BA195+BB194</f>
        <v>11441069.940000001</v>
      </c>
      <c r="BC195" s="383">
        <f t="shared" si="1480"/>
        <v>14876056.210000001</v>
      </c>
      <c r="BD195" s="383">
        <f t="shared" si="1480"/>
        <v>15227613.74</v>
      </c>
      <c r="BE195" s="383">
        <f t="shared" si="1480"/>
        <v>15494208.710000001</v>
      </c>
      <c r="BF195" s="383">
        <f t="shared" si="1480"/>
        <v>21021930.290000003</v>
      </c>
      <c r="BG195" s="383">
        <f t="shared" si="1480"/>
        <v>21089926.730000004</v>
      </c>
      <c r="BH195" s="383">
        <f t="shared" si="1480"/>
        <v>21506353.170000006</v>
      </c>
      <c r="BI195" s="383">
        <f t="shared" si="1480"/>
        <v>21541982.070000004</v>
      </c>
      <c r="BJ195" s="383">
        <f t="shared" si="1480"/>
        <v>22347226.210000005</v>
      </c>
      <c r="BK195" s="383">
        <f t="shared" si="1480"/>
        <v>22394158.520000003</v>
      </c>
      <c r="BL195" s="383">
        <f t="shared" si="1480"/>
        <v>23149037.060000002</v>
      </c>
      <c r="BM195" s="383">
        <f t="shared" si="1480"/>
        <v>23940900.040000003</v>
      </c>
      <c r="BN195" s="383">
        <f t="shared" si="1480"/>
        <v>24591133.340000004</v>
      </c>
      <c r="BO195" s="383">
        <f t="shared" si="1480"/>
        <v>25042683.340000004</v>
      </c>
      <c r="BP195" s="383">
        <f t="shared" si="1480"/>
        <v>25443698.482500002</v>
      </c>
      <c r="BQ195" s="383">
        <f t="shared" si="1480"/>
        <v>25443698.482500002</v>
      </c>
      <c r="BR195" s="400"/>
    </row>
    <row r="196" spans="1:70" ht="21" x14ac:dyDescent="0.35">
      <c r="D196" s="329">
        <f>+D73++D68</f>
        <v>232750</v>
      </c>
      <c r="N196" s="245"/>
      <c r="P196" s="293"/>
      <c r="V196" s="293"/>
      <c r="AC196" s="508" t="s">
        <v>269</v>
      </c>
      <c r="AD196" s="508"/>
      <c r="AE196" s="508"/>
      <c r="AF196" s="508"/>
      <c r="AG196" s="508"/>
      <c r="AH196" s="508"/>
      <c r="AI196" s="508"/>
      <c r="AJ196" s="508"/>
      <c r="AK196" s="508"/>
      <c r="AL196" s="508"/>
      <c r="AM196" s="508"/>
      <c r="AN196" s="508"/>
      <c r="AO196" s="508"/>
      <c r="AP196" s="508"/>
      <c r="AQ196" s="508"/>
      <c r="AR196" s="508"/>
      <c r="AS196" s="508"/>
      <c r="AT196" s="508"/>
      <c r="AU196" s="508"/>
      <c r="AV196" s="508"/>
      <c r="AX196" s="509" t="s">
        <v>270</v>
      </c>
      <c r="AY196" s="509"/>
      <c r="AZ196" s="509"/>
      <c r="BA196" s="509"/>
      <c r="BB196" s="509"/>
      <c r="BC196" s="509"/>
      <c r="BD196" s="509"/>
      <c r="BE196" s="509"/>
      <c r="BF196" s="509"/>
      <c r="BG196" s="509"/>
      <c r="BH196" s="509"/>
      <c r="BI196" s="509"/>
      <c r="BJ196" s="509"/>
      <c r="BK196" s="509"/>
      <c r="BL196" s="509"/>
      <c r="BM196" s="509"/>
      <c r="BN196" s="509"/>
      <c r="BO196" s="509"/>
      <c r="BP196" s="509"/>
      <c r="BQ196" s="509"/>
      <c r="BR196" s="509"/>
    </row>
    <row r="197" spans="1:70" x14ac:dyDescent="0.25">
      <c r="S197" s="246"/>
      <c r="Z197" s="338">
        <f>+D165-Z165</f>
        <v>-8000</v>
      </c>
      <c r="AF197" s="245"/>
      <c r="AI197" s="245"/>
      <c r="AJ197" s="246"/>
      <c r="AK197" s="246"/>
      <c r="AL197" s="246"/>
      <c r="AM197" s="245"/>
      <c r="AN197" s="246"/>
      <c r="AO197" s="246"/>
      <c r="AP197" s="399"/>
      <c r="BE197" s="246"/>
      <c r="BF197" s="246"/>
      <c r="BG197" s="246"/>
      <c r="BH197" s="246"/>
      <c r="BI197" s="246"/>
      <c r="BK197" s="290"/>
    </row>
    <row r="198" spans="1:70" x14ac:dyDescent="0.25">
      <c r="S198" s="246"/>
      <c r="V198" s="245"/>
      <c r="AK198" s="246"/>
      <c r="AO198" s="246"/>
      <c r="AP198" s="245"/>
      <c r="AQ198" s="245"/>
      <c r="AR198" s="245"/>
      <c r="BH198" s="246"/>
      <c r="BI198" s="246"/>
      <c r="BJ198" s="246"/>
      <c r="BK198" s="246"/>
      <c r="BP198" s="294"/>
    </row>
    <row r="199" spans="1:70" x14ac:dyDescent="0.25">
      <c r="D199" s="246"/>
      <c r="BJ199" s="246"/>
      <c r="BK199" s="294"/>
    </row>
    <row r="200" spans="1:70" x14ac:dyDescent="0.25">
      <c r="D200" s="246"/>
      <c r="AP200" s="245"/>
      <c r="BG200" s="246"/>
      <c r="BK200" s="246"/>
    </row>
    <row r="201" spans="1:70" x14ac:dyDescent="0.25">
      <c r="O201" s="246"/>
      <c r="R201" s="246"/>
      <c r="T201" s="246"/>
      <c r="AQ201" s="414"/>
      <c r="AR201" s="290"/>
      <c r="AU201" s="246"/>
      <c r="BK201" s="246"/>
      <c r="BL201" s="294"/>
    </row>
    <row r="202" spans="1:70" x14ac:dyDescent="0.25">
      <c r="BL202" s="294"/>
    </row>
    <row r="203" spans="1:70" x14ac:dyDescent="0.25">
      <c r="Q203" s="246"/>
      <c r="AL203" s="305"/>
    </row>
    <row r="204" spans="1:70" x14ac:dyDescent="0.25">
      <c r="AL204" s="305"/>
      <c r="AO204" s="290"/>
      <c r="AP204" s="290"/>
      <c r="AQ204" s="290"/>
      <c r="AR204" s="290"/>
      <c r="AS204" s="246"/>
      <c r="AU204" s="338"/>
    </row>
    <row r="205" spans="1:70" x14ac:dyDescent="0.25">
      <c r="AP205" s="290"/>
      <c r="AQ205" s="290"/>
    </row>
    <row r="208" spans="1:70" x14ac:dyDescent="0.25">
      <c r="AO208" s="290"/>
      <c r="AP208" s="290"/>
      <c r="AQ208" s="290"/>
      <c r="AR208" s="290"/>
    </row>
    <row r="209" spans="41:44" x14ac:dyDescent="0.25">
      <c r="AO209" s="290"/>
      <c r="AP209" s="290"/>
      <c r="AQ209" s="290"/>
      <c r="AR209" s="290"/>
    </row>
    <row r="210" spans="41:44" x14ac:dyDescent="0.25">
      <c r="AP210" s="290"/>
      <c r="AQ210" s="290"/>
    </row>
  </sheetData>
  <autoFilter ref="A3:BR192"/>
  <sortState ref="A4:BE72">
    <sortCondition ref="A72"/>
  </sortState>
  <mergeCells count="18">
    <mergeCell ref="B188:C188"/>
    <mergeCell ref="B189:C189"/>
    <mergeCell ref="AC196:AV196"/>
    <mergeCell ref="AX196:BR196"/>
    <mergeCell ref="B191:C191"/>
    <mergeCell ref="B172:C172"/>
    <mergeCell ref="B173:C173"/>
    <mergeCell ref="B174:C174"/>
    <mergeCell ref="B175:C175"/>
    <mergeCell ref="B176:C176"/>
    <mergeCell ref="B178:C178"/>
    <mergeCell ref="B180:C180"/>
    <mergeCell ref="B181:C181"/>
    <mergeCell ref="B183:C183"/>
    <mergeCell ref="B190:C190"/>
    <mergeCell ref="B184:C184"/>
    <mergeCell ref="B185:C185"/>
    <mergeCell ref="B186:C186"/>
  </mergeCells>
  <phoneticPr fontId="28" type="noConversion"/>
  <pageMargins left="0.7" right="0.7" top="0.75" bottom="0.75" header="0.3" footer="0.3"/>
  <pageSetup scale="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O54"/>
  <sheetViews>
    <sheetView showGridLines="0" topLeftCell="A14" workbookViewId="0">
      <selection activeCell="C22" sqref="C22"/>
    </sheetView>
  </sheetViews>
  <sheetFormatPr baseColWidth="10" defaultColWidth="8.85546875" defaultRowHeight="15" x14ac:dyDescent="0.25"/>
  <cols>
    <col min="1" max="1" width="47" customWidth="1"/>
    <col min="2" max="2" width="7" customWidth="1"/>
    <col min="3" max="7" width="8.5703125" customWidth="1"/>
    <col min="8" max="8" width="17.42578125" style="338" bestFit="1" customWidth="1"/>
    <col min="9" max="9" width="13.5703125" style="338" bestFit="1" customWidth="1"/>
    <col min="10" max="10" width="13.140625" style="338" bestFit="1" customWidth="1"/>
    <col min="11" max="11" width="4.85546875" style="338" customWidth="1"/>
    <col min="12" max="15" width="4.85546875" style="290" customWidth="1"/>
  </cols>
  <sheetData>
    <row r="1" spans="1:11" s="290" customFormat="1" hidden="1" x14ac:dyDescent="0.25">
      <c r="H1" s="338"/>
      <c r="I1" s="338"/>
      <c r="J1" s="338"/>
      <c r="K1" s="338"/>
    </row>
    <row r="2" spans="1:11" s="290" customFormat="1" hidden="1" x14ac:dyDescent="0.25">
      <c r="H2" s="338"/>
      <c r="I2" s="338"/>
      <c r="J2" s="338"/>
      <c r="K2" s="338"/>
    </row>
    <row r="3" spans="1:11" s="290" customFormat="1" hidden="1" x14ac:dyDescent="0.25">
      <c r="H3" s="338"/>
      <c r="I3" s="338"/>
      <c r="J3" s="338"/>
      <c r="K3" s="338"/>
    </row>
    <row r="4" spans="1:11" s="290" customFormat="1" hidden="1" x14ac:dyDescent="0.25">
      <c r="H4" s="338"/>
      <c r="I4" s="338"/>
      <c r="J4" s="338"/>
      <c r="K4" s="338"/>
    </row>
    <row r="5" spans="1:11" s="290" customFormat="1" hidden="1" x14ac:dyDescent="0.25">
      <c r="H5" s="338"/>
      <c r="I5" s="338"/>
      <c r="J5" s="338"/>
      <c r="K5" s="338"/>
    </row>
    <row r="6" spans="1:11" s="290" customFormat="1" hidden="1" x14ac:dyDescent="0.25">
      <c r="H6" s="338"/>
      <c r="I6" s="338"/>
      <c r="J6" s="338"/>
      <c r="K6" s="338"/>
    </row>
    <row r="7" spans="1:11" s="290" customFormat="1" hidden="1" x14ac:dyDescent="0.25">
      <c r="H7" s="338"/>
      <c r="I7" s="338"/>
      <c r="J7" s="338"/>
      <c r="K7" s="338"/>
    </row>
    <row r="8" spans="1:11" s="290" customFormat="1" hidden="1" x14ac:dyDescent="0.25">
      <c r="H8" s="338"/>
      <c r="I8" s="338"/>
      <c r="J8" s="338"/>
      <c r="K8" s="338"/>
    </row>
    <row r="9" spans="1:11" s="290" customFormat="1" hidden="1" x14ac:dyDescent="0.25">
      <c r="H9" s="338"/>
      <c r="I9" s="338"/>
      <c r="J9" s="338"/>
      <c r="K9" s="338"/>
    </row>
    <row r="10" spans="1:11" s="290" customFormat="1" hidden="1" x14ac:dyDescent="0.25">
      <c r="H10" s="338"/>
      <c r="I10" s="338"/>
      <c r="J10" s="338"/>
      <c r="K10" s="338"/>
    </row>
    <row r="11" spans="1:11" s="290" customFormat="1" hidden="1" x14ac:dyDescent="0.25">
      <c r="H11" s="338"/>
      <c r="I11" s="338"/>
      <c r="J11" s="338"/>
      <c r="K11" s="338"/>
    </row>
    <row r="12" spans="1:11" s="290" customFormat="1" hidden="1" x14ac:dyDescent="0.25">
      <c r="H12" s="338"/>
      <c r="I12" s="338"/>
      <c r="J12" s="338"/>
      <c r="K12" s="338"/>
    </row>
    <row r="13" spans="1:11" hidden="1" x14ac:dyDescent="0.25">
      <c r="A13" s="290"/>
    </row>
    <row r="14" spans="1:11" x14ac:dyDescent="0.25">
      <c r="A14" s="187" t="s">
        <v>85</v>
      </c>
    </row>
    <row r="15" spans="1:11" s="356" customFormat="1" x14ac:dyDescent="0.25">
      <c r="A15" s="355"/>
      <c r="C15" s="361"/>
      <c r="D15" s="361"/>
      <c r="E15" s="511"/>
      <c r="F15" s="512"/>
      <c r="G15" s="513"/>
      <c r="H15" s="362"/>
      <c r="I15" s="362"/>
      <c r="J15" s="362"/>
      <c r="K15" s="357"/>
    </row>
    <row r="16" spans="1:11" x14ac:dyDescent="0.25">
      <c r="A16" s="44" t="s">
        <v>67</v>
      </c>
      <c r="C16" s="358"/>
      <c r="D16" s="359"/>
      <c r="E16" s="359"/>
      <c r="F16" s="359"/>
      <c r="G16" s="359"/>
      <c r="H16" s="360"/>
      <c r="I16" s="360"/>
      <c r="J16" s="360"/>
    </row>
    <row r="17" spans="1:10" x14ac:dyDescent="0.25">
      <c r="A17" s="49" t="s">
        <v>68</v>
      </c>
      <c r="B17" s="245">
        <f>IF('DFP-Com'!M15-'DFP-CASH'!M17=0,"ok",'DFP-Com'!M15-'DFP-CASH'!M17)</f>
        <v>4.8907473683357239E-4</v>
      </c>
      <c r="C17" s="359" t="str">
        <f>IF(SUM('DFP-CASH'!$C17:C17)&gt;SUM('DFP-Com'!$C15:D15),SUM('DFP-CASH'!$C17:C17)-SUM('DFP-Com'!$C15:D15),"ok")</f>
        <v>ok</v>
      </c>
      <c r="D17" s="359" t="str">
        <f>IF(SUM('DFP-CASH'!$C17:D17)&gt;SUM('DFP-Com'!$C15:E15),SUM('DFP-CASH'!$C17:D17)-SUM('DFP-Com'!$C15:E15),"ok")</f>
        <v>ok</v>
      </c>
      <c r="E17" s="359" t="str">
        <f>IF(SUM('DFP-CASH'!$C17:E17)&gt;SUM('DFP-Com'!$C15:F15),SUM('DFP-CASH'!$C17:E17)-SUM('DFP-Com'!$C15:F15),"ok")</f>
        <v>ok</v>
      </c>
      <c r="F17" s="359" t="str">
        <f>IF(SUM('DFP-CASH'!$C17:F17)&gt;SUM('DFP-Com'!$C15:G15),SUM('DFP-CASH'!$C17:F17)-SUM('DFP-Com'!$C15:G15),"ok")</f>
        <v>ok</v>
      </c>
      <c r="G17" s="359" t="str">
        <f>IF(SUM('DFP-CASH'!$C17:G17)&gt;SUM('DFP-Com'!$C15:G15),SUM('DFP-CASH'!$C17:G17)-SUM('DFP-Com'!$C15:G15),"ok")</f>
        <v>ok</v>
      </c>
      <c r="H17" s="359" t="str">
        <f>IF(SUM('DFP-CASH'!$C17:$G17)+('DFP-CASH'!H17)&gt;SUM('DFP-Com'!$C15:I15),SUM('DFP-CASH'!$C17:H17)-SUM('DFP-Com'!$C15:I15),"ok")</f>
        <v>ok</v>
      </c>
      <c r="I17" s="359" t="str">
        <f>IF(SUM('DFP-CASH'!$C17:$G17)+('DFP-CASH'!I17)&gt;SUM('DFP-Com'!$C15:J15),SUM('DFP-CASH'!$C17:I17)-SUM('DFP-Com'!$C15:J15),"ok")</f>
        <v>ok</v>
      </c>
      <c r="J17" s="359" t="str">
        <f>IF(SUM('DFP-CASH'!$C17:$G17)+('DFP-CASH'!J17)&gt;SUM('DFP-Com'!$C15:K15),SUM('DFP-CASH'!$C17:J17)-SUM('DFP-Com'!$C15:K15),"ok")</f>
        <v>ok</v>
      </c>
    </row>
    <row r="18" spans="1:10" x14ac:dyDescent="0.25">
      <c r="A18" s="199" t="s">
        <v>95</v>
      </c>
      <c r="B18" s="245">
        <f>IF('DFP-Com'!M16-'DFP-CASH'!M18=0,"ok",'DFP-Com'!M16-'DFP-CASH'!M18)</f>
        <v>4.8907659947872162E-4</v>
      </c>
      <c r="C18" s="359" t="str">
        <f>IF(SUM('DFP-CASH'!$C18:C18)&gt;SUM('DFP-Com'!$C16:C16),SUM('DFP-CASH'!$C18:C18)-SUM('DFP-Com'!$C16:C16),"ok")</f>
        <v>ok</v>
      </c>
      <c r="D18" s="359" t="str">
        <f>IF(SUM('DFP-CASH'!$C18:D18)&gt;SUM('DFP-Com'!$C16:E16),SUM('DFP-CASH'!$C18:D18)-SUM('DFP-Com'!$C16:E16),"ok")</f>
        <v>ok</v>
      </c>
      <c r="E18" s="359" t="str">
        <f>IF(SUM('DFP-CASH'!$C18:E18)&gt;SUM('DFP-Com'!$C16:F16),SUM('DFP-CASH'!$C18:E18)-SUM('DFP-Com'!$C16:F16),"ok")</f>
        <v>ok</v>
      </c>
      <c r="F18" s="359" t="str">
        <f>IF(SUM('DFP-CASH'!$C18:F18)&gt;SUM('DFP-Com'!$C16:G16),SUM('DFP-CASH'!$C18:F18)-SUM('DFP-Com'!$C16:G16),"ok")</f>
        <v>ok</v>
      </c>
      <c r="G18" s="359" t="str">
        <f>IF(SUM('DFP-CASH'!$C18:G18)&gt;SUM('DFP-Com'!$C16:G16),SUM('DFP-CASH'!$C18:G18)-SUM('DFP-Com'!$C16:G16),"ok")</f>
        <v>ok</v>
      </c>
      <c r="H18" s="359" t="str">
        <f>IF(SUM('DFP-CASH'!$C18:$G18)+('DFP-CASH'!H18)&gt;SUM('DFP-Com'!$C16:I16),SUM('DFP-CASH'!$C18:H18)-SUM('DFP-Com'!$C16:I16),"ok")</f>
        <v>ok</v>
      </c>
      <c r="I18" s="359" t="str">
        <f>IF(SUM('DFP-CASH'!$C18:$G18)+('DFP-CASH'!I18)&gt;SUM('DFP-Com'!$C16:J16),SUM('DFP-CASH'!$C18:I18)-SUM('DFP-Com'!$C16:J16),"ok")</f>
        <v>ok</v>
      </c>
      <c r="J18" s="359" t="str">
        <f>IF(SUM('DFP-CASH'!$C18:$G18)+('DFP-CASH'!J18)&gt;SUM('DFP-Com'!$C16:K16),SUM('DFP-CASH'!$C18:J18)-SUM('DFP-Com'!$C16:K16),"ok")</f>
        <v>ok</v>
      </c>
    </row>
    <row r="19" spans="1:10" x14ac:dyDescent="0.25">
      <c r="A19" s="199" t="s">
        <v>96</v>
      </c>
      <c r="B19" s="245">
        <f>IF('DFP-Com'!M17-'DFP-CASH'!M19=0,"ok",'DFP-Com'!M17-'DFP-CASH'!M19)</f>
        <v>-9.3132257461547852E-10</v>
      </c>
      <c r="C19" s="359" t="str">
        <f>IF(SUM('DFP-CASH'!$C19:C19)&gt;SUM('DFP-Com'!$C17:C17),SUM('DFP-CASH'!$C19:C19)-SUM('DFP-Com'!$C17:C17),"ok")</f>
        <v>ok</v>
      </c>
      <c r="D19" s="359" t="str">
        <f>IF(SUM('DFP-CASH'!$C19:D19)&gt;SUM('DFP-Com'!$C17:D17),SUM('DFP-CASH'!$C19:D19)-SUM('DFP-Com'!$C17:D17),"ok")</f>
        <v>ok</v>
      </c>
      <c r="E19" s="359" t="str">
        <f>IF(SUM('DFP-CASH'!$C19:E19)&gt;SUM('DFP-Com'!$C17:E17),SUM('DFP-CASH'!$C19:E19)-SUM('DFP-Com'!$C17:E17),"ok")</f>
        <v>ok</v>
      </c>
      <c r="F19" s="359" t="str">
        <f>IF(SUM('DFP-CASH'!$C19:F19)&gt;SUM('DFP-Com'!$C17:F17),SUM('DFP-CASH'!$C19:F19)-SUM('DFP-Com'!$C17:F17),"ok")</f>
        <v>ok</v>
      </c>
      <c r="G19" s="359" t="str">
        <f>IF(SUM('DFP-CASH'!$C19:G19)&gt;SUM('DFP-Com'!$C17:G17),SUM('DFP-CASH'!$C19:G19)-SUM('DFP-Com'!$C17:G17),"ok")</f>
        <v>ok</v>
      </c>
      <c r="H19" s="359" t="str">
        <f>IF(SUM('DFP-CASH'!$C19:$G19)+('DFP-CASH'!H19)&gt;SUM('DFP-Com'!$C17:I17),SUM('DFP-CASH'!$C19:H19)-SUM('DFP-Com'!$C17:I17),"ok")</f>
        <v>ok</v>
      </c>
      <c r="I19" s="359" t="str">
        <f>IF(SUM('DFP-CASH'!$C19:$G19)+('DFP-CASH'!I19)&gt;SUM('DFP-Com'!$C17:J17),SUM('DFP-CASH'!$C19:I19)-SUM('DFP-Com'!$C17:J17),"ok")</f>
        <v>ok</v>
      </c>
      <c r="J19" s="359" t="str">
        <f>IF(SUM('DFP-CASH'!$C19:$G19)+('DFP-CASH'!J19)&gt;SUM('DFP-Com'!$C17:K17),SUM('DFP-CASH'!$C19:J19)-SUM('DFP-Com'!$C17:K17),"ok")</f>
        <v>ok</v>
      </c>
    </row>
    <row r="20" spans="1:10" x14ac:dyDescent="0.25">
      <c r="A20" s="199" t="s">
        <v>103</v>
      </c>
      <c r="B20" s="245" t="str">
        <f>IF('DFP-Com'!M18-'DFP-CASH'!M20=0,"ok",'DFP-Com'!M18-'DFP-CASH'!M20)</f>
        <v>ok</v>
      </c>
      <c r="C20" s="359" t="str">
        <f>IF(SUM('DFP-CASH'!$C20:C20)&gt;SUM('DFP-Com'!$C18:D18),SUM('DFP-CASH'!$C20:C20)-SUM('DFP-Com'!$C18:D18),"ok")</f>
        <v>ok</v>
      </c>
      <c r="D20" s="359" t="str">
        <f>IF(SUM('DFP-CASH'!$C20:D20)&gt;SUM('DFP-Com'!$C18:E18),SUM('DFP-CASH'!$C20:D20)-SUM('DFP-Com'!$C18:E18),"ok")</f>
        <v>ok</v>
      </c>
      <c r="E20" s="359" t="str">
        <f>IF(SUM('DFP-CASH'!$C20:E20)&gt;SUM('DFP-Com'!$C18:F18),SUM('DFP-CASH'!$C20:E20)-SUM('DFP-Com'!$C18:F18),"ok")</f>
        <v>ok</v>
      </c>
      <c r="F20" s="359" t="str">
        <f>IF(SUM('DFP-CASH'!$C20:F20)&gt;SUM('DFP-Com'!$C18:G18),SUM('DFP-CASH'!$C20:F20)-SUM('DFP-Com'!$C18:G18),"ok")</f>
        <v>ok</v>
      </c>
      <c r="G20" s="359" t="str">
        <f>IF(SUM('DFP-CASH'!$C20:G20)&gt;SUM('DFP-Com'!$C18:G18),SUM('DFP-CASH'!$C20:G20)-SUM('DFP-Com'!$C18:G18),"ok")</f>
        <v>ok</v>
      </c>
      <c r="H20" s="359" t="str">
        <f>IF(SUM('DFP-CASH'!$C20:$G20)+('DFP-CASH'!H20)&gt;SUM('DFP-Com'!$C18:I18),SUM('DFP-CASH'!$C20:H20)-SUM('DFP-Com'!$C18:I18),"ok")</f>
        <v>ok</v>
      </c>
      <c r="I20" s="359" t="str">
        <f>IF(SUM('DFP-CASH'!$C20:$G20)+('DFP-CASH'!I20)&gt;SUM('DFP-Com'!$C18:J18),SUM('DFP-CASH'!$C20:I20)-SUM('DFP-Com'!$C18:J18),"ok")</f>
        <v>ok</v>
      </c>
      <c r="J20" s="359" t="str">
        <f>IF(SUM('DFP-CASH'!$C20:$G20)+('DFP-CASH'!J20)&gt;SUM('DFP-Com'!$C18:K18),SUM('DFP-CASH'!$C20:J20)-SUM('DFP-Com'!$C18:K18),"ok")</f>
        <v>ok</v>
      </c>
    </row>
    <row r="21" spans="1:10" ht="25.5" x14ac:dyDescent="0.25">
      <c r="A21" s="49" t="s">
        <v>69</v>
      </c>
      <c r="B21" s="245">
        <f>IF('DFP-Com'!M19-'DFP-CASH'!M21=0,"ok",'DFP-Com'!M19-'DFP-CASH'!M21)</f>
        <v>-4.9999197944998741E-3</v>
      </c>
      <c r="C21" s="359" t="str">
        <f>IF(SUM('DFP-CASH'!$C21:C21)&gt;SUM('DFP-Com'!$C19:D19),SUM('DFP-CASH'!$C21:C21)-SUM('DFP-Com'!$C19:D19),"ok")</f>
        <v>ok</v>
      </c>
      <c r="D21" s="359" t="str">
        <f>IF(SUM('DFP-CASH'!$C21:D21)&gt;SUM('DFP-Com'!$C19:E19),SUM('DFP-CASH'!$C21:D21)-SUM('DFP-Com'!$C19:E19),"ok")</f>
        <v>ok</v>
      </c>
      <c r="E21" s="359" t="str">
        <f>IF(SUM('DFP-CASH'!$C21:E21)&gt;SUM('DFP-Com'!$C19:F19),SUM('DFP-CASH'!$C21:E21)-SUM('DFP-Com'!$C19:F19),"ok")</f>
        <v>ok</v>
      </c>
      <c r="F21" s="359" t="str">
        <f>IF(SUM('DFP-CASH'!$C21:F21)&gt;SUM('DFP-Com'!$C19:G19),SUM('DFP-CASH'!$C21:F21)-SUM('DFP-Com'!$C19:G19),"ok")</f>
        <v>ok</v>
      </c>
      <c r="G21" s="359" t="str">
        <f>IF(SUM('DFP-CASH'!$C21:G21)&gt;SUM('DFP-Com'!$C19:G19),SUM('DFP-CASH'!$C21:G21)-SUM('DFP-Com'!$C19:G19),"ok")</f>
        <v>ok</v>
      </c>
      <c r="H21" s="359" t="str">
        <f>IF(SUM('DFP-CASH'!$C21:$G21)+('DFP-CASH'!H21)&gt;SUM('DFP-Com'!$C19:I19),SUM('DFP-CASH'!$C21:H21)-SUM('DFP-Com'!$C19:I19),"ok")</f>
        <v>ok</v>
      </c>
      <c r="I21" s="359" t="str">
        <f>IF(SUM('DFP-CASH'!$C21:$G21)+('DFP-CASH'!I21)&gt;SUM('DFP-Com'!$C19:J19),SUM('DFP-CASH'!$C21:I21)-SUM('DFP-Com'!$C19:J19),"ok")</f>
        <v>ok</v>
      </c>
      <c r="J21" s="359" t="str">
        <f>IF(SUM('DFP-CASH'!$C21:$G21)+('DFP-CASH'!J21)&gt;SUM('DFP-Com'!$C19:K19),SUM('DFP-CASH'!$C21:J21)-SUM('DFP-Com'!$C19:K19),"ok")</f>
        <v>ok</v>
      </c>
    </row>
    <row r="22" spans="1:10" x14ac:dyDescent="0.25">
      <c r="A22" s="199" t="s">
        <v>104</v>
      </c>
      <c r="B22" s="245">
        <f>IF('DFP-Com'!M20-'DFP-CASH'!M22=0,"ok",'DFP-Com'!M20-'DFP-CASH'!M22)</f>
        <v>-4.9999197944998741E-3</v>
      </c>
      <c r="C22" s="359" t="str">
        <f>IF(SUM('DFP-CASH'!$C22:C22)&gt;SUM('DFP-Com'!$C20:D20),SUM('DFP-CASH'!$C22:C22)-SUM('DFP-Com'!$C20:D20),"ok")</f>
        <v>ok</v>
      </c>
      <c r="D22" s="359" t="str">
        <f>IF(SUM('DFP-CASH'!$C22:D22)&gt;SUM('DFP-Com'!$C20:E20),SUM('DFP-CASH'!$C22:D22)-SUM('DFP-Com'!$C20:E20),"ok")</f>
        <v>ok</v>
      </c>
      <c r="E22" s="359" t="str">
        <f>IF(SUM('DFP-CASH'!$C22:E22)&gt;SUM('DFP-Com'!$C20:F20),SUM('DFP-CASH'!$C22:E22)-SUM('DFP-Com'!$C20:F20),"ok")</f>
        <v>ok</v>
      </c>
      <c r="F22" s="359" t="str">
        <f>IF(SUM('DFP-CASH'!$C22:F22)&gt;SUM('DFP-Com'!$C20:G20),SUM('DFP-CASH'!$C22:F22)-SUM('DFP-Com'!$C20:G20),"ok")</f>
        <v>ok</v>
      </c>
      <c r="G22" s="359" t="str">
        <f>IF(SUM('DFP-CASH'!$C22:G22)&gt;SUM('DFP-Com'!$C20:G20),SUM('DFP-CASH'!$C22:G22)-SUM('DFP-Com'!$C20:G20),"ok")</f>
        <v>ok</v>
      </c>
      <c r="H22" s="359" t="str">
        <f>IF(SUM('DFP-CASH'!$C22:$G22)+('DFP-CASH'!H22)&gt;SUM('DFP-Com'!$C20:I20),SUM('DFP-CASH'!$C22:H22)-SUM('DFP-Com'!$C20:I20),"ok")</f>
        <v>ok</v>
      </c>
      <c r="I22" s="359" t="str">
        <f>IF(SUM('DFP-CASH'!$C22:$G22)+('DFP-CASH'!I22)&gt;SUM('DFP-Com'!$C20:J20),SUM('DFP-CASH'!$C22:I22)-SUM('DFP-Com'!$C20:J20),"ok")</f>
        <v>ok</v>
      </c>
      <c r="J22" s="359" t="str">
        <f>IF(SUM('DFP-CASH'!$C22:$G22)+('DFP-CASH'!J22)&gt;SUM('DFP-Com'!$C20:K20),SUM('DFP-CASH'!$C22:J22)-SUM('DFP-Com'!$C20:K20),"ok")</f>
        <v>ok</v>
      </c>
    </row>
    <row r="23" spans="1:10" ht="25.5" x14ac:dyDescent="0.25">
      <c r="A23" s="49" t="s">
        <v>70</v>
      </c>
      <c r="B23" s="245">
        <f>IF('DFP-Com'!M21-'DFP-CASH'!M23=0,"ok",'DFP-Com'!M21-'DFP-CASH'!M23)</f>
        <v>6.0749994590878487E-3</v>
      </c>
      <c r="C23" s="359" t="str">
        <f>IF(SUM('DFP-CASH'!$C23:C23)&gt;SUM('DFP-Com'!$C21:D21),SUM('DFP-CASH'!$C23:C23)-SUM('DFP-Com'!$C21:D21),"ok")</f>
        <v>ok</v>
      </c>
      <c r="D23" s="359" t="str">
        <f>IF(SUM('DFP-CASH'!$C23:D23)&gt;SUM('DFP-Com'!$C21:E21),SUM('DFP-CASH'!$C23:D23)-SUM('DFP-Com'!$C21:E21),"ok")</f>
        <v>ok</v>
      </c>
      <c r="E23" s="359" t="str">
        <f>IF(SUM('DFP-CASH'!$C23:E23)&gt;SUM('DFP-Com'!$C21:F21),SUM('DFP-CASH'!$C23:E23)-SUM('DFP-Com'!$C21:F21),"ok")</f>
        <v>ok</v>
      </c>
      <c r="F23" s="359" t="str">
        <f>IF(SUM('DFP-CASH'!$C23:F23)&gt;SUM('DFP-Com'!$C21:G21),SUM('DFP-CASH'!$C23:F23)-SUM('DFP-Com'!$C21:G21),"ok")</f>
        <v>ok</v>
      </c>
      <c r="G23" s="359" t="str">
        <f>IF(SUM('DFP-CASH'!$C23:G23)&gt;SUM('DFP-Com'!$C21:G21),SUM('DFP-CASH'!$C23:G23)-SUM('DFP-Com'!$C21:G21),"ok")</f>
        <v>ok</v>
      </c>
      <c r="H23" s="359" t="str">
        <f>IF(SUM('DFP-CASH'!$C23:$G23)+('DFP-CASH'!H23)&gt;SUM('DFP-Com'!$C21:I21),SUM('DFP-CASH'!$C23:H23)-SUM('DFP-Com'!$C21:I21),"ok")</f>
        <v>ok</v>
      </c>
      <c r="I23" s="359" t="str">
        <f>IF(SUM('DFP-CASH'!$C23:$G23)+('DFP-CASH'!I23)&gt;SUM('DFP-Com'!$C21:J21),SUM('DFP-CASH'!$C23:I23)-SUM('DFP-Com'!$C21:J21),"ok")</f>
        <v>ok</v>
      </c>
      <c r="J23" s="359" t="str">
        <f>IF(SUM('DFP-CASH'!$C23:$G23)+('DFP-CASH'!J23)&gt;SUM('DFP-Com'!$C21:K21),SUM('DFP-CASH'!$C23:J23)-SUM('DFP-Com'!$C21:K21),"ok")</f>
        <v>ok</v>
      </c>
    </row>
    <row r="24" spans="1:10" x14ac:dyDescent="0.25">
      <c r="A24" s="199" t="s">
        <v>97</v>
      </c>
      <c r="B24" s="245">
        <f>IF('DFP-Com'!M22-'DFP-CASH'!M24=0,"ok",'DFP-Com'!M22-'DFP-CASH'!M24)</f>
        <v>6.0749994590878487E-3</v>
      </c>
      <c r="C24" s="359" t="str">
        <f>IF(SUM('DFP-CASH'!$C24:C24)&gt;SUM('DFP-Com'!$C22:F22),SUM('DFP-CASH'!$C24:C24)-SUM('DFP-Com'!$C22:F22),"ok")</f>
        <v>ok</v>
      </c>
      <c r="D24" s="359" t="str">
        <f>IF(SUM('DFP-CASH'!$C24:G24)&gt;SUM('DFP-Com'!$C22:F22),SUM('DFP-CASH'!$C24:G24)-SUM('DFP-Com'!$C22:F22),"ok")</f>
        <v>ok</v>
      </c>
      <c r="E24" s="359" t="str">
        <f>IF(SUM('DFP-CASH'!$C24:G24)&gt;SUM('DFP-Com'!$C22:F22),SUM('DFP-CASH'!$C24:G24)-SUM('DFP-Com'!$C22:F22),"ok")</f>
        <v>ok</v>
      </c>
      <c r="F24" s="359" t="str">
        <f>IF(SUM('DFP-CASH'!$C24:G24)&gt;SUM('DFP-Com'!$C22:G22),SUM('DFP-CASH'!$C24:G24)-SUM('DFP-Com'!$C22:G22),"ok")</f>
        <v>ok</v>
      </c>
      <c r="G24" s="359" t="str">
        <f>IF(SUM('DFP-CASH'!$C24:G24)&gt;SUM('DFP-Com'!$C22:G22),SUM('DFP-CASH'!$C24:G24)-SUM('DFP-Com'!$C22:G22),"ok")</f>
        <v>ok</v>
      </c>
      <c r="H24" s="359" t="str">
        <f>IF(SUM('DFP-CASH'!$C24:$G24)+('DFP-CASH'!H24)&gt;SUM('DFP-Com'!$C22:I22),SUM('DFP-CASH'!$C24:H24)-SUM('DFP-Com'!$C22:I22),"ok")</f>
        <v>ok</v>
      </c>
      <c r="I24" s="359" t="str">
        <f>IF(SUM('DFP-CASH'!$C24:$G24)+('DFP-CASH'!I24)&gt;SUM('DFP-Com'!$C22:J22),SUM('DFP-CASH'!$C24:I24)-SUM('DFP-Com'!$C22:J22),"ok")</f>
        <v>ok</v>
      </c>
      <c r="J24" s="359" t="str">
        <f>IF(SUM('DFP-CASH'!$C24:$G24)+('DFP-CASH'!J24)&gt;SUM('DFP-Com'!$C22:K22),SUM('DFP-CASH'!$C24:J24)-SUM('DFP-Com'!$C22:K22),"ok")</f>
        <v>ok</v>
      </c>
    </row>
    <row r="25" spans="1:10" x14ac:dyDescent="0.25">
      <c r="A25" s="199" t="s">
        <v>113</v>
      </c>
      <c r="B25" s="245">
        <f>IF('DFP-Com'!M23-'DFP-CASH'!M25=0,"ok",'DFP-Com'!M23-'DFP-CASH'!M25)</f>
        <v>5.8207660913467407E-11</v>
      </c>
      <c r="C25" s="359" t="str">
        <f>IF(SUM('DFP-CASH'!$C25:C25)&gt;SUM('DFP-Com'!$C23:D23),SUM('DFP-CASH'!$C25:C25)-SUM('DFP-Com'!$C23:D23),"ok")</f>
        <v>ok</v>
      </c>
      <c r="D25" s="359" t="str">
        <f>IF(SUM('DFP-CASH'!$C25:D25)&gt;SUM('DFP-Com'!$C23:E23),SUM('DFP-CASH'!$C25:D25)-SUM('DFP-Com'!$C23:E23),"ok")</f>
        <v>ok</v>
      </c>
      <c r="E25" s="359" t="str">
        <f>IF(SUM('DFP-CASH'!$C25:E25)&gt;SUM('DFP-Com'!$C23:F23),SUM('DFP-CASH'!$C25:E25)-SUM('DFP-Com'!$C23:F23),"ok")</f>
        <v>ok</v>
      </c>
      <c r="F25" s="359" t="str">
        <f>IF(SUM('DFP-CASH'!$C25:F25)&gt;SUM('DFP-Com'!$C23:G23),SUM('DFP-CASH'!$C25:F25)-SUM('DFP-Com'!$C23:G23),"ok")</f>
        <v>ok</v>
      </c>
      <c r="G25" s="359" t="str">
        <f>IF(SUM('DFP-CASH'!$C25:G25)&gt;SUM('DFP-Com'!$C23:G23),SUM('DFP-CASH'!$C25:G25)-SUM('DFP-Com'!$C23:G23),"ok")</f>
        <v>ok</v>
      </c>
      <c r="H25" s="359" t="str">
        <f>IF(SUM('DFP-CASH'!$C25:$G25)+('DFP-CASH'!H25)&gt;SUM('DFP-Com'!$C23:I23),SUM('DFP-CASH'!$C25:H25)-SUM('DFP-Com'!$C23:I23),"ok")</f>
        <v>ok</v>
      </c>
      <c r="I25" s="359" t="str">
        <f>IF(SUM('DFP-CASH'!$C25:$G25)+('DFP-CASH'!I25)&gt;SUM('DFP-Com'!$C23:J23),SUM('DFP-CASH'!$C25:I25)-SUM('DFP-Com'!$C23:J23),"ok")</f>
        <v>ok</v>
      </c>
      <c r="J25" s="359" t="str">
        <f>IF(SUM('DFP-CASH'!$C25:$G25)+('DFP-CASH'!J25)&gt;SUM('DFP-Com'!$C23:K23),SUM('DFP-CASH'!$C25:J25)-SUM('DFP-Com'!$C23:K23),"ok")</f>
        <v>ok</v>
      </c>
    </row>
    <row r="26" spans="1:10" x14ac:dyDescent="0.25">
      <c r="A26" s="199" t="s">
        <v>112</v>
      </c>
      <c r="B26" s="245">
        <f>IF('DFP-Com'!M24-'DFP-CASH'!M26=0,"ok",'DFP-Com'!M24-'DFP-CASH'!M26)</f>
        <v>3.4106051316484809E-13</v>
      </c>
      <c r="C26" s="359" t="str">
        <f>IF(SUM('DFP-CASH'!$C26:C26)&gt;SUM('DFP-Com'!$C24:D24),SUM('DFP-CASH'!$C26:C26)-SUM('DFP-Com'!$C24:D24),"ok")</f>
        <v>ok</v>
      </c>
      <c r="D26" s="359" t="str">
        <f>IF(SUM('DFP-CASH'!$C26:D26)&gt;SUM('DFP-Com'!$C24:E24),SUM('DFP-CASH'!$C26:D26)-SUM('DFP-Com'!$C24:E24),"ok")</f>
        <v>ok</v>
      </c>
      <c r="E26" s="359" t="str">
        <f>IF(SUM('DFP-CASH'!$C26:E26)&gt;SUM('DFP-Com'!$C24:F24),SUM('DFP-CASH'!$C26:E26)-SUM('DFP-Com'!$C24:F24),"ok")</f>
        <v>ok</v>
      </c>
      <c r="F26" s="359" t="str">
        <f>IF(SUM('DFP-CASH'!$C26:F26)&gt;SUM('DFP-Com'!$C24:G24),SUM('DFP-CASH'!$C26:F26)-SUM('DFP-Com'!$C24:G24),"ok")</f>
        <v>ok</v>
      </c>
      <c r="G26" s="359" t="str">
        <f>IF(SUM('DFP-CASH'!$C26:G26)&gt;SUM('DFP-Com'!$C24:G24),SUM('DFP-CASH'!$C26:G26)-SUM('DFP-Com'!$C24:G24),"ok")</f>
        <v>ok</v>
      </c>
      <c r="H26" s="359" t="str">
        <f>IF(SUM('DFP-CASH'!$C26:$G26)+('DFP-CASH'!H26)&gt;SUM('DFP-Com'!$C24:I24),SUM('DFP-CASH'!$C26:H26)-SUM('DFP-Com'!$C24:I24),"ok")</f>
        <v>ok</v>
      </c>
      <c r="I26" s="359" t="str">
        <f>IF(SUM('DFP-CASH'!$C26:$G26)+('DFP-CASH'!I26)&gt;SUM('DFP-Com'!$C24:J24),SUM('DFP-CASH'!$C26:I26)-SUM('DFP-Com'!$C24:J24),"ok")</f>
        <v>ok</v>
      </c>
      <c r="J26" s="359" t="str">
        <f>IF(SUM('DFP-CASH'!$C26:$G26)+('DFP-CASH'!J26)&gt;SUM('DFP-Com'!$C24:K24),SUM('DFP-CASH'!$C26:J26)-SUM('DFP-Com'!$C24:K24),"ok")</f>
        <v>ok</v>
      </c>
    </row>
    <row r="27" spans="1:10" x14ac:dyDescent="0.25">
      <c r="A27" s="50" t="s">
        <v>61</v>
      </c>
      <c r="B27" s="245">
        <f>IF('DFP-Com'!M25-'DFP-CASH'!M27=0,"ok",'DFP-Com'!M25-'DFP-CASH'!M27)</f>
        <v>1.5641562640666962E-3</v>
      </c>
      <c r="C27" s="359" t="str">
        <f>IF(SUM('DFP-CASH'!$C27:C27)&gt;SUM('DFP-Com'!$C25:D25),SUM('DFP-CASH'!$C27:C27)-SUM('DFP-Com'!$C25:D25),"ok")</f>
        <v>ok</v>
      </c>
      <c r="D27" s="359" t="str">
        <f>IF(SUM('DFP-CASH'!$C27:D27)&gt;SUM('DFP-Com'!$C25:E25),SUM('DFP-CASH'!$C27:D27)-SUM('DFP-Com'!$C25:E25),"ok")</f>
        <v>ok</v>
      </c>
      <c r="E27" s="359" t="str">
        <f>IF(SUM('DFP-CASH'!$C27:E27)&gt;SUM('DFP-Com'!$C25:F25),SUM('DFP-CASH'!$C27:E27)-SUM('DFP-Com'!$C25:F25),"ok")</f>
        <v>ok</v>
      </c>
      <c r="F27" s="359" t="str">
        <f>IF(SUM('DFP-CASH'!$C27:F27)&gt;SUM('DFP-Com'!$C25:G25),SUM('DFP-CASH'!$C27:F27)-SUM('DFP-Com'!$C25:G25),"ok")</f>
        <v>ok</v>
      </c>
      <c r="G27" s="359" t="str">
        <f>IF(SUM('DFP-CASH'!$C27:G27)&gt;SUM('DFP-Com'!$C25:G25),SUM('DFP-CASH'!$C27:G27)-SUM('DFP-Com'!$C25:G25),"ok")</f>
        <v>ok</v>
      </c>
      <c r="H27" s="359" t="str">
        <f>IF(SUM('DFP-CASH'!$C27:$G27)+('DFP-CASH'!H27)&gt;SUM('DFP-Com'!$C25:I25),SUM('DFP-CASH'!$C27:H27)-SUM('DFP-Com'!$C25:I25),"ok")</f>
        <v>ok</v>
      </c>
      <c r="I27" s="359" t="str">
        <f>IF(SUM('DFP-CASH'!$C27:$G27)+('DFP-CASH'!I27)&gt;SUM('DFP-Com'!$C25:J25),SUM('DFP-CASH'!$C27:I27)-SUM('DFP-Com'!$C25:J25),"ok")</f>
        <v>ok</v>
      </c>
      <c r="J27" s="359" t="str">
        <f>IF(SUM('DFP-CASH'!$C27:$G27)+('DFP-CASH'!J27)&gt;SUM('DFP-Com'!$C25:K25),SUM('DFP-CASH'!$C27:J27)-SUM('DFP-Com'!$C25:K25),"ok")</f>
        <v>ok</v>
      </c>
    </row>
    <row r="28" spans="1:10" x14ac:dyDescent="0.25">
      <c r="A28" s="52"/>
      <c r="B28" s="245" t="str">
        <f>IF('DFP-Com'!M26-'DFP-CASH'!M28=0,"ok",'DFP-Com'!M26-'DFP-CASH'!M28)</f>
        <v>ok</v>
      </c>
      <c r="C28" s="359" t="str">
        <f>IF(SUM('DFP-CASH'!$C28:C28)&gt;SUM('DFP-Com'!$C26:D26),SUM('DFP-CASH'!$C28:C28)-SUM('DFP-Com'!$C26:D26),"ok")</f>
        <v>ok</v>
      </c>
      <c r="D28" s="359" t="str">
        <f>IF(SUM('DFP-CASH'!$C28:D28)&gt;SUM('DFP-Com'!$C26:E26),SUM('DFP-CASH'!$C28:D28)-SUM('DFP-Com'!$C26:E26),"ok")</f>
        <v>ok</v>
      </c>
      <c r="E28" s="359" t="str">
        <f>IF(SUM('DFP-CASH'!$C28:E28)&gt;SUM('DFP-Com'!$C26:F26),SUM('DFP-CASH'!$C28:E28)-SUM('DFP-Com'!$C26:F26),"ok")</f>
        <v>ok</v>
      </c>
      <c r="F28" s="359" t="str">
        <f>IF(SUM('DFP-CASH'!$C28:F28)&gt;SUM('DFP-Com'!$C26:G26),SUM('DFP-CASH'!$C28:F28)-SUM('DFP-Com'!$C26:G26),"ok")</f>
        <v>ok</v>
      </c>
      <c r="G28" s="359" t="str">
        <f>IF(SUM('DFP-CASH'!$C28:G28)&gt;SUM('DFP-Com'!$C26:G26),SUM('DFP-CASH'!$C28:G28)-SUM('DFP-Com'!$C26:G26),"ok")</f>
        <v>ok</v>
      </c>
      <c r="H28" s="359" t="str">
        <f>IF(SUM('DFP-CASH'!$C28:$G28)+('DFP-CASH'!H28)&gt;SUM('DFP-Com'!$C26:I26),SUM('DFP-CASH'!$C28:H28)-SUM('DFP-Com'!$C26:I26),"ok")</f>
        <v>ok</v>
      </c>
      <c r="I28" s="359" t="str">
        <f>IF(SUM('DFP-CASH'!$C28:$G28)+('DFP-CASH'!I28)&gt;SUM('DFP-Com'!$C26:J26),SUM('DFP-CASH'!$C28:I28)-SUM('DFP-Com'!$C26:J26),"ok")</f>
        <v>ok</v>
      </c>
      <c r="J28" s="359" t="str">
        <f>IF(SUM('DFP-CASH'!$C28:$G28)+('DFP-CASH'!J28)&gt;SUM('DFP-Com'!$C26:K26),SUM('DFP-CASH'!$C28:J28)-SUM('DFP-Com'!$C26:K26),"ok")</f>
        <v>ok</v>
      </c>
    </row>
    <row r="29" spans="1:10" x14ac:dyDescent="0.25">
      <c r="A29" s="44" t="s">
        <v>73</v>
      </c>
      <c r="B29" s="245" t="str">
        <f>IF('DFP-Com'!M27-'DFP-CASH'!M29=0,"ok",'DFP-Com'!M27-'DFP-CASH'!M29)</f>
        <v>ok</v>
      </c>
      <c r="C29" s="359" t="str">
        <f>IF(SUM('DFP-CASH'!$C29:C29)&gt;SUM('DFP-Com'!$C27:D27),SUM('DFP-CASH'!$C29:C29)-SUM('DFP-Com'!$C27:D27),"ok")</f>
        <v>ok</v>
      </c>
      <c r="D29" s="359" t="str">
        <f>IF(SUM('DFP-CASH'!$C29:D29)&gt;SUM('DFP-Com'!$C27:E27),SUM('DFP-CASH'!$C29:D29)-SUM('DFP-Com'!$C27:E27),"ok")</f>
        <v>ok</v>
      </c>
      <c r="E29" s="359" t="str">
        <f>IF(SUM('DFP-CASH'!$C29:E29)&gt;SUM('DFP-Com'!$C27:F27),SUM('DFP-CASH'!$C29:E29)-SUM('DFP-Com'!$C27:F27),"ok")</f>
        <v>ok</v>
      </c>
      <c r="F29" s="359" t="str">
        <f>IF(SUM('DFP-CASH'!$C29:F29)&gt;SUM('DFP-Com'!$C27:G27),SUM('DFP-CASH'!$C29:F29)-SUM('DFP-Com'!$C27:G27),"ok")</f>
        <v>ok</v>
      </c>
      <c r="G29" s="359" t="str">
        <f>IF(SUM('DFP-CASH'!$C29:G29)&gt;SUM('DFP-Com'!$C27:G27),SUM('DFP-CASH'!$C29:G29)-SUM('DFP-Com'!$C27:G27),"ok")</f>
        <v>ok</v>
      </c>
      <c r="H29" s="359" t="str">
        <f>IF(SUM('DFP-CASH'!$C29:$G29)+('DFP-CASH'!H29)&gt;SUM('DFP-Com'!$C27:I27),SUM('DFP-CASH'!$C29:H29)-SUM('DFP-Com'!$C27:I27),"ok")</f>
        <v>ok</v>
      </c>
      <c r="I29" s="359" t="str">
        <f>IF(SUM('DFP-CASH'!$C29:$G29)+('DFP-CASH'!I29)&gt;SUM('DFP-Com'!$C27:J27),SUM('DFP-CASH'!$C29:I29)-SUM('DFP-Com'!$C27:J27),"ok")</f>
        <v>ok</v>
      </c>
      <c r="J29" s="359" t="str">
        <f>IF(SUM('DFP-CASH'!$C29:$G29)+('DFP-CASH'!J29)&gt;SUM('DFP-Com'!$C27:K27),SUM('DFP-CASH'!$C29:J29)-SUM('DFP-Com'!$C27:K27),"ok")</f>
        <v>ok</v>
      </c>
    </row>
    <row r="30" spans="1:10" x14ac:dyDescent="0.25">
      <c r="A30" s="49" t="s">
        <v>114</v>
      </c>
      <c r="B30" s="245">
        <f>IF('DFP-Com'!M28-'DFP-CASH'!M30=0,"ok",'DFP-Com'!M28-'DFP-CASH'!M30)</f>
        <v>2.3283064365386963E-10</v>
      </c>
      <c r="C30" s="359" t="str">
        <f>IF(SUM('DFP-CASH'!$C30:C30)&gt;SUM('DFP-Com'!$C28:D28),SUM('DFP-CASH'!$C30:C30)-SUM('DFP-Com'!$C28:D28),"ok")</f>
        <v>ok</v>
      </c>
      <c r="D30" s="359" t="str">
        <f>IF(SUM('DFP-CASH'!$C30:D30)&gt;SUM('DFP-Com'!$C28:E28),SUM('DFP-CASH'!$C30:D30)-SUM('DFP-Com'!$C28:E28),"ok")</f>
        <v>ok</v>
      </c>
      <c r="E30" s="359" t="str">
        <f>IF(SUM('DFP-CASH'!$C30:E30)&gt;SUM('DFP-Com'!$C28:F28),SUM('DFP-CASH'!$C30:E30)-SUM('DFP-Com'!$C28:F28),"ok")</f>
        <v>ok</v>
      </c>
      <c r="F30" s="359" t="str">
        <f>IF(SUM('DFP-CASH'!$C30:F30)&gt;SUM('DFP-Com'!$C28:G28),SUM('DFP-CASH'!$C30:F30)-SUM('DFP-Com'!$C28:G28),"ok")</f>
        <v>ok</v>
      </c>
      <c r="G30" s="359" t="str">
        <f>IF(SUM('DFP-CASH'!$C30:G30)&gt;SUM('DFP-Com'!$C28:G28),SUM('DFP-CASH'!$C30:G30)-SUM('DFP-Com'!$C28:G28),"ok")</f>
        <v>ok</v>
      </c>
      <c r="H30" s="359" t="str">
        <f>IF(SUM('DFP-CASH'!$C30:$G30)+('DFP-CASH'!H30)&gt;SUM('DFP-Com'!$C28:I28),SUM('DFP-CASH'!$C30:H30)-SUM('DFP-Com'!$C28:I28),"ok")</f>
        <v>ok</v>
      </c>
      <c r="I30" s="359" t="str">
        <f>IF(SUM('DFP-CASH'!$C30:$G30)+('DFP-CASH'!I30)&gt;SUM('DFP-Com'!$C28:J28),SUM('DFP-CASH'!$C30:I30)-SUM('DFP-Com'!$C28:J28),"ok")</f>
        <v>ok</v>
      </c>
      <c r="J30" s="359" t="str">
        <f>IF(SUM('DFP-CASH'!$C30:$G30)+('DFP-CASH'!J30)&gt;SUM('DFP-Com'!$C28:K28),SUM('DFP-CASH'!$C30:J30)-SUM('DFP-Com'!$C28:K28),"ok")</f>
        <v>ok</v>
      </c>
    </row>
    <row r="31" spans="1:10" x14ac:dyDescent="0.25">
      <c r="A31" s="199" t="s">
        <v>107</v>
      </c>
      <c r="B31" s="245">
        <f>IF('DFP-Com'!M29-'DFP-CASH'!M31=0,"ok",'DFP-Com'!M29-'DFP-CASH'!M31)</f>
        <v>2.3283064365386963E-10</v>
      </c>
      <c r="C31" s="359" t="str">
        <f>IF(SUM('DFP-CASH'!$C31:C31)&gt;SUM('DFP-Com'!$C29:D29),SUM('DFP-CASH'!$C31:C31)-SUM('DFP-Com'!$C29:D29),"ok")</f>
        <v>ok</v>
      </c>
      <c r="D31" s="359" t="str">
        <f>IF(SUM('DFP-CASH'!$C31:D31)&gt;SUM('DFP-Com'!$C29:E29),SUM('DFP-CASH'!$C31:D31)-SUM('DFP-Com'!$C29:E29),"ok")</f>
        <v>ok</v>
      </c>
      <c r="E31" s="359" t="str">
        <f>IF(SUM('DFP-CASH'!$C31:E31)&gt;SUM('DFP-Com'!$C29:F29),SUM('DFP-CASH'!$C31:E31)-SUM('DFP-Com'!$C29:F29),"ok")</f>
        <v>ok</v>
      </c>
      <c r="F31" s="359" t="str">
        <f>IF(SUM('DFP-CASH'!$C31:F31)&gt;SUM('DFP-Com'!$C29:G29),SUM('DFP-CASH'!$C31:F31)-SUM('DFP-Com'!$C29:G29),"ok")</f>
        <v>ok</v>
      </c>
      <c r="G31" s="359" t="str">
        <f>IF(SUM('DFP-CASH'!$C31:G31)&gt;SUM('DFP-Com'!$C29:G29),SUM('DFP-CASH'!$C31:G31)-SUM('DFP-Com'!$C29:G29),"ok")</f>
        <v>ok</v>
      </c>
      <c r="H31" s="359" t="str">
        <f>IF(SUM('DFP-CASH'!$C31:$G31)+('DFP-CASH'!H31)&gt;SUM('DFP-Com'!$C29:I29),SUM('DFP-CASH'!$C31:H31)-SUM('DFP-Com'!$C29:I29),"ok")</f>
        <v>ok</v>
      </c>
      <c r="I31" s="359" t="str">
        <f>IF(SUM('DFP-CASH'!$C31:$G31)+('DFP-CASH'!I31)&gt;SUM('DFP-Com'!$C29:J29),SUM('DFP-CASH'!$C31:I31)-SUM('DFP-Com'!$C29:J29),"ok")</f>
        <v>ok</v>
      </c>
      <c r="J31" s="359" t="str">
        <f>IF(SUM('DFP-CASH'!$C31:$G31)+('DFP-CASH'!J31)&gt;SUM('DFP-Com'!$C29:K29),SUM('DFP-CASH'!$C31:J31)-SUM('DFP-Com'!$C29:K29),"ok")</f>
        <v>ok</v>
      </c>
    </row>
    <row r="32" spans="1:10" ht="25.5" x14ac:dyDescent="0.25">
      <c r="A32" s="49" t="s">
        <v>77</v>
      </c>
      <c r="B32" s="245" t="str">
        <f>IF('DFP-Com'!M30-'DFP-CASH'!M32=0,"ok",'DFP-Com'!M30-'DFP-CASH'!M32)</f>
        <v>ok</v>
      </c>
      <c r="C32" s="359" t="str">
        <f>IF(SUM('DFP-CASH'!$C32:C32)&gt;SUM('DFP-Com'!$C30:D30),SUM('DFP-CASH'!$C32:C32)-SUM('DFP-Com'!$C30:D30),"ok")</f>
        <v>ok</v>
      </c>
      <c r="D32" s="359" t="str">
        <f>IF(SUM('DFP-CASH'!$C32:D32)&gt;SUM('DFP-Com'!$C30:E30),SUM('DFP-CASH'!$C32:D32)-SUM('DFP-Com'!$C30:E30),"ok")</f>
        <v>ok</v>
      </c>
      <c r="E32" s="359" t="str">
        <f>IF(SUM('DFP-CASH'!$C32:E32)&gt;SUM('DFP-Com'!$C30:F30),SUM('DFP-CASH'!$C32:E32)-SUM('DFP-Com'!$C30:F30),"ok")</f>
        <v>ok</v>
      </c>
      <c r="F32" s="359" t="str">
        <f>IF(SUM('DFP-CASH'!$C32:F32)&gt;SUM('DFP-Com'!$C30:G30),SUM('DFP-CASH'!$C32:F32)-SUM('DFP-Com'!$C30:G30),"ok")</f>
        <v>ok</v>
      </c>
      <c r="G32" s="359" t="str">
        <f>IF(SUM('DFP-CASH'!$C32:G32)&gt;SUM('DFP-Com'!$C30:G30),SUM('DFP-CASH'!$C32:G32)-SUM('DFP-Com'!$C30:G30),"ok")</f>
        <v>ok</v>
      </c>
      <c r="H32" s="359" t="str">
        <f>IF(SUM('DFP-CASH'!$C32:$G32)+('DFP-CASH'!H32)&gt;SUM('DFP-Com'!$C30:I30),SUM('DFP-CASH'!$C32:H32)-SUM('DFP-Com'!$C30:I30),"ok")</f>
        <v>ok</v>
      </c>
      <c r="I32" s="359" t="str">
        <f>IF(SUM('DFP-CASH'!$C32:$G32)+('DFP-CASH'!I32)&gt;SUM('DFP-Com'!$C30:J30),SUM('DFP-CASH'!$C32:I32)-SUM('DFP-Com'!$C30:J30),"ok")</f>
        <v>ok</v>
      </c>
      <c r="J32" s="359" t="str">
        <f>IF(SUM('DFP-CASH'!$C32:$G32)+('DFP-CASH'!J32)&gt;SUM('DFP-Com'!$C30:K30),SUM('DFP-CASH'!$C32:J32)-SUM('DFP-Com'!$C30:K30),"ok")</f>
        <v>ok</v>
      </c>
    </row>
    <row r="33" spans="1:10" x14ac:dyDescent="0.25">
      <c r="A33" s="199" t="s">
        <v>108</v>
      </c>
      <c r="B33" s="245" t="str">
        <f>IF('DFP-Com'!M31-'DFP-CASH'!M33=0,"ok",'DFP-Com'!M31-'DFP-CASH'!M33)</f>
        <v>ok</v>
      </c>
      <c r="C33" s="359" t="str">
        <f>IF(SUM('DFP-CASH'!$C33:C33)&gt;SUM('DFP-Com'!$C31:D31),SUM('DFP-CASH'!$C33:C33)-SUM('DFP-Com'!$C31:D31),"ok")</f>
        <v>ok</v>
      </c>
      <c r="D33" s="359" t="str">
        <f>IF(SUM('DFP-CASH'!$C33:D33)&gt;SUM('DFP-Com'!$C31:E31),SUM('DFP-CASH'!$C33:D33)-SUM('DFP-Com'!$C31:E31),"ok")</f>
        <v>ok</v>
      </c>
      <c r="E33" s="359" t="str">
        <f>IF(SUM('DFP-CASH'!$C33:E33)&gt;SUM('DFP-Com'!$C31:F31),SUM('DFP-CASH'!$C33:E33)-SUM('DFP-Com'!$C31:F31),"ok")</f>
        <v>ok</v>
      </c>
      <c r="F33" s="359" t="str">
        <f>IF(SUM('DFP-CASH'!$C33:F33)&gt;SUM('DFP-Com'!$C31:G31),SUM('DFP-CASH'!$C33:F33)-SUM('DFP-Com'!$C31:G31),"ok")</f>
        <v>ok</v>
      </c>
      <c r="G33" s="359" t="str">
        <f>IF(SUM('DFP-CASH'!$C33:G33)&gt;SUM('DFP-Com'!$C31:G31),SUM('DFP-CASH'!$C33:G33)-SUM('DFP-Com'!$C31:G31),"ok")</f>
        <v>ok</v>
      </c>
      <c r="H33" s="359" t="str">
        <f>IF(SUM('DFP-CASH'!$C33:$G33)+('DFP-CASH'!H33)&gt;SUM('DFP-Com'!$C31:I31),SUM('DFP-CASH'!$C33:H33)-SUM('DFP-Com'!$C31:I31),"ok")</f>
        <v>ok</v>
      </c>
      <c r="I33" s="359" t="str">
        <f>IF(SUM('DFP-CASH'!$C33:$G33)+('DFP-CASH'!I33)&gt;SUM('DFP-Com'!$C31:J31),SUM('DFP-CASH'!$C33:I33)-SUM('DFP-Com'!$C31:J31),"ok")</f>
        <v>ok</v>
      </c>
      <c r="J33" s="359" t="str">
        <f>IF(SUM('DFP-CASH'!$C33:$G33)+('DFP-CASH'!J33)&gt;SUM('DFP-Com'!$C31:K31),SUM('DFP-CASH'!$C33:J33)-SUM('DFP-Com'!$C31:K31),"ok")</f>
        <v>ok</v>
      </c>
    </row>
    <row r="34" spans="1:10" x14ac:dyDescent="0.25">
      <c r="A34" s="199" t="s">
        <v>109</v>
      </c>
      <c r="B34" s="245" t="str">
        <f>IF('DFP-Com'!M32-'DFP-CASH'!M34=0,"ok",'DFP-Com'!M32-'DFP-CASH'!M34)</f>
        <v>ok</v>
      </c>
      <c r="C34" s="359" t="str">
        <f>IF(SUM('DFP-CASH'!$C34:C34)&gt;SUM('DFP-Com'!$C32:D32),SUM('DFP-CASH'!$C34:C34)-SUM('DFP-Com'!$C32:D32),"ok")</f>
        <v>ok</v>
      </c>
      <c r="D34" s="359" t="str">
        <f>IF(SUM('DFP-CASH'!$C34:D34)&gt;SUM('DFP-Com'!$C32:E32),SUM('DFP-CASH'!$C34:D34)-SUM('DFP-Com'!$C32:E32),"ok")</f>
        <v>ok</v>
      </c>
      <c r="E34" s="359" t="str">
        <f>IF(SUM('DFP-CASH'!$C34:F34)&gt;SUM('DFP-Com'!$C32:G32),SUM('DFP-CASH'!$C34:F34)-SUM('DFP-Com'!$C32:G32),"ok")</f>
        <v>ok</v>
      </c>
      <c r="F34" s="359" t="str">
        <f>IF(SUM('DFP-CASH'!$C34:F34)&gt;SUM('DFP-Com'!$C32:G32),SUM('DFP-CASH'!$C34:F34)-SUM('DFP-Com'!$C32:G32),"ok")</f>
        <v>ok</v>
      </c>
      <c r="G34" s="359" t="str">
        <f>IF(SUM('DFP-CASH'!$C34:G34)&gt;SUM('DFP-Com'!$C32:G32),SUM('DFP-CASH'!$C34:G34)-SUM('DFP-Com'!$C32:G32),"ok")</f>
        <v>ok</v>
      </c>
      <c r="H34" s="359" t="str">
        <f>IF(SUM('DFP-CASH'!$C34:$G34)+('DFP-CASH'!H34)&gt;SUM('DFP-Com'!$C32:I32),SUM('DFP-CASH'!$C34:H34)-SUM('DFP-Com'!$C32:I32),"ok")</f>
        <v>ok</v>
      </c>
      <c r="I34" s="359" t="str">
        <f>IF(SUM('DFP-CASH'!$C34:$G34)+('DFP-CASH'!I34)&gt;SUM('DFP-Com'!$C32:J32),SUM('DFP-CASH'!$C34:I34)-SUM('DFP-Com'!$C32:J32),"ok")</f>
        <v>ok</v>
      </c>
      <c r="J34" s="359" t="str">
        <f>IF(SUM('DFP-CASH'!$C34:$G34)+('DFP-CASH'!J34)&gt;SUM('DFP-Com'!$C32:K32),SUM('DFP-CASH'!$C34:J34)-SUM('DFP-Com'!$C32:K32),"ok")</f>
        <v>ok</v>
      </c>
    </row>
    <row r="35" spans="1:10" x14ac:dyDescent="0.25">
      <c r="A35" s="199" t="s">
        <v>111</v>
      </c>
      <c r="B35" s="245" t="str">
        <f>IF('DFP-Com'!M33-'DFP-CASH'!M35=0,"ok",'DFP-Com'!M33-'DFP-CASH'!M35)</f>
        <v>ok</v>
      </c>
      <c r="C35" s="359" t="str">
        <f>IF(SUM('DFP-CASH'!$C35:C35)&gt;SUM('DFP-Com'!$C33:G33),SUM('DFP-CASH'!$C35:C35)-SUM('DFP-Com'!$C33:G33),"ok")</f>
        <v>ok</v>
      </c>
      <c r="D35" s="359" t="str">
        <f>IF(SUM('DFP-CASH'!$C35:D35)&gt;SUM('DFP-Com'!$C33:G33),SUM('DFP-CASH'!$C35:D35)-SUM('DFP-Com'!$C33:G33),"ok")</f>
        <v>ok</v>
      </c>
      <c r="E35" s="359" t="str">
        <f>IF(SUM('DFP-CASH'!$C35:E35)&gt;SUM('DFP-Com'!$C33:F33),SUM('DFP-CASH'!$C35:E35)-SUM('DFP-Com'!$C33:F33),"ok")</f>
        <v>ok</v>
      </c>
      <c r="F35" s="359" t="str">
        <f>IF(SUM('DFP-CASH'!$C35:F35)&gt;SUM('DFP-Com'!$C33:G33),SUM('DFP-CASH'!$C35:F35)-SUM('DFP-Com'!$C33:G33),"ok")</f>
        <v>ok</v>
      </c>
      <c r="G35" s="359" t="str">
        <f>IF(SUM('DFP-CASH'!$C35:G35)&gt;SUM('DFP-Com'!$C33:G33),SUM('DFP-CASH'!$C35:G35)-SUM('DFP-Com'!$C33:G33),"ok")</f>
        <v>ok</v>
      </c>
      <c r="H35" s="359" t="str">
        <f>IF(SUM('DFP-CASH'!$C35:$G35)+('DFP-CASH'!H35)&gt;SUM('DFP-Com'!$C33:I33),SUM('DFP-CASH'!$C35:H35)-SUM('DFP-Com'!$C33:I33),"ok")</f>
        <v>ok</v>
      </c>
      <c r="I35" s="359" t="str">
        <f>IF(SUM('DFP-CASH'!$C35:$G35)+('DFP-CASH'!I35)&gt;SUM('DFP-Com'!$C33:J33),SUM('DFP-CASH'!$C35:I35)-SUM('DFP-Com'!$C33:J33),"ok")</f>
        <v>ok</v>
      </c>
      <c r="J35" s="359" t="str">
        <f>IF(SUM('DFP-CASH'!$C35:$G35)+('DFP-CASH'!J35)&gt;SUM('DFP-Com'!$C33:K33),SUM('DFP-CASH'!$C35:J35)-SUM('DFP-Com'!$C33:K33),"ok")</f>
        <v>ok</v>
      </c>
    </row>
    <row r="36" spans="1:10" x14ac:dyDescent="0.25">
      <c r="A36" s="57" t="s">
        <v>62</v>
      </c>
      <c r="B36" s="245">
        <f>IF('DFP-Com'!M34-'DFP-CASH'!M36=0,"ok",'DFP-Com'!M34-'DFP-CASH'!M36)</f>
        <v>4.6566128730773926E-10</v>
      </c>
      <c r="C36" s="359" t="str">
        <f>IF(SUM('DFP-CASH'!$C36:C36)&gt;SUM('DFP-Com'!$C34:D34),SUM('DFP-CASH'!$C36:C36)-SUM('DFP-Com'!$C34:D34),"ok")</f>
        <v>ok</v>
      </c>
      <c r="D36" s="359" t="str">
        <f>IF(SUM('DFP-CASH'!$C36:D36)&gt;SUM('DFP-Com'!$C34:E34),SUM('DFP-CASH'!$C36:D36)-SUM('DFP-Com'!$C34:E34),"ok")</f>
        <v>ok</v>
      </c>
      <c r="E36" s="359" t="str">
        <f>IF(SUM('DFP-CASH'!$C36:E36)&gt;SUM('DFP-Com'!$C34:F34),SUM('DFP-CASH'!$C36:E36)-SUM('DFP-Com'!$C34:F34),"ok")</f>
        <v>ok</v>
      </c>
      <c r="F36" s="359" t="str">
        <f>IF(SUM('DFP-CASH'!$C36:F36)&gt;SUM('DFP-Com'!$C34:G34),SUM('DFP-CASH'!$C36:F36)-SUM('DFP-Com'!$C34:G34),"ok")</f>
        <v>ok</v>
      </c>
      <c r="G36" s="359" t="str">
        <f>IF(SUM('DFP-CASH'!$C36:G36)&gt;SUM('DFP-Com'!$C34:G34),SUM('DFP-CASH'!$C36:G36)-SUM('DFP-Com'!$C34:G34),"ok")</f>
        <v>ok</v>
      </c>
      <c r="H36" s="359" t="str">
        <f>IF(SUM('DFP-CASH'!$C36:$G36)+('DFP-CASH'!H36)&gt;SUM('DFP-Com'!$C34:I34),SUM('DFP-CASH'!$C36:H36)-SUM('DFP-Com'!$C34:I34),"ok")</f>
        <v>ok</v>
      </c>
      <c r="I36" s="359" t="str">
        <f>IF(SUM('DFP-CASH'!$C36:$G36)+('DFP-CASH'!I36)&gt;SUM('DFP-Com'!$C34:J34),SUM('DFP-CASH'!$C36:I36)-SUM('DFP-Com'!$C34:J34),"ok")</f>
        <v>ok</v>
      </c>
      <c r="J36" s="359" t="str">
        <f>IF(SUM('DFP-CASH'!$C36:$G36)+('DFP-CASH'!J36)&gt;SUM('DFP-Com'!$C34:K34),SUM('DFP-CASH'!$C36:J36)-SUM('DFP-Com'!$C34:K34),"ok")</f>
        <v>ok</v>
      </c>
    </row>
    <row r="37" spans="1:10" x14ac:dyDescent="0.25">
      <c r="A37" s="52"/>
      <c r="B37" s="245" t="str">
        <f>IF('DFP-Com'!M35-'DFP-CASH'!M37=0,"ok",'DFP-Com'!M35-'DFP-CASH'!M37)</f>
        <v>ok</v>
      </c>
      <c r="C37" s="359" t="str">
        <f>IF(SUM('DFP-CASH'!$C37:C37)&gt;SUM('DFP-Com'!$C35:D35),SUM('DFP-CASH'!$C37:C37)-SUM('DFP-Com'!$C35:D35),"ok")</f>
        <v>ok</v>
      </c>
      <c r="D37" s="359" t="str">
        <f>IF(SUM('DFP-CASH'!$C37:D37)&gt;SUM('DFP-Com'!$C35:E35),SUM('DFP-CASH'!$C37:D37)-SUM('DFP-Com'!$C35:E35),"ok")</f>
        <v>ok</v>
      </c>
      <c r="E37" s="359" t="str">
        <f>IF(SUM('DFP-CASH'!$C37:E37)&gt;SUM('DFP-Com'!$C35:F35),SUM('DFP-CASH'!$C37:E37)-SUM('DFP-Com'!$C35:F35),"ok")</f>
        <v>ok</v>
      </c>
      <c r="F37" s="359" t="str">
        <f>IF(SUM('DFP-CASH'!$C37:F37)&gt;SUM('DFP-Com'!$C35:G35),SUM('DFP-CASH'!$C37:F37)-SUM('DFP-Com'!$C35:G35),"ok")</f>
        <v>ok</v>
      </c>
      <c r="G37" s="359" t="str">
        <f>IF(SUM('DFP-CASH'!$C37:G37)&gt;SUM('DFP-Com'!$C35:G35),SUM('DFP-CASH'!$C37:G37)-SUM('DFP-Com'!$C35:G35),"ok")</f>
        <v>ok</v>
      </c>
      <c r="H37" s="359" t="str">
        <f>IF(SUM('DFP-CASH'!$C37:$G37)+('DFP-CASH'!H37)&gt;SUM('DFP-Com'!$C35:I35),SUM('DFP-CASH'!$C37:H37)-SUM('DFP-Com'!$C35:I35),"ok")</f>
        <v>ok</v>
      </c>
      <c r="I37" s="359" t="str">
        <f>IF(SUM('DFP-CASH'!$C37:$G37)+('DFP-CASH'!I37)&gt;SUM('DFP-Com'!$C35:J35),SUM('DFP-CASH'!$C37:I37)-SUM('DFP-Com'!$C35:J35),"ok")</f>
        <v>ok</v>
      </c>
      <c r="J37" s="359" t="str">
        <f>IF(SUM('DFP-CASH'!$C37:$G37)+('DFP-CASH'!J37)&gt;SUM('DFP-Com'!$C35:K35),SUM('DFP-CASH'!$C37:J37)-SUM('DFP-Com'!$C35:K35),"ok")</f>
        <v>ok</v>
      </c>
    </row>
    <row r="38" spans="1:10" x14ac:dyDescent="0.25">
      <c r="A38" s="44" t="s">
        <v>81</v>
      </c>
      <c r="B38" s="245" t="str">
        <f>IF('DFP-Com'!M36-'DFP-CASH'!M38=0,"ok",'DFP-Com'!M36-'DFP-CASH'!M38)</f>
        <v>ok</v>
      </c>
      <c r="C38" s="359" t="str">
        <f>IF(SUM('DFP-CASH'!$C38:C38)&gt;SUM('DFP-Com'!$C36:D36),SUM('DFP-CASH'!$C38:C38)-SUM('DFP-Com'!$C36:D36),"ok")</f>
        <v>ok</v>
      </c>
      <c r="D38" s="359" t="str">
        <f>IF(SUM('DFP-CASH'!$C38:D38)&gt;SUM('DFP-Com'!$C36:E36),SUM('DFP-CASH'!$C38:D38)-SUM('DFP-Com'!$C36:E36),"ok")</f>
        <v>ok</v>
      </c>
      <c r="E38" s="359" t="str">
        <f>IF(SUM('DFP-CASH'!$C38:E38)&gt;SUM('DFP-Com'!$C36:F36),SUM('DFP-CASH'!$C38:E38)-SUM('DFP-Com'!$C36:F36),"ok")</f>
        <v>ok</v>
      </c>
      <c r="F38" s="359" t="str">
        <f>IF(SUM('DFP-CASH'!$C38:F38)&gt;SUM('DFP-Com'!$C36:G36),SUM('DFP-CASH'!$C38:F38)-SUM('DFP-Com'!$C36:G36),"ok")</f>
        <v>ok</v>
      </c>
      <c r="G38" s="359" t="str">
        <f>IF(SUM('DFP-CASH'!$C38:G38)&gt;SUM('DFP-Com'!$C36:G36),SUM('DFP-CASH'!$C38:G38)-SUM('DFP-Com'!$C36:G36),"ok")</f>
        <v>ok</v>
      </c>
      <c r="H38" s="359" t="str">
        <f>IF(SUM('DFP-CASH'!$C38:$G38)+('DFP-CASH'!H38)&gt;SUM('DFP-Com'!$C36:I36),SUM('DFP-CASH'!$C38:H38)-SUM('DFP-Com'!$C36:I36),"ok")</f>
        <v>ok</v>
      </c>
      <c r="I38" s="359" t="str">
        <f>IF(SUM('DFP-CASH'!$C38:$G38)+('DFP-CASH'!I38)&gt;SUM('DFP-Com'!$C36:J36),SUM('DFP-CASH'!$C38:I38)-SUM('DFP-Com'!$C36:J36),"ok")</f>
        <v>ok</v>
      </c>
      <c r="J38" s="359" t="str">
        <f>IF(SUM('DFP-CASH'!$C38:$G38)+('DFP-CASH'!J38)&gt;SUM('DFP-Com'!$C36:K36),SUM('DFP-CASH'!$C38:J38)-SUM('DFP-Com'!$C36:K36),"ok")</f>
        <v>ok</v>
      </c>
    </row>
    <row r="39" spans="1:10" x14ac:dyDescent="0.25">
      <c r="A39" s="63" t="s">
        <v>82</v>
      </c>
      <c r="B39" s="245">
        <f>IF('DFP-Com'!M37-'DFP-CASH'!M39=0,"ok",'DFP-Com'!M37-'DFP-CASH'!M39)</f>
        <v>-2.3283064365386963E-10</v>
      </c>
      <c r="C39" s="359" t="str">
        <f>IF(SUM('DFP-CASH'!$C39:C39)&gt;SUM('DFP-Com'!$C37:D37),SUM('DFP-CASH'!$C39:C39)-SUM('DFP-Com'!$C37:D37),"ok")</f>
        <v>ok</v>
      </c>
      <c r="D39" s="359" t="str">
        <f>IF(SUM('DFP-CASH'!$C39:D39)&gt;SUM('DFP-Com'!$C37:E37),SUM('DFP-CASH'!$C39:D39)-SUM('DFP-Com'!$C37:E37),"ok")</f>
        <v>ok</v>
      </c>
      <c r="E39" s="359" t="str">
        <f>IF(SUM('DFP-CASH'!$C39:E39)&gt;SUM('DFP-Com'!$C37:F37),SUM('DFP-CASH'!$C39:E39)-SUM('DFP-Com'!$C37:F37),"ok")</f>
        <v>ok</v>
      </c>
      <c r="F39" s="359" t="str">
        <f>IF(SUM('DFP-CASH'!$C39:F39)&gt;SUM('DFP-Com'!$C37:G37),SUM('DFP-CASH'!$C39:F39)-SUM('DFP-Com'!$C37:G37),"ok")</f>
        <v>ok</v>
      </c>
      <c r="G39" s="359" t="str">
        <f>IF(SUM('DFP-CASH'!$C39:G39)&gt;SUM('DFP-Com'!$C37:G37),SUM('DFP-CASH'!$C39:G39)-SUM('DFP-Com'!$C37:G37),"ok")</f>
        <v>ok</v>
      </c>
      <c r="H39" s="359" t="str">
        <f>IF(SUM('DFP-CASH'!$C39:$G39)+('DFP-CASH'!H39)&gt;SUM('DFP-Com'!$C37:I37),SUM('DFP-CASH'!$C39:H39)-SUM('DFP-Com'!$C37:I37),"ok")</f>
        <v>ok</v>
      </c>
      <c r="I39" s="359" t="str">
        <f>IF(SUM('DFP-CASH'!$C39:$G39)+('DFP-CASH'!I39)&gt;SUM('DFP-Com'!$C37:J37),SUM('DFP-CASH'!$C39:I39)-SUM('DFP-Com'!$C37:J37),"ok")</f>
        <v>ok</v>
      </c>
      <c r="J39" s="359" t="str">
        <f>IF(SUM('DFP-CASH'!$C39:$G39)+('DFP-CASH'!J39)&gt;SUM('DFP-Com'!$C37:K37),SUM('DFP-CASH'!$C39:J39)-SUM('DFP-Com'!$C37:K37),"ok")</f>
        <v>ok</v>
      </c>
    </row>
    <row r="40" spans="1:10" x14ac:dyDescent="0.25">
      <c r="A40" s="208" t="s">
        <v>98</v>
      </c>
      <c r="B40" s="245">
        <f>IF('DFP-Com'!M38-'DFP-CASH'!M40=0,"ok",'DFP-Com'!M38-'DFP-CASH'!M40)</f>
        <v>-1.1641532182693481E-10</v>
      </c>
      <c r="C40" s="359" t="str">
        <f>IF(SUM('DFP-CASH'!$C40:C40)&gt;SUM('DFP-Com'!$C38:G38),SUM('DFP-CASH'!$C40:C40)-SUM('DFP-Com'!$C38:G38),"ok")</f>
        <v>ok</v>
      </c>
      <c r="D40" s="359" t="str">
        <f>IF(SUM('DFP-CASH'!$C40:G40)&gt;SUM('DFP-Com'!$C38:G38),SUM('DFP-CASH'!$C40:G40)-SUM('DFP-Com'!$C38:G38),"ok")</f>
        <v>ok</v>
      </c>
      <c r="E40" s="359" t="str">
        <f>IF(SUM('DFP-CASH'!$C40:G40)&gt;SUM('DFP-Com'!$C38:G38),SUM('DFP-CASH'!$C40:G40)-SUM('DFP-Com'!$C38:G38),"ok")</f>
        <v>ok</v>
      </c>
      <c r="F40" s="359" t="str">
        <f>IF(SUM('DFP-CASH'!$C40:G40)&gt;SUM('DFP-Com'!$C38:G38),SUM('DFP-CASH'!$C40:G40)-SUM('DFP-Com'!$C38:G38),"ok")</f>
        <v>ok</v>
      </c>
      <c r="G40" s="359" t="str">
        <f>IF(SUM('DFP-CASH'!$C40:G40)&gt;SUM('DFP-Com'!$C38:G38),SUM('DFP-CASH'!$C40:G40)-SUM('DFP-Com'!$C38:G38),"ok")</f>
        <v>ok</v>
      </c>
      <c r="H40" s="359" t="str">
        <f>IF(SUM('DFP-CASH'!$C40:$G40)+('DFP-CASH'!H40)&gt;SUM('DFP-Com'!$C38:I38),SUM('DFP-CASH'!$C40:H40)-SUM('DFP-Com'!$C38:I38),"ok")</f>
        <v>ok</v>
      </c>
      <c r="I40" s="359" t="str">
        <f>IF(SUM('DFP-CASH'!$C40:$G40)+('DFP-CASH'!I40)&gt;SUM('DFP-Com'!$C38:J38),SUM('DFP-CASH'!$C40:I40)-SUM('DFP-Com'!$C38:J38),"ok")</f>
        <v>ok</v>
      </c>
      <c r="J40" s="359" t="str">
        <f>IF(SUM('DFP-CASH'!$C40:$G40)+('DFP-CASH'!J40)&gt;SUM('DFP-Com'!$C38:K38),SUM('DFP-CASH'!$C40:J40)-SUM('DFP-Com'!$C38:K38),"ok")</f>
        <v>ok</v>
      </c>
    </row>
    <row r="41" spans="1:10" x14ac:dyDescent="0.25">
      <c r="A41" s="208" t="s">
        <v>99</v>
      </c>
      <c r="B41" s="245" t="str">
        <f>IF('DFP-Com'!M39-'DFP-CASH'!M41=0,"ok",'DFP-Com'!M39-'DFP-CASH'!M41)</f>
        <v>ok</v>
      </c>
      <c r="C41" s="359" t="str">
        <f>IF(SUM('DFP-CASH'!$C41:C41)&gt;SUM('DFP-Com'!$C39:D39),SUM('DFP-CASH'!$C41:C41)-SUM('DFP-Com'!$C39:D39),"ok")</f>
        <v>ok</v>
      </c>
      <c r="D41" s="359" t="str">
        <f>IF(SUM('DFP-CASH'!$C41:D41)&gt;SUM('DFP-Com'!$C39:E39),SUM('DFP-CASH'!$C41:D41)-SUM('DFP-Com'!$C39:E39),"ok")</f>
        <v>ok</v>
      </c>
      <c r="E41" s="359" t="str">
        <f>IF(SUM('DFP-CASH'!$C41:E41)&gt;SUM('DFP-Com'!$C39:F39),SUM('DFP-CASH'!$C41:E41)-SUM('DFP-Com'!$C39:F39),"ok")</f>
        <v>ok</v>
      </c>
      <c r="F41" s="359" t="str">
        <f>IF(SUM('DFP-CASH'!$C41:F41)&gt;SUM('DFP-Com'!$C39:G39),SUM('DFP-CASH'!$C41:F41)-SUM('DFP-Com'!$C39:G39),"ok")</f>
        <v>ok</v>
      </c>
      <c r="G41" s="359" t="str">
        <f>IF(SUM('DFP-CASH'!$C41:G41)&gt;SUM('DFP-Com'!$C39:G39),SUM('DFP-CASH'!$C41:G41)-SUM('DFP-Com'!$C39:G39),"ok")</f>
        <v>ok</v>
      </c>
      <c r="H41" s="359" t="str">
        <f>IF(SUM('DFP-CASH'!$C41:$G41)+('DFP-CASH'!H41)&gt;SUM('DFP-Com'!$C39:I39),SUM('DFP-CASH'!$C41:H41)-SUM('DFP-Com'!$C39:I39),"ok")</f>
        <v>ok</v>
      </c>
      <c r="I41" s="359" t="str">
        <f>IF(SUM('DFP-CASH'!$C41:$G41)+('DFP-CASH'!I41)&gt;SUM('DFP-Com'!$C39:J39),SUM('DFP-CASH'!$C41:I41)-SUM('DFP-Com'!$C39:J39),"ok")</f>
        <v>ok</v>
      </c>
      <c r="J41" s="359" t="str">
        <f>IF(SUM('DFP-CASH'!$C41:$G41)+('DFP-CASH'!J41)&gt;SUM('DFP-Com'!$C39:K39),SUM('DFP-CASH'!$C41:J41)-SUM('DFP-Com'!$C39:K39),"ok")</f>
        <v>ok</v>
      </c>
    </row>
    <row r="42" spans="1:10" x14ac:dyDescent="0.25">
      <c r="A42" s="208" t="s">
        <v>100</v>
      </c>
      <c r="B42" s="245" t="str">
        <f>IF('DFP-Com'!M40-'DFP-CASH'!M42=0,"ok",'DFP-Com'!M40-'DFP-CASH'!M42)</f>
        <v>ok</v>
      </c>
      <c r="C42" s="359" t="str">
        <f>IF(SUM('DFP-CASH'!$C42:C42)&gt;SUM('DFP-Com'!$C40:D40),SUM('DFP-CASH'!$C42:C42)-SUM('DFP-Com'!$C40:D40),"ok")</f>
        <v>ok</v>
      </c>
      <c r="D42" s="359" t="str">
        <f>IF(SUM('DFP-CASH'!$C42:D42)&gt;SUM('DFP-Com'!$C40:E40),SUM('DFP-CASH'!$C42:D42)-SUM('DFP-Com'!$C40:E40),"ok")</f>
        <v>ok</v>
      </c>
      <c r="E42" s="359" t="str">
        <f>IF(SUM('DFP-CASH'!$C42:E42)&gt;SUM('DFP-Com'!$C40:F40),SUM('DFP-CASH'!$C42:E42)-SUM('DFP-Com'!$C40:F40),"ok")</f>
        <v>ok</v>
      </c>
      <c r="F42" s="359" t="str">
        <f>IF(SUM('DFP-CASH'!$C42:F42)&gt;SUM('DFP-Com'!$C40:G40),SUM('DFP-CASH'!$C42:F42)-SUM('DFP-Com'!$C40:G40),"ok")</f>
        <v>ok</v>
      </c>
      <c r="G42" s="359" t="str">
        <f>IF(SUM('DFP-CASH'!$C42:G42)&gt;SUM('DFP-Com'!$C40:G40),SUM('DFP-CASH'!$C42:G42)-SUM('DFP-Com'!$C40:G40),"ok")</f>
        <v>ok</v>
      </c>
      <c r="H42" s="359" t="str">
        <f>IF(SUM('DFP-CASH'!$C42:$G42)+('DFP-CASH'!H42)&gt;SUM('DFP-Com'!$C40:I40),SUM('DFP-CASH'!$C42:H42)-SUM('DFP-Com'!$C40:I40),"ok")</f>
        <v>ok</v>
      </c>
      <c r="I42" s="359" t="str">
        <f>IF(SUM('DFP-CASH'!$C42:$G42)+('DFP-CASH'!I42)&gt;SUM('DFP-Com'!$C40:J40),SUM('DFP-CASH'!$C42:I42)-SUM('DFP-Com'!$C40:J40),"ok")</f>
        <v>ok</v>
      </c>
      <c r="J42" s="359" t="str">
        <f>IF(SUM('DFP-CASH'!$C42:$G42)+('DFP-CASH'!J42)&gt;SUM('DFP-Com'!$C40:K40),SUM('DFP-CASH'!$C42:J42)-SUM('DFP-Com'!$C40:K40),"ok")</f>
        <v>ok</v>
      </c>
    </row>
    <row r="43" spans="1:10" x14ac:dyDescent="0.25">
      <c r="A43" s="208" t="s">
        <v>110</v>
      </c>
      <c r="B43" s="245" t="str">
        <f>IF('DFP-Com'!M41-'DFP-CASH'!M43=0,"ok",'DFP-Com'!M41-'DFP-CASH'!M43)</f>
        <v>ok</v>
      </c>
      <c r="C43" s="359" t="str">
        <f>IF(SUM('DFP-CASH'!$C43:C43)&gt;SUM('DFP-Com'!$C41:E41),SUM('DFP-CASH'!$C43:C43)-SUM('DFP-Com'!$C41:E41),"ok")</f>
        <v>ok</v>
      </c>
      <c r="D43" s="359" t="str">
        <f>IF(SUM('DFP-CASH'!$C43:D43)&gt;SUM('DFP-Com'!$C41:E41),SUM('DFP-CASH'!$C43:D43)-SUM('DFP-Com'!$C41:E41),"ok")</f>
        <v>ok</v>
      </c>
      <c r="E43" s="359" t="str">
        <f>IF(SUM('DFP-CASH'!$C43:E43)&gt;SUM('DFP-Com'!$C41:F41),SUM('DFP-CASH'!$C43:E43)-SUM('DFP-Com'!$C41:F41),"ok")</f>
        <v>ok</v>
      </c>
      <c r="F43" s="359" t="str">
        <f>IF(SUM('DFP-CASH'!$C43:F43)&gt;SUM('DFP-Com'!$C41:G41),SUM('DFP-CASH'!$C43:F43)-SUM('DFP-Com'!$C41:G41),"ok")</f>
        <v>ok</v>
      </c>
      <c r="G43" s="359" t="str">
        <f>IF(SUM('DFP-CASH'!$C43:G43)&gt;SUM('DFP-Com'!$C41:G41),SUM('DFP-CASH'!$C43:G43)-SUM('DFP-Com'!$C41:G41),"ok")</f>
        <v>ok</v>
      </c>
      <c r="H43" s="359" t="str">
        <f>IF(SUM('DFP-CASH'!$C43:$G43)+('DFP-CASH'!H43)&gt;SUM('DFP-Com'!$C41:I41),SUM('DFP-CASH'!$C43:H43)-SUM('DFP-Com'!$C41:I41),"ok")</f>
        <v>ok</v>
      </c>
      <c r="I43" s="359" t="str">
        <f>IF(SUM('DFP-CASH'!$C43:$G43)+('DFP-CASH'!I43)&gt;SUM('DFP-Com'!$C41:J41),SUM('DFP-CASH'!$C43:I43)-SUM('DFP-Com'!$C41:J41),"ok")</f>
        <v>ok</v>
      </c>
      <c r="J43" s="359" t="str">
        <f>IF(SUM('DFP-CASH'!$C43:$G43)+('DFP-CASH'!J43)&gt;SUM('DFP-Com'!$C41:K41),SUM('DFP-CASH'!$C43:J43)-SUM('DFP-Com'!$C41:K41),"ok")</f>
        <v>ok</v>
      </c>
    </row>
    <row r="44" spans="1:10" x14ac:dyDescent="0.25">
      <c r="A44" s="57" t="s">
        <v>17</v>
      </c>
      <c r="B44" s="245">
        <f>IF('DFP-Com'!M42-'DFP-CASH'!M44=0,"ok",'DFP-Com'!M42-'DFP-CASH'!M44)</f>
        <v>-2.3283064365386963E-10</v>
      </c>
      <c r="C44" s="359" t="str">
        <f>IF(SUM('DFP-CASH'!$C44:C44)&gt;SUM('DFP-Com'!$C42:D42),SUM('DFP-CASH'!$C44:C44)-SUM('DFP-Com'!$C42:D42),"ok")</f>
        <v>ok</v>
      </c>
      <c r="D44" s="359" t="str">
        <f>IF(SUM('DFP-CASH'!$C44:D44)&gt;SUM('DFP-Com'!$C42:E42),SUM('DFP-CASH'!$C44:D44)-SUM('DFP-Com'!$C42:E42),"ok")</f>
        <v>ok</v>
      </c>
      <c r="E44" s="359" t="str">
        <f>IF(SUM('DFP-CASH'!$C44:E44)&gt;SUM('DFP-Com'!$C42:F42),SUM('DFP-CASH'!$C44:E44)-SUM('DFP-Com'!$C42:F42),"ok")</f>
        <v>ok</v>
      </c>
      <c r="F44" s="359" t="str">
        <f>IF(SUM('DFP-CASH'!$C44:F44)&gt;SUM('DFP-Com'!$C42:G42),SUM('DFP-CASH'!$C44:F44)-SUM('DFP-Com'!$C42:G42),"ok")</f>
        <v>ok</v>
      </c>
      <c r="G44" s="359" t="str">
        <f>IF(SUM('DFP-CASH'!$C44:G44)&gt;SUM('DFP-Com'!$C42:G42),SUM('DFP-CASH'!$C44:G44)-SUM('DFP-Com'!$C42:G42),"ok")</f>
        <v>ok</v>
      </c>
      <c r="H44" s="359" t="str">
        <f>IF(SUM('DFP-CASH'!$C44:$G44)+('DFP-CASH'!H44)&gt;SUM('DFP-Com'!$C42:I42),SUM('DFP-CASH'!$C44:H44)-SUM('DFP-Com'!$C42:I42),"ok")</f>
        <v>ok</v>
      </c>
      <c r="I44" s="359" t="str">
        <f>IF(SUM('DFP-CASH'!$C44:$G44)+('DFP-CASH'!I44)&gt;SUM('DFP-Com'!$C42:J42),SUM('DFP-CASH'!$C44:I44)-SUM('DFP-Com'!$C42:J42),"ok")</f>
        <v>ok</v>
      </c>
      <c r="J44" s="359" t="str">
        <f>IF(SUM('DFP-CASH'!$C44:$G44)+('DFP-CASH'!J44)&gt;SUM('DFP-Com'!$C42:K42),SUM('DFP-CASH'!$C44:J44)-SUM('DFP-Com'!$C42:K42),"ok")</f>
        <v>ok</v>
      </c>
    </row>
    <row r="45" spans="1:10" x14ac:dyDescent="0.25">
      <c r="A45" s="52"/>
      <c r="B45" s="245" t="str">
        <f>IF('DFP-Com'!M43-'DFP-CASH'!M45=0,"ok",'DFP-Com'!M43-'DFP-CASH'!M45)</f>
        <v>ok</v>
      </c>
      <c r="C45" s="359" t="str">
        <f>IF(SUM('DFP-CASH'!$C45:C45)&gt;SUM('DFP-Com'!$C43:D43),SUM('DFP-CASH'!$C45:C45)-SUM('DFP-Com'!$C43:D43),"ok")</f>
        <v>ok</v>
      </c>
      <c r="D45" s="359" t="str">
        <f>IF(SUM('DFP-CASH'!$C45:D45)&gt;SUM('DFP-Com'!$C43:E43),SUM('DFP-CASH'!$C45:D45)-SUM('DFP-Com'!$C43:E43),"ok")</f>
        <v>ok</v>
      </c>
      <c r="E45" s="359" t="str">
        <f>IF(SUM('DFP-CASH'!$C45:E45)&gt;SUM('DFP-Com'!$C43:F43),SUM('DFP-CASH'!$C45:E45)-SUM('DFP-Com'!$C43:F43),"ok")</f>
        <v>ok</v>
      </c>
      <c r="F45" s="359" t="str">
        <f>IF(SUM('DFP-CASH'!$C45:F45)&gt;SUM('DFP-Com'!$C43:G43),SUM('DFP-CASH'!$C45:F45)-SUM('DFP-Com'!$C43:G43),"ok")</f>
        <v>ok</v>
      </c>
      <c r="G45" s="359" t="str">
        <f>IF(SUM('DFP-CASH'!$C45:G45)&gt;SUM('DFP-Com'!$C43:G43),SUM('DFP-CASH'!$C45:G45)-SUM('DFP-Com'!$C43:G43),"ok")</f>
        <v>ok</v>
      </c>
      <c r="H45" s="359" t="str">
        <f>IF(SUM('DFP-CASH'!$C45:$G45)+('DFP-CASH'!H45)&gt;SUM('DFP-Com'!$C43:I43),SUM('DFP-CASH'!$C45:H45)-SUM('DFP-Com'!$C43:I43),"ok")</f>
        <v>ok</v>
      </c>
      <c r="I45" s="359" t="str">
        <f>IF(SUM('DFP-CASH'!$C45:$G45)+('DFP-CASH'!I45)&gt;SUM('DFP-Com'!$C43:J43),SUM('DFP-CASH'!$C45:I45)-SUM('DFP-Com'!$C43:J43),"ok")</f>
        <v>ok</v>
      </c>
      <c r="J45" s="359" t="str">
        <f>IF(SUM('DFP-CASH'!$C45:$G45)+('DFP-CASH'!J45)&gt;SUM('DFP-Com'!$C43:K43),SUM('DFP-CASH'!$C45:J45)-SUM('DFP-Com'!$C43:K43),"ok")</f>
        <v>ok</v>
      </c>
    </row>
    <row r="46" spans="1:10" x14ac:dyDescent="0.25">
      <c r="A46" s="44" t="s">
        <v>75</v>
      </c>
      <c r="B46" s="245" t="str">
        <f>IF('DFP-Com'!M44-'DFP-CASH'!M46=0,"ok",'DFP-Com'!M44-'DFP-CASH'!M46)</f>
        <v>ok</v>
      </c>
      <c r="C46" s="359" t="str">
        <f>IF(SUM('DFP-CASH'!$C46:C46)&gt;SUM('DFP-Com'!$C44:D44),SUM('DFP-CASH'!$C46:C46)-SUM('DFP-Com'!$C44:D44),"ok")</f>
        <v>ok</v>
      </c>
      <c r="D46" s="359" t="str">
        <f>IF(SUM('DFP-CASH'!$C46:D46)&gt;SUM('DFP-Com'!$C44:E44),SUM('DFP-CASH'!$C46:D46)-SUM('DFP-Com'!$C44:E44),"ok")</f>
        <v>ok</v>
      </c>
      <c r="E46" s="359" t="str">
        <f>IF(SUM('DFP-CASH'!$C46:E46)&gt;SUM('DFP-Com'!$C44:F44),SUM('DFP-CASH'!$C46:E46)-SUM('DFP-Com'!$C44:F44),"ok")</f>
        <v>ok</v>
      </c>
      <c r="F46" s="359" t="str">
        <f>IF(SUM('DFP-CASH'!$C46:F46)&gt;SUM('DFP-Com'!$C44:G44),SUM('DFP-CASH'!$C46:F46)-SUM('DFP-Com'!$C44:G44),"ok")</f>
        <v>ok</v>
      </c>
      <c r="G46" s="359" t="str">
        <f>IF(SUM('DFP-CASH'!$C46:G46)&gt;SUM('DFP-Com'!$C44:G44),SUM('DFP-CASH'!$C46:G46)-SUM('DFP-Com'!$C44:G44),"ok")</f>
        <v>ok</v>
      </c>
      <c r="H46" s="359" t="str">
        <f>IF(SUM('DFP-CASH'!$C46:$G46)+('DFP-CASH'!H46)&gt;SUM('DFP-Com'!$C44:I44),SUM('DFP-CASH'!$C46:H46)-SUM('DFP-Com'!$C44:I44),"ok")</f>
        <v>ok</v>
      </c>
      <c r="I46" s="359" t="str">
        <f>IF(SUM('DFP-CASH'!$C46:$G46)+('DFP-CASH'!I46)&gt;SUM('DFP-Com'!$C44:J44),SUM('DFP-CASH'!$C46:I46)-SUM('DFP-Com'!$C44:J44),"ok")</f>
        <v>ok</v>
      </c>
      <c r="J46" s="359" t="str">
        <f>IF(SUM('DFP-CASH'!$C46:$G46)+('DFP-CASH'!J46)&gt;SUM('DFP-Com'!$C44:K44),SUM('DFP-CASH'!$C46:J46)-SUM('DFP-Com'!$C44:K44),"ok")</f>
        <v>ok</v>
      </c>
    </row>
    <row r="47" spans="1:10" x14ac:dyDescent="0.25">
      <c r="A47" s="64" t="s">
        <v>84</v>
      </c>
      <c r="B47" s="245" t="str">
        <f>IF('DFP-Com'!M45-'DFP-CASH'!M47=0,"ok",'DFP-Com'!M45-'DFP-CASH'!M47)</f>
        <v>ok</v>
      </c>
      <c r="C47" s="359" t="str">
        <f>IF(SUM('DFP-CASH'!$C47:C47)&gt;SUM('DFP-Com'!$C45:D45),SUM('DFP-CASH'!$C47:C47)-SUM('DFP-Com'!$C45:D45),"ok")</f>
        <v>ok</v>
      </c>
      <c r="D47" s="359" t="str">
        <f>IF(SUM('DFP-CASH'!$C47:D47)&gt;SUM('DFP-Com'!$C45:E45),SUM('DFP-CASH'!$C47:D47)-SUM('DFP-Com'!$C45:E45),"ok")</f>
        <v>ok</v>
      </c>
      <c r="E47" s="359" t="str">
        <f>IF(SUM('DFP-CASH'!$C47:E47)&gt;SUM('DFP-Com'!$C45:F45),SUM('DFP-CASH'!$C47:E47)-SUM('DFP-Com'!$C45:F45),"ok")</f>
        <v>ok</v>
      </c>
      <c r="F47" s="359" t="str">
        <f>IF(SUM('DFP-CASH'!$C47:F47)&gt;SUM('DFP-Com'!$C45:G45),SUM('DFP-CASH'!$C47:F47)-SUM('DFP-Com'!$C45:G45),"ok")</f>
        <v>ok</v>
      </c>
      <c r="G47" s="359" t="str">
        <f>IF(SUM('DFP-CASH'!$C47:G47)&gt;SUM('DFP-Com'!$C45:G45),SUM('DFP-CASH'!$C47:G47)-SUM('DFP-Com'!$C45:G45),"ok")</f>
        <v>ok</v>
      </c>
      <c r="H47" s="359" t="str">
        <f>IF(SUM('DFP-CASH'!$C47:$G47)+('DFP-CASH'!H47)&gt;SUM('DFP-Com'!$C45:I45),SUM('DFP-CASH'!$C47:H47)-SUM('DFP-Com'!$C45:I45),"ok")</f>
        <v>ok</v>
      </c>
      <c r="I47" s="359" t="str">
        <f>IF(SUM('DFP-CASH'!$C47:$G47)+('DFP-CASH'!I47)&gt;SUM('DFP-Com'!$C45:J45),SUM('DFP-CASH'!$C47:I47)-SUM('DFP-Com'!$C45:J45),"ok")</f>
        <v>ok</v>
      </c>
      <c r="J47" s="359" t="str">
        <f>IF(SUM('DFP-CASH'!$C47:$G47)+('DFP-CASH'!J47)&gt;SUM('DFP-Com'!$C45:K45),SUM('DFP-CASH'!$C47:J47)-SUM('DFP-Com'!$C45:K45),"ok")</f>
        <v>ok</v>
      </c>
    </row>
    <row r="48" spans="1:10" x14ac:dyDescent="0.25">
      <c r="A48" s="212" t="s">
        <v>120</v>
      </c>
      <c r="B48" s="245">
        <f>IF('DFP-Com'!M46-'DFP-CASH'!M48=0,"ok",'DFP-Com'!M46-'DFP-CASH'!M48)</f>
        <v>2.3283064365386963E-10</v>
      </c>
      <c r="C48" s="359" t="str">
        <f>IF(SUM('DFP-CASH'!$C48:C48)&gt;SUM('DFP-Com'!$C46:D46),SUM('DFP-CASH'!$C48:C48)-SUM('DFP-Com'!$C46:D46),"ok")</f>
        <v>ok</v>
      </c>
      <c r="D48" s="359" t="str">
        <f>IF(SUM('DFP-CASH'!$C48:G48)&gt;SUM('DFP-Com'!$C46:E46),SUM('DFP-CASH'!$C48:G48)-SUM('DFP-Com'!$C46:E46),"ok")</f>
        <v>ok</v>
      </c>
      <c r="E48" s="359" t="str">
        <f>IF(SUM('DFP-CASH'!$C48:G48)&gt;SUM('DFP-Com'!$C46:F46),SUM('DFP-CASH'!$C48:G48)-SUM('DFP-Com'!$C46:F46),"ok")</f>
        <v>ok</v>
      </c>
      <c r="F48" s="359" t="str">
        <f>IF(SUM('DFP-CASH'!$C48:G48)&gt;SUM('DFP-Com'!$C46:G46),SUM('DFP-CASH'!$C48:G48)-SUM('DFP-Com'!$C46:G46),"ok")</f>
        <v>ok</v>
      </c>
      <c r="G48" s="359" t="str">
        <f>IF(SUM('DFP-CASH'!$C48:G48)&gt;SUM('DFP-Com'!$C46:G46),SUM('DFP-CASH'!$C48:G48)-SUM('DFP-Com'!$C46:G46),"ok")</f>
        <v>ok</v>
      </c>
      <c r="H48" s="359" t="str">
        <f>IF(SUM('DFP-CASH'!$C48:$G48)+('DFP-CASH'!H48)&gt;SUM('DFP-Com'!$C46:I46),SUM('DFP-CASH'!$C48:H48)-SUM('DFP-Com'!$C46:I46),"ok")</f>
        <v>ok</v>
      </c>
      <c r="I48" s="359" t="str">
        <f>IF(SUM('DFP-CASH'!$C48:$G48)+('DFP-CASH'!I48)&gt;SUM('DFP-Com'!$C46:J46),SUM('DFP-CASH'!$C48:I48)-SUM('DFP-Com'!$C46:J46),"ok")</f>
        <v>ok</v>
      </c>
      <c r="J48" s="359" t="str">
        <f>IF(SUM('DFP-CASH'!$C48:$G48)+('DFP-CASH'!J48)&gt;SUM('DFP-Com'!$C46:K46),SUM('DFP-CASH'!$C48:J48)-SUM('DFP-Com'!$C46:K46),"ok")</f>
        <v>ok</v>
      </c>
    </row>
    <row r="49" spans="1:10" x14ac:dyDescent="0.25">
      <c r="A49" s="212" t="s">
        <v>121</v>
      </c>
      <c r="B49" s="245" t="str">
        <f>IF('DFP-Com'!M47-'DFP-CASH'!M49=0,"ok",'DFP-Com'!M47-'DFP-CASH'!M49)</f>
        <v>ok</v>
      </c>
      <c r="C49" s="359" t="str">
        <f>IF(SUM('DFP-CASH'!$C49:C49)&gt;SUM('DFP-Com'!$C47:G47),SUM('DFP-CASH'!$C49:C49)-SUM('DFP-Com'!$C47:G47),"ok")</f>
        <v>ok</v>
      </c>
      <c r="D49" s="359" t="str">
        <f>IF(SUM('DFP-CASH'!$C49:D49)&gt;SUM('DFP-Com'!$C47:G47),SUM('DFP-CASH'!$C49:D49)-SUM('DFP-Com'!$C47:G47),"ok")</f>
        <v>ok</v>
      </c>
      <c r="E49" s="359" t="str">
        <f>IF(SUM('DFP-CASH'!$C49:E49)&gt;SUM('DFP-Com'!$C47:G47),SUM('DFP-CASH'!$C49:E49)-SUM('DFP-Com'!$C47:G47),"ok")</f>
        <v>ok</v>
      </c>
      <c r="F49" s="359" t="str">
        <f>IF(SUM('DFP-CASH'!$C49:F49)&gt;SUM('DFP-Com'!$C47:H47),SUM('DFP-CASH'!$C49:F49)-SUM('DFP-Com'!$C47:H47),"ok")</f>
        <v>ok</v>
      </c>
      <c r="G49" s="359">
        <f>IF(SUM('DFP-CASH'!$C49:$G49)+('DFP-CASH'!G49)&gt;SUM('DFP-Com'!$C47:G47),SUM('DFP-CASH'!$C49:G49)-SUM('DFP-Com'!$C47:G47),"ok")</f>
        <v>0</v>
      </c>
      <c r="H49" s="359" t="str">
        <f>IF(SUM('DFP-CASH'!$C49:$G49)+('DFP-CASH'!H49)&gt;SUM('DFP-Com'!$C47:I47),SUM('DFP-CASH'!$C49:H49)-SUM('DFP-Com'!$C47:I47),"ok")</f>
        <v>ok</v>
      </c>
      <c r="I49" s="359" t="str">
        <f>IF(SUM('DFP-CASH'!$C49:$G49)+('DFP-CASH'!I49)&gt;SUM('DFP-Com'!$C47:J47),SUM('DFP-CASH'!$C49:I49)-SUM('DFP-Com'!$C47:J47),"ok")</f>
        <v>ok</v>
      </c>
      <c r="J49" s="359" t="str">
        <f>IF(SUM('DFP-CASH'!$C49:$G49)+('DFP-CASH'!J49)&gt;SUM('DFP-Com'!$C47:K47),SUM('DFP-CASH'!$C49:J49)-SUM('DFP-Com'!$C47:K47),"ok")</f>
        <v>ok</v>
      </c>
    </row>
    <row r="50" spans="1:10" x14ac:dyDescent="0.25">
      <c r="A50" s="212" t="s">
        <v>122</v>
      </c>
      <c r="B50" s="245" t="str">
        <f>IF('DFP-Com'!M48-'DFP-CASH'!M50=0,"ok",'DFP-Com'!M48-'DFP-CASH'!M50)</f>
        <v>ok</v>
      </c>
      <c r="C50" s="359" t="str">
        <f>IF(SUM('DFP-CASH'!$C50:C50)&gt;SUM('DFP-Com'!$C48:D48),SUM('DFP-CASH'!$C50:C50)-SUM('DFP-Com'!$C48:D48),"ok")</f>
        <v>ok</v>
      </c>
      <c r="D50" s="359" t="str">
        <f>IF(SUM('DFP-CASH'!$C50:G50)&gt;SUM('DFP-Com'!$C48:E48),SUM('DFP-CASH'!$C50:G50)-SUM('DFP-Com'!$C48:E48),"ok")</f>
        <v>ok</v>
      </c>
      <c r="E50" s="359" t="str">
        <f>IF(SUM('DFP-CASH'!$C50:G50)&gt;SUM('DFP-Com'!$C48:F48),SUM('DFP-CASH'!$C50:G50)-SUM('DFP-Com'!$C48:F48),"ok")</f>
        <v>ok</v>
      </c>
      <c r="F50" s="359" t="str">
        <f>IF(SUM('DFP-CASH'!$C50:G50)&gt;SUM('DFP-Com'!$C48:G48),SUM('DFP-CASH'!$C50:G50)-SUM('DFP-Com'!$C48:G48),"ok")</f>
        <v>ok</v>
      </c>
      <c r="G50" s="359" t="str">
        <f>IF(SUM('DFP-CASH'!$C50:G50)&gt;SUM('DFP-Com'!$C48:G48),SUM('DFP-CASH'!$C50:G50)-SUM('DFP-Com'!$C48:G48),"ok")</f>
        <v>ok</v>
      </c>
      <c r="H50" s="359" t="str">
        <f>IF(SUM('DFP-CASH'!$C50:$G50)+('DFP-CASH'!H50)&gt;SUM('DFP-Com'!$C48:I48),SUM('DFP-CASH'!$C50:H50)-SUM('DFP-Com'!$C48:I48),"ok")</f>
        <v>ok</v>
      </c>
      <c r="I50" s="359" t="str">
        <f>IF(SUM('DFP-CASH'!$C50:$G50)+('DFP-CASH'!I50)&gt;SUM('DFP-Com'!$C48:J48),SUM('DFP-CASH'!$C50:I50)-SUM('DFP-Com'!$C48:J48),"ok")</f>
        <v>ok</v>
      </c>
      <c r="J50" s="359" t="str">
        <f>IF(SUM('DFP-CASH'!$C50:$G50)+('DFP-CASH'!J50)&gt;SUM('DFP-Com'!$C48:K48),SUM('DFP-CASH'!$C50:J50)-SUM('DFP-Com'!$C48:K48),"ok")</f>
        <v>ok</v>
      </c>
    </row>
    <row r="51" spans="1:10" x14ac:dyDescent="0.25">
      <c r="A51" s="212" t="s">
        <v>123</v>
      </c>
      <c r="B51" s="245" t="str">
        <f>IF('DFP-Com'!M49-'DFP-CASH'!M51=0,"ok",'DFP-Com'!M49-'DFP-CASH'!M51)</f>
        <v>ok</v>
      </c>
      <c r="C51" s="359" t="str">
        <f>IF(SUM('DFP-CASH'!$C51:C51)&gt;SUM('DFP-Com'!$C49:E49),SUM('DFP-CASH'!$C51:C51)-SUM('DFP-Com'!$C49:E49),"ok")</f>
        <v>ok</v>
      </c>
      <c r="D51" s="359" t="str">
        <f>IF(SUM('DFP-CASH'!$C51:D51)&gt;SUM('DFP-Com'!$C49:E49),SUM('DFP-CASH'!$C51:D51)-SUM('DFP-Com'!$C49:E49),"ok")</f>
        <v>ok</v>
      </c>
      <c r="E51" s="359" t="str">
        <f>IF(SUM('DFP-CASH'!$C51:E51)&gt;SUM('DFP-Com'!$C49:F49),SUM('DFP-CASH'!$C51:E51)-SUM('DFP-Com'!$C49:F49),"ok")</f>
        <v>ok</v>
      </c>
      <c r="F51" s="359" t="str">
        <f>IF(SUM('DFP-CASH'!$C51:F51)&gt;SUM('DFP-Com'!$C49:G49),SUM('DFP-CASH'!$C51:F51)-SUM('DFP-Com'!$C49:G49),"ok")</f>
        <v>ok</v>
      </c>
      <c r="G51" s="359" t="str">
        <f>IF(SUM('DFP-CASH'!$C51:G51)&gt;SUM('DFP-Com'!$C49:G49),SUM('DFP-CASH'!$C51:G51)-SUM('DFP-Com'!$C49:G49),"ok")</f>
        <v>ok</v>
      </c>
      <c r="H51" s="359" t="str">
        <f>IF(SUM('DFP-CASH'!$C51:$G51)+('DFP-CASH'!H51)&gt;SUM('DFP-Com'!$C49:I49),SUM('DFP-CASH'!$C51:H51)-SUM('DFP-Com'!$C49:I49),"ok")</f>
        <v>ok</v>
      </c>
      <c r="I51" s="359" t="str">
        <f>IF(SUM('DFP-CASH'!$C51:$G51)+('DFP-CASH'!I51)&gt;SUM('DFP-Com'!$C49:J49),SUM('DFP-CASH'!$C51:I51)-SUM('DFP-Com'!$C49:J49),"ok")</f>
        <v>ok</v>
      </c>
      <c r="J51" s="359" t="str">
        <f>IF(SUM('DFP-CASH'!$C51:$G51)+('DFP-CASH'!J51)&gt;SUM('DFP-Com'!$C49:K49),SUM('DFP-CASH'!$C51:J51)-SUM('DFP-Com'!$C49:K49),"ok")</f>
        <v>ok</v>
      </c>
    </row>
    <row r="52" spans="1:10" x14ac:dyDescent="0.25">
      <c r="A52" s="65" t="s">
        <v>83</v>
      </c>
      <c r="B52" s="245" t="str">
        <f>IF('DFP-Com'!M50-'DFP-CASH'!M52=0,"ok",'DFP-Com'!M50-'DFP-CASH'!M52)</f>
        <v>ok</v>
      </c>
      <c r="C52" s="359" t="str">
        <f>IF(SUM('DFP-CASH'!$C52:C52)&gt;SUM('DFP-Com'!$C50:D50),SUM('DFP-CASH'!$C52:C52)-SUM('DFP-Com'!$C50:D50),"ok")</f>
        <v>ok</v>
      </c>
      <c r="D52" s="359" t="str">
        <f>IF(SUM('DFP-CASH'!$C52:D52)&gt;SUM('DFP-Com'!$C50:E50),SUM('DFP-CASH'!$C52:D52)-SUM('DFP-Com'!$C50:E50),"ok")</f>
        <v>ok</v>
      </c>
      <c r="E52" s="359" t="str">
        <f>IF(SUM('DFP-CASH'!$C52:E52)&gt;SUM('DFP-Com'!$C50:F50),SUM('DFP-CASH'!$C52:E52)-SUM('DFP-Com'!$C50:F50),"ok")</f>
        <v>ok</v>
      </c>
      <c r="F52" s="359" t="str">
        <f>IF(SUM('DFP-CASH'!$C52:F52)&gt;SUM('DFP-Com'!$C50:G50),SUM('DFP-CASH'!$C52:F52)-SUM('DFP-Com'!$C50:G50),"ok")</f>
        <v>ok</v>
      </c>
      <c r="G52" s="359" t="str">
        <f>IF(SUM('DFP-CASH'!$C52:G52)&gt;SUM('DFP-Com'!$C50:G50),SUM('DFP-CASH'!$C52:G52)-SUM('DFP-Com'!$C50:G50),"ok")</f>
        <v>ok</v>
      </c>
      <c r="H52" s="359" t="str">
        <f>IF(SUM('DFP-CASH'!$C52:$G52)+('DFP-CASH'!H52)&gt;SUM('DFP-Com'!$C50:I50),SUM('DFP-CASH'!$C52:H52)-SUM('DFP-Com'!$C50:I50),"ok")</f>
        <v>ok</v>
      </c>
      <c r="I52" s="359" t="str">
        <f>IF(SUM('DFP-CASH'!$C52:$G52)+('DFP-CASH'!I52)&gt;SUM('DFP-Com'!$C50:J50),SUM('DFP-CASH'!$C52:I52)-SUM('DFP-Com'!$C50:J50),"ok")</f>
        <v>ok</v>
      </c>
      <c r="J52" s="359" t="str">
        <f>IF(SUM('DFP-CASH'!$C52:$G52)+('DFP-CASH'!J52)&gt;SUM('DFP-Com'!$C50:K50),SUM('DFP-CASH'!$C52:J52)-SUM('DFP-Com'!$C50:K50),"ok")</f>
        <v>ok</v>
      </c>
    </row>
    <row r="53" spans="1:10" x14ac:dyDescent="0.25">
      <c r="A53" s="52"/>
      <c r="B53" s="245" t="str">
        <f>IF('DFP-Com'!M51-'DFP-CASH'!M53=0,"ok",'DFP-Com'!M51-'DFP-CASH'!M53)</f>
        <v>ok</v>
      </c>
      <c r="C53" s="359" t="str">
        <f>IF(SUM('DFP-CASH'!$C53:C53)&gt;SUM('DFP-Com'!$C51:D51),SUM('DFP-CASH'!$C53:C53)-SUM('DFP-Com'!$C51:D51),"ok")</f>
        <v>ok</v>
      </c>
      <c r="D53" s="359" t="str">
        <f>IF(SUM('DFP-CASH'!$C53:D53)&gt;SUM('DFP-Com'!$C51:E51),SUM('DFP-CASH'!$C53:D53)-SUM('DFP-Com'!$C51:E51),"ok")</f>
        <v>ok</v>
      </c>
      <c r="E53" s="359" t="str">
        <f>IF(SUM('DFP-CASH'!$C53:E53)&gt;SUM('DFP-Com'!$C51:F51),SUM('DFP-CASH'!$C53:E53)-SUM('DFP-Com'!$C51:F51),"ok")</f>
        <v>ok</v>
      </c>
      <c r="F53" s="359" t="str">
        <f>IF(SUM('DFP-CASH'!$C53:F53)&gt;SUM('DFP-Com'!$C51:G51),SUM('DFP-CASH'!$C53:F53)-SUM('DFP-Com'!$C51:G51),"ok")</f>
        <v>ok</v>
      </c>
      <c r="G53" s="359" t="str">
        <f>IF(SUM('DFP-CASH'!$C53:G53)&gt;SUM('DFP-Com'!$C51:G51),SUM('DFP-CASH'!$C53:G53)-SUM('DFP-Com'!$C51:G51),"ok")</f>
        <v>ok</v>
      </c>
      <c r="H53" s="359" t="str">
        <f>IF(SUM('DFP-CASH'!$C53:$G53)+('DFP-CASH'!H53)&gt;SUM('DFP-Com'!$C51:I51),SUM('DFP-CASH'!$C53:H53)-SUM('DFP-Com'!$C51:I51),"ok")</f>
        <v>ok</v>
      </c>
      <c r="I53" s="359" t="str">
        <f>IF(SUM('DFP-CASH'!$C53:$G53)+('DFP-CASH'!I53)&gt;SUM('DFP-Com'!$C51:J51),SUM('DFP-CASH'!$C53:I53)-SUM('DFP-Com'!$C51:J51),"ok")</f>
        <v>ok</v>
      </c>
      <c r="J53" s="359" t="str">
        <f>IF(SUM('DFP-CASH'!$C53:$G53)+('DFP-CASH'!J53)&gt;SUM('DFP-Com'!$C51:K51),SUM('DFP-CASH'!$C53:J53)-SUM('DFP-Com'!$C51:K51),"ok")</f>
        <v>ok</v>
      </c>
    </row>
    <row r="54" spans="1:10" ht="16.5" x14ac:dyDescent="0.25">
      <c r="A54" s="224" t="s">
        <v>116</v>
      </c>
    </row>
  </sheetData>
  <mergeCells count="1">
    <mergeCell ref="E15:G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D79"/>
  <sheetViews>
    <sheetView showGridLines="0" zoomScale="115" zoomScaleNormal="115" workbookViewId="0">
      <pane ySplit="3" topLeftCell="A4" activePane="bottomLeft" state="frozen"/>
      <selection pane="bottomLeft" activeCell="C31" sqref="C31"/>
    </sheetView>
  </sheetViews>
  <sheetFormatPr baseColWidth="10" defaultColWidth="8.85546875" defaultRowHeight="15" x14ac:dyDescent="0.25"/>
  <cols>
    <col min="1" max="1" width="8.85546875" style="290"/>
    <col min="2" max="2" width="30.5703125" style="290" customWidth="1"/>
    <col min="3" max="3" width="51.42578125" style="290" customWidth="1"/>
    <col min="4" max="4" width="14" style="290" customWidth="1"/>
    <col min="5" max="5" width="13.140625" style="290" customWidth="1"/>
    <col min="6" max="6" width="12.42578125" style="290" customWidth="1"/>
    <col min="7" max="7" width="10.42578125" style="290" customWidth="1"/>
    <col min="8" max="8" width="10.42578125" style="307" customWidth="1"/>
    <col min="9" max="21" width="10.42578125" style="290" customWidth="1"/>
    <col min="22" max="23" width="14" style="290" customWidth="1"/>
    <col min="24" max="24" width="11" style="290" customWidth="1"/>
    <col min="25" max="34" width="10.42578125" style="290" customWidth="1"/>
    <col min="35" max="35" width="12.42578125" style="290" customWidth="1"/>
    <col min="36" max="37" width="10.42578125" style="290" customWidth="1"/>
    <col min="38" max="38" width="12.5703125" style="290" customWidth="1"/>
    <col min="39" max="39" width="8.85546875" style="290"/>
    <col min="40" max="41" width="11.42578125" style="290" customWidth="1"/>
    <col min="42" max="42" width="12.140625" style="290" customWidth="1"/>
    <col min="43" max="44" width="11.42578125" style="290" customWidth="1"/>
    <col min="45" max="45" width="12.42578125" style="290" customWidth="1"/>
    <col min="46" max="54" width="11.42578125" style="290" customWidth="1"/>
    <col min="55" max="55" width="8.85546875" style="290"/>
    <col min="56" max="56" width="11.5703125" style="290" customWidth="1"/>
    <col min="57" max="16384" width="8.85546875" style="290"/>
  </cols>
  <sheetData>
    <row r="1" spans="1:56" x14ac:dyDescent="0.25">
      <c r="D1" s="229">
        <f>SUM(D2:D55)</f>
        <v>23584570</v>
      </c>
      <c r="F1" s="290" t="s">
        <v>148</v>
      </c>
      <c r="U1" s="290" t="s">
        <v>162</v>
      </c>
      <c r="X1" s="233" t="s">
        <v>190</v>
      </c>
      <c r="Y1" s="233"/>
      <c r="Z1" s="233"/>
      <c r="AA1" s="233"/>
      <c r="AB1" s="233"/>
      <c r="AC1" s="233"/>
      <c r="AD1" s="233"/>
      <c r="AE1" s="233"/>
      <c r="AF1" s="233"/>
      <c r="AG1" s="233"/>
      <c r="AH1" s="233"/>
      <c r="AI1" s="233"/>
      <c r="AJ1" s="233"/>
      <c r="AK1" s="233"/>
      <c r="AL1" s="233"/>
      <c r="AM1" s="234"/>
      <c r="AN1" s="233" t="s">
        <v>191</v>
      </c>
      <c r="AO1" s="233"/>
      <c r="AP1" s="233"/>
      <c r="AQ1" s="233"/>
      <c r="AR1" s="233"/>
      <c r="AS1" s="233"/>
      <c r="AT1" s="233"/>
      <c r="AU1" s="233"/>
      <c r="AV1" s="233"/>
      <c r="AW1" s="233"/>
      <c r="AX1" s="233"/>
      <c r="AY1" s="233"/>
      <c r="AZ1" s="233"/>
      <c r="BA1" s="233"/>
      <c r="BB1" s="233"/>
    </row>
    <row r="2" spans="1:56" x14ac:dyDescent="0.25">
      <c r="A2" s="290" t="s">
        <v>124</v>
      </c>
      <c r="C2" s="290" t="s">
        <v>144</v>
      </c>
      <c r="D2" s="290" t="s">
        <v>146</v>
      </c>
      <c r="F2" s="227">
        <v>42552</v>
      </c>
      <c r="G2" s="227">
        <v>42644</v>
      </c>
      <c r="H2" s="308">
        <v>42736</v>
      </c>
      <c r="I2" s="227">
        <v>42826</v>
      </c>
      <c r="J2" s="227">
        <v>42917</v>
      </c>
      <c r="K2" s="227">
        <v>43009</v>
      </c>
      <c r="L2" s="227">
        <v>43101</v>
      </c>
      <c r="M2" s="227">
        <v>43191</v>
      </c>
      <c r="N2" s="227">
        <v>43282</v>
      </c>
      <c r="O2" s="227">
        <v>43374</v>
      </c>
      <c r="P2" s="227">
        <v>43466</v>
      </c>
      <c r="Q2" s="227">
        <v>43556</v>
      </c>
      <c r="R2" s="227">
        <v>43647</v>
      </c>
      <c r="S2" s="227">
        <v>43739</v>
      </c>
      <c r="T2" s="227">
        <v>43831</v>
      </c>
      <c r="X2" s="235">
        <v>42552</v>
      </c>
      <c r="Y2" s="235">
        <v>42644</v>
      </c>
      <c r="Z2" s="235">
        <v>42736</v>
      </c>
      <c r="AA2" s="235">
        <v>42826</v>
      </c>
      <c r="AB2" s="235">
        <v>42917</v>
      </c>
      <c r="AC2" s="235">
        <v>43009</v>
      </c>
      <c r="AD2" s="235">
        <v>43101</v>
      </c>
      <c r="AE2" s="235">
        <v>43191</v>
      </c>
      <c r="AF2" s="235">
        <v>43282</v>
      </c>
      <c r="AG2" s="235">
        <v>43374</v>
      </c>
      <c r="AH2" s="235">
        <v>43466</v>
      </c>
      <c r="AI2" s="235">
        <v>43556</v>
      </c>
      <c r="AJ2" s="235">
        <v>43647</v>
      </c>
      <c r="AK2" s="235">
        <v>43739</v>
      </c>
      <c r="AL2" s="235">
        <v>43831</v>
      </c>
      <c r="AM2" s="234"/>
      <c r="AN2" s="235">
        <v>42552</v>
      </c>
      <c r="AO2" s="235">
        <v>42644</v>
      </c>
      <c r="AP2" s="235">
        <v>42736</v>
      </c>
      <c r="AQ2" s="235">
        <v>42826</v>
      </c>
      <c r="AR2" s="235">
        <v>42917</v>
      </c>
      <c r="AS2" s="235">
        <v>43009</v>
      </c>
      <c r="AT2" s="235">
        <v>43101</v>
      </c>
      <c r="AU2" s="235">
        <v>43191</v>
      </c>
      <c r="AV2" s="235">
        <v>43282</v>
      </c>
      <c r="AW2" s="235">
        <v>43374</v>
      </c>
      <c r="AX2" s="235">
        <v>43466</v>
      </c>
      <c r="AY2" s="235">
        <v>43556</v>
      </c>
      <c r="AZ2" s="235">
        <v>43647</v>
      </c>
      <c r="BA2" s="235">
        <v>43739</v>
      </c>
      <c r="BB2" s="235">
        <v>43831</v>
      </c>
      <c r="BD2" s="290" t="s">
        <v>198</v>
      </c>
    </row>
    <row r="3" spans="1:56" x14ac:dyDescent="0.25">
      <c r="A3" s="290" t="s">
        <v>124</v>
      </c>
      <c r="C3" s="290" t="s">
        <v>144</v>
      </c>
      <c r="E3" s="290" t="s">
        <v>147</v>
      </c>
      <c r="F3" s="290" t="s">
        <v>145</v>
      </c>
      <c r="G3" s="290" t="s">
        <v>149</v>
      </c>
      <c r="H3" s="307" t="s">
        <v>150</v>
      </c>
      <c r="I3" s="290" t="s">
        <v>151</v>
      </c>
      <c r="J3" s="290" t="s">
        <v>152</v>
      </c>
      <c r="K3" s="290" t="s">
        <v>153</v>
      </c>
      <c r="L3" s="290" t="s">
        <v>154</v>
      </c>
      <c r="M3" s="290" t="s">
        <v>155</v>
      </c>
      <c r="N3" s="290" t="s">
        <v>156</v>
      </c>
      <c r="O3" s="290" t="s">
        <v>157</v>
      </c>
      <c r="P3" s="290" t="s">
        <v>158</v>
      </c>
      <c r="Q3" s="290" t="s">
        <v>159</v>
      </c>
      <c r="R3" s="290" t="s">
        <v>160</v>
      </c>
      <c r="S3" s="290" t="s">
        <v>161</v>
      </c>
      <c r="T3" s="290" t="s">
        <v>163</v>
      </c>
      <c r="X3" s="233" t="s">
        <v>145</v>
      </c>
      <c r="Y3" s="233" t="s">
        <v>149</v>
      </c>
      <c r="Z3" s="233" t="s">
        <v>150</v>
      </c>
      <c r="AA3" s="233" t="s">
        <v>151</v>
      </c>
      <c r="AB3" s="233" t="s">
        <v>152</v>
      </c>
      <c r="AC3" s="233" t="s">
        <v>153</v>
      </c>
      <c r="AD3" s="233" t="s">
        <v>154</v>
      </c>
      <c r="AE3" s="233" t="s">
        <v>155</v>
      </c>
      <c r="AF3" s="233" t="s">
        <v>156</v>
      </c>
      <c r="AG3" s="233" t="s">
        <v>157</v>
      </c>
      <c r="AH3" s="233" t="s">
        <v>158</v>
      </c>
      <c r="AI3" s="233" t="s">
        <v>159</v>
      </c>
      <c r="AJ3" s="233" t="s">
        <v>160</v>
      </c>
      <c r="AK3" s="233" t="s">
        <v>161</v>
      </c>
      <c r="AL3" s="233" t="s">
        <v>163</v>
      </c>
      <c r="AM3" s="234"/>
      <c r="AN3" s="233" t="s">
        <v>145</v>
      </c>
      <c r="AO3" s="233" t="s">
        <v>149</v>
      </c>
      <c r="AP3" s="233" t="s">
        <v>150</v>
      </c>
      <c r="AQ3" s="233" t="s">
        <v>151</v>
      </c>
      <c r="AR3" s="233" t="s">
        <v>152</v>
      </c>
      <c r="AS3" s="233" t="s">
        <v>153</v>
      </c>
      <c r="AT3" s="233" t="s">
        <v>154</v>
      </c>
      <c r="AU3" s="233" t="s">
        <v>155</v>
      </c>
      <c r="AV3" s="233" t="s">
        <v>156</v>
      </c>
      <c r="AW3" s="233" t="s">
        <v>157</v>
      </c>
      <c r="AX3" s="233" t="s">
        <v>158</v>
      </c>
      <c r="AY3" s="233" t="s">
        <v>159</v>
      </c>
      <c r="AZ3" s="233" t="s">
        <v>160</v>
      </c>
      <c r="BA3" s="233" t="s">
        <v>161</v>
      </c>
      <c r="BB3" s="233" t="s">
        <v>163</v>
      </c>
    </row>
    <row r="4" spans="1:56" x14ac:dyDescent="0.25">
      <c r="A4" s="290" t="s">
        <v>125</v>
      </c>
      <c r="B4" s="238" t="str">
        <f>VLOOKUP(A4,'DFP-Com'!$A$16:$B$50,2,1)</f>
        <v xml:space="preserve">     1.1.a  Education Project Implementation Contract</v>
      </c>
      <c r="C4" s="290" t="s">
        <v>232</v>
      </c>
      <c r="D4" s="318">
        <v>8500000</v>
      </c>
      <c r="E4" s="290" t="s">
        <v>164</v>
      </c>
      <c r="H4" s="309"/>
      <c r="I4" s="228">
        <v>0.03</v>
      </c>
      <c r="J4" s="228">
        <v>0.05</v>
      </c>
      <c r="K4" s="228">
        <v>0.05</v>
      </c>
      <c r="L4" s="228">
        <v>0.05</v>
      </c>
      <c r="M4" s="228">
        <v>0.1</v>
      </c>
      <c r="N4" s="228">
        <v>0.1</v>
      </c>
      <c r="O4" s="228">
        <v>0.1</v>
      </c>
      <c r="P4" s="228">
        <v>0.1</v>
      </c>
      <c r="Q4" s="228">
        <v>0.1</v>
      </c>
      <c r="R4" s="228">
        <v>0.1</v>
      </c>
      <c r="S4" s="228">
        <v>0.1</v>
      </c>
      <c r="T4" s="228">
        <v>0.12</v>
      </c>
      <c r="U4" s="293">
        <f t="shared" ref="U4:U38" si="0">SUM(F4:T4)</f>
        <v>0.99999999999999989</v>
      </c>
      <c r="X4" s="295">
        <f t="shared" ref="X4:AL20" si="1">F4*$D4</f>
        <v>0</v>
      </c>
      <c r="Y4" s="295">
        <f t="shared" si="1"/>
        <v>0</v>
      </c>
      <c r="Z4" s="295">
        <f t="shared" si="1"/>
        <v>0</v>
      </c>
      <c r="AA4" s="295">
        <f t="shared" si="1"/>
        <v>255000</v>
      </c>
      <c r="AB4" s="295">
        <f t="shared" si="1"/>
        <v>425000</v>
      </c>
      <c r="AC4" s="295">
        <f t="shared" si="1"/>
        <v>425000</v>
      </c>
      <c r="AD4" s="295">
        <f t="shared" si="1"/>
        <v>425000</v>
      </c>
      <c r="AE4" s="295">
        <f t="shared" si="1"/>
        <v>850000</v>
      </c>
      <c r="AF4" s="295">
        <f t="shared" si="1"/>
        <v>850000</v>
      </c>
      <c r="AG4" s="295">
        <f t="shared" si="1"/>
        <v>850000</v>
      </c>
      <c r="AH4" s="295">
        <f t="shared" si="1"/>
        <v>850000</v>
      </c>
      <c r="AI4" s="295">
        <f t="shared" si="1"/>
        <v>850000</v>
      </c>
      <c r="AJ4" s="295">
        <f t="shared" si="1"/>
        <v>850000</v>
      </c>
      <c r="AK4" s="295">
        <f t="shared" si="1"/>
        <v>850000</v>
      </c>
      <c r="AL4" s="295">
        <f t="shared" si="1"/>
        <v>1020000</v>
      </c>
      <c r="AM4" s="234"/>
      <c r="AN4" s="295">
        <f t="shared" ref="AN4:BB19" si="2">IF(AN$3=$E4,$D4,0)</f>
        <v>0</v>
      </c>
      <c r="AO4" s="295">
        <f t="shared" si="2"/>
        <v>0</v>
      </c>
      <c r="AP4" s="295">
        <f t="shared" si="2"/>
        <v>8500000</v>
      </c>
      <c r="AQ4" s="295">
        <f t="shared" si="2"/>
        <v>0</v>
      </c>
      <c r="AR4" s="295">
        <f t="shared" si="2"/>
        <v>0</v>
      </c>
      <c r="AS4" s="295">
        <f t="shared" si="2"/>
        <v>0</v>
      </c>
      <c r="AT4" s="295">
        <f t="shared" si="2"/>
        <v>0</v>
      </c>
      <c r="AU4" s="295">
        <f t="shared" si="2"/>
        <v>0</v>
      </c>
      <c r="AV4" s="295">
        <f t="shared" si="2"/>
        <v>0</v>
      </c>
      <c r="AW4" s="295">
        <f t="shared" si="2"/>
        <v>0</v>
      </c>
      <c r="AX4" s="295">
        <f t="shared" si="2"/>
        <v>0</v>
      </c>
      <c r="AY4" s="295">
        <f t="shared" si="2"/>
        <v>0</v>
      </c>
      <c r="AZ4" s="295">
        <f t="shared" si="2"/>
        <v>0</v>
      </c>
      <c r="BA4" s="295">
        <f t="shared" si="2"/>
        <v>0</v>
      </c>
      <c r="BB4" s="295">
        <f t="shared" si="2"/>
        <v>0</v>
      </c>
      <c r="BD4" s="294">
        <f t="shared" ref="BD4:BD27" si="3">SUM(X4:AL4)-SUM(AN4:BB4)</f>
        <v>0</v>
      </c>
    </row>
    <row r="5" spans="1:56" x14ac:dyDescent="0.25">
      <c r="A5" s="290" t="s">
        <v>125</v>
      </c>
      <c r="B5" s="238" t="str">
        <f>VLOOKUP(A5,'DFP-Com'!$A$16:$B$50,2,1)</f>
        <v xml:space="preserve">     1.1.a  Education Project Implementation Contract</v>
      </c>
      <c r="C5" s="290" t="s">
        <v>167</v>
      </c>
      <c r="D5" s="317">
        <v>200000</v>
      </c>
      <c r="E5" s="290" t="s">
        <v>178</v>
      </c>
      <c r="L5" s="293">
        <v>0.25</v>
      </c>
      <c r="M5" s="293">
        <v>0.25</v>
      </c>
      <c r="N5" s="293">
        <v>0.25</v>
      </c>
      <c r="O5" s="293">
        <v>0.25</v>
      </c>
      <c r="U5" s="293">
        <f t="shared" si="0"/>
        <v>1</v>
      </c>
      <c r="X5" s="295">
        <f t="shared" si="1"/>
        <v>0</v>
      </c>
      <c r="Y5" s="295">
        <f t="shared" si="1"/>
        <v>0</v>
      </c>
      <c r="Z5" s="295">
        <f t="shared" si="1"/>
        <v>0</v>
      </c>
      <c r="AA5" s="295">
        <f t="shared" si="1"/>
        <v>0</v>
      </c>
      <c r="AB5" s="295">
        <f t="shared" si="1"/>
        <v>0</v>
      </c>
      <c r="AC5" s="295">
        <f t="shared" si="1"/>
        <v>0</v>
      </c>
      <c r="AD5" s="295">
        <f t="shared" si="1"/>
        <v>50000</v>
      </c>
      <c r="AE5" s="295">
        <f t="shared" si="1"/>
        <v>50000</v>
      </c>
      <c r="AF5" s="295">
        <f t="shared" si="1"/>
        <v>50000</v>
      </c>
      <c r="AG5" s="295">
        <f t="shared" si="1"/>
        <v>50000</v>
      </c>
      <c r="AH5" s="295">
        <f t="shared" si="1"/>
        <v>0</v>
      </c>
      <c r="AI5" s="295">
        <f t="shared" si="1"/>
        <v>0</v>
      </c>
      <c r="AJ5" s="295">
        <f t="shared" si="1"/>
        <v>0</v>
      </c>
      <c r="AK5" s="295">
        <f t="shared" si="1"/>
        <v>0</v>
      </c>
      <c r="AL5" s="295">
        <f t="shared" si="1"/>
        <v>0</v>
      </c>
      <c r="AM5" s="234"/>
      <c r="AN5" s="295">
        <f t="shared" si="2"/>
        <v>0</v>
      </c>
      <c r="AO5" s="295">
        <f t="shared" si="2"/>
        <v>0</v>
      </c>
      <c r="AP5" s="295">
        <f t="shared" si="2"/>
        <v>0</v>
      </c>
      <c r="AQ5" s="295">
        <f t="shared" si="2"/>
        <v>0</v>
      </c>
      <c r="AR5" s="295">
        <f t="shared" si="2"/>
        <v>0</v>
      </c>
      <c r="AS5" s="295">
        <f t="shared" si="2"/>
        <v>0</v>
      </c>
      <c r="AT5" s="295">
        <f t="shared" si="2"/>
        <v>200000</v>
      </c>
      <c r="AU5" s="295">
        <f t="shared" si="2"/>
        <v>0</v>
      </c>
      <c r="AV5" s="295">
        <f t="shared" si="2"/>
        <v>0</v>
      </c>
      <c r="AW5" s="295">
        <f t="shared" si="2"/>
        <v>0</v>
      </c>
      <c r="AX5" s="295">
        <f t="shared" si="2"/>
        <v>0</v>
      </c>
      <c r="AY5" s="295">
        <f t="shared" si="2"/>
        <v>0</v>
      </c>
      <c r="AZ5" s="295">
        <f t="shared" si="2"/>
        <v>0</v>
      </c>
      <c r="BA5" s="295">
        <f t="shared" si="2"/>
        <v>0</v>
      </c>
      <c r="BB5" s="295">
        <f t="shared" si="2"/>
        <v>0</v>
      </c>
      <c r="BD5" s="294">
        <f t="shared" si="3"/>
        <v>0</v>
      </c>
    </row>
    <row r="6" spans="1:56" x14ac:dyDescent="0.25">
      <c r="A6" s="290" t="s">
        <v>126</v>
      </c>
      <c r="B6" s="238" t="str">
        <f>VLOOKUP(A6,'DFP-Com'!$A$16:$B$50,2,1)</f>
        <v xml:space="preserve">     1.1.b  Grants to Universities for Teacher Training (Diplomados)</v>
      </c>
      <c r="C6" s="290" t="s">
        <v>165</v>
      </c>
      <c r="D6" s="229">
        <v>3000000</v>
      </c>
      <c r="E6" s="290" t="s">
        <v>166</v>
      </c>
      <c r="H6" s="309"/>
      <c r="I6" s="228"/>
      <c r="J6" s="228"/>
      <c r="K6" s="228"/>
      <c r="L6" s="228">
        <v>0.125</v>
      </c>
      <c r="M6" s="228">
        <v>0.125</v>
      </c>
      <c r="N6" s="228">
        <v>0.125</v>
      </c>
      <c r="O6" s="228">
        <v>0.125</v>
      </c>
      <c r="P6" s="228">
        <v>0.125</v>
      </c>
      <c r="Q6" s="228">
        <v>0.125</v>
      </c>
      <c r="R6" s="228">
        <v>0.125</v>
      </c>
      <c r="S6" s="228">
        <v>0.125</v>
      </c>
      <c r="T6" s="293"/>
      <c r="U6" s="293">
        <f t="shared" si="0"/>
        <v>1</v>
      </c>
      <c r="X6" s="295">
        <f t="shared" si="1"/>
        <v>0</v>
      </c>
      <c r="Y6" s="295">
        <f t="shared" si="1"/>
        <v>0</v>
      </c>
      <c r="Z6" s="295">
        <f t="shared" si="1"/>
        <v>0</v>
      </c>
      <c r="AA6" s="295">
        <f t="shared" si="1"/>
        <v>0</v>
      </c>
      <c r="AB6" s="295">
        <f t="shared" si="1"/>
        <v>0</v>
      </c>
      <c r="AC6" s="295">
        <f t="shared" si="1"/>
        <v>0</v>
      </c>
      <c r="AD6" s="295">
        <f t="shared" si="1"/>
        <v>375000</v>
      </c>
      <c r="AE6" s="295">
        <f t="shared" si="1"/>
        <v>375000</v>
      </c>
      <c r="AF6" s="295">
        <f t="shared" si="1"/>
        <v>375000</v>
      </c>
      <c r="AG6" s="295">
        <f t="shared" si="1"/>
        <v>375000</v>
      </c>
      <c r="AH6" s="295">
        <f t="shared" si="1"/>
        <v>375000</v>
      </c>
      <c r="AI6" s="295">
        <f t="shared" si="1"/>
        <v>375000</v>
      </c>
      <c r="AJ6" s="295">
        <f t="shared" si="1"/>
        <v>375000</v>
      </c>
      <c r="AK6" s="295">
        <f t="shared" si="1"/>
        <v>375000</v>
      </c>
      <c r="AL6" s="295">
        <f t="shared" si="1"/>
        <v>0</v>
      </c>
      <c r="AM6" s="234"/>
      <c r="AN6" s="295">
        <f t="shared" si="2"/>
        <v>0</v>
      </c>
      <c r="AO6" s="295">
        <f t="shared" si="2"/>
        <v>0</v>
      </c>
      <c r="AP6" s="295">
        <f t="shared" si="2"/>
        <v>0</v>
      </c>
      <c r="AQ6" s="295">
        <f t="shared" si="2"/>
        <v>0</v>
      </c>
      <c r="AR6" s="295">
        <f t="shared" si="2"/>
        <v>0</v>
      </c>
      <c r="AS6" s="295">
        <f t="shared" si="2"/>
        <v>3000000</v>
      </c>
      <c r="AT6" s="295">
        <f t="shared" si="2"/>
        <v>0</v>
      </c>
      <c r="AU6" s="295">
        <f t="shared" si="2"/>
        <v>0</v>
      </c>
      <c r="AV6" s="295">
        <f t="shared" si="2"/>
        <v>0</v>
      </c>
      <c r="AW6" s="295">
        <f t="shared" si="2"/>
        <v>0</v>
      </c>
      <c r="AX6" s="295">
        <f t="shared" si="2"/>
        <v>0</v>
      </c>
      <c r="AY6" s="295">
        <f t="shared" si="2"/>
        <v>0</v>
      </c>
      <c r="AZ6" s="295">
        <f t="shared" si="2"/>
        <v>0</v>
      </c>
      <c r="BA6" s="295">
        <f t="shared" si="2"/>
        <v>0</v>
      </c>
      <c r="BB6" s="295">
        <f t="shared" si="2"/>
        <v>0</v>
      </c>
      <c r="BD6" s="294">
        <f t="shared" si="3"/>
        <v>0</v>
      </c>
    </row>
    <row r="7" spans="1:56" x14ac:dyDescent="0.25">
      <c r="A7" s="290" t="s">
        <v>128</v>
      </c>
      <c r="B7" s="238" t="str">
        <f>VLOOKUP(A7,'DFP-Com'!$A$16:$B$50,2,1)</f>
        <v xml:space="preserve">     1.2.a  TVET</v>
      </c>
      <c r="C7" s="240" t="s">
        <v>206</v>
      </c>
      <c r="D7" s="296">
        <v>4000000</v>
      </c>
      <c r="E7" s="290" t="s">
        <v>193</v>
      </c>
      <c r="J7" s="293">
        <v>0.05</v>
      </c>
      <c r="K7" s="293">
        <v>0.1</v>
      </c>
      <c r="L7" s="293">
        <v>0.1</v>
      </c>
      <c r="M7" s="293">
        <v>0.1</v>
      </c>
      <c r="N7" s="293">
        <v>0.1</v>
      </c>
      <c r="O7" s="293">
        <v>0.1</v>
      </c>
      <c r="P7" s="293">
        <v>0.1</v>
      </c>
      <c r="Q7" s="293">
        <v>0.1</v>
      </c>
      <c r="R7" s="293">
        <v>0.1</v>
      </c>
      <c r="S7" s="293">
        <v>0.1</v>
      </c>
      <c r="T7" s="293">
        <v>0.05</v>
      </c>
      <c r="U7" s="293">
        <f t="shared" si="0"/>
        <v>0.99999999999999989</v>
      </c>
      <c r="X7" s="295">
        <f t="shared" si="1"/>
        <v>0</v>
      </c>
      <c r="Y7" s="295">
        <f t="shared" si="1"/>
        <v>0</v>
      </c>
      <c r="Z7" s="295">
        <f t="shared" si="1"/>
        <v>0</v>
      </c>
      <c r="AA7" s="295">
        <f t="shared" si="1"/>
        <v>0</v>
      </c>
      <c r="AB7" s="295">
        <f t="shared" si="1"/>
        <v>200000</v>
      </c>
      <c r="AC7" s="295">
        <f t="shared" si="1"/>
        <v>400000</v>
      </c>
      <c r="AD7" s="295">
        <f t="shared" si="1"/>
        <v>400000</v>
      </c>
      <c r="AE7" s="295">
        <f t="shared" si="1"/>
        <v>400000</v>
      </c>
      <c r="AF7" s="295">
        <f t="shared" si="1"/>
        <v>400000</v>
      </c>
      <c r="AG7" s="295">
        <f t="shared" si="1"/>
        <v>400000</v>
      </c>
      <c r="AH7" s="295">
        <f t="shared" si="1"/>
        <v>400000</v>
      </c>
      <c r="AI7" s="295">
        <f t="shared" si="1"/>
        <v>400000</v>
      </c>
      <c r="AJ7" s="295">
        <f t="shared" si="1"/>
        <v>400000</v>
      </c>
      <c r="AK7" s="295">
        <f t="shared" si="1"/>
        <v>400000</v>
      </c>
      <c r="AL7" s="295">
        <f t="shared" si="1"/>
        <v>200000</v>
      </c>
      <c r="AM7" s="234"/>
      <c r="AN7" s="295">
        <f t="shared" si="2"/>
        <v>0</v>
      </c>
      <c r="AO7" s="295">
        <f t="shared" si="2"/>
        <v>0</v>
      </c>
      <c r="AP7" s="295">
        <f t="shared" si="2"/>
        <v>0</v>
      </c>
      <c r="AQ7" s="295">
        <f t="shared" si="2"/>
        <v>0</v>
      </c>
      <c r="AR7" s="295">
        <f t="shared" si="2"/>
        <v>4000000</v>
      </c>
      <c r="AS7" s="295">
        <f t="shared" si="2"/>
        <v>0</v>
      </c>
      <c r="AT7" s="295">
        <f t="shared" si="2"/>
        <v>0</v>
      </c>
      <c r="AU7" s="295">
        <f t="shared" si="2"/>
        <v>0</v>
      </c>
      <c r="AV7" s="295">
        <f t="shared" si="2"/>
        <v>0</v>
      </c>
      <c r="AW7" s="295">
        <f t="shared" si="2"/>
        <v>0</v>
      </c>
      <c r="AX7" s="295">
        <f t="shared" si="2"/>
        <v>0</v>
      </c>
      <c r="AY7" s="295">
        <f t="shared" si="2"/>
        <v>0</v>
      </c>
      <c r="AZ7" s="295">
        <f t="shared" si="2"/>
        <v>0</v>
      </c>
      <c r="BA7" s="295">
        <f t="shared" si="2"/>
        <v>0</v>
      </c>
      <c r="BB7" s="295">
        <f t="shared" si="2"/>
        <v>0</v>
      </c>
      <c r="BD7" s="294">
        <f t="shared" si="3"/>
        <v>0</v>
      </c>
    </row>
    <row r="8" spans="1:56" x14ac:dyDescent="0.25">
      <c r="A8" s="290" t="s">
        <v>129</v>
      </c>
      <c r="B8" s="238" t="str">
        <f>VLOOKUP(A8,'DFP-Com'!$A$16:$B$50,2,1)</f>
        <v xml:space="preserve">     1.3.a  Education Project Implementation Contract</v>
      </c>
      <c r="C8" s="290" t="s">
        <v>231</v>
      </c>
      <c r="D8" s="318">
        <v>2500000</v>
      </c>
      <c r="E8" s="290" t="s">
        <v>164</v>
      </c>
      <c r="H8" s="309"/>
      <c r="I8" s="228">
        <v>0.03</v>
      </c>
      <c r="J8" s="228">
        <v>0.05</v>
      </c>
      <c r="K8" s="228">
        <v>0.05</v>
      </c>
      <c r="L8" s="228">
        <v>0.05</v>
      </c>
      <c r="M8" s="228">
        <v>0.1</v>
      </c>
      <c r="N8" s="228">
        <v>0.1</v>
      </c>
      <c r="O8" s="228">
        <v>0.1</v>
      </c>
      <c r="P8" s="228">
        <v>0.1</v>
      </c>
      <c r="Q8" s="228">
        <v>0.1</v>
      </c>
      <c r="R8" s="228">
        <v>0.1</v>
      </c>
      <c r="S8" s="228">
        <v>0.1</v>
      </c>
      <c r="T8" s="228">
        <v>0.12</v>
      </c>
      <c r="U8" s="293">
        <f t="shared" si="0"/>
        <v>0.99999999999999989</v>
      </c>
      <c r="X8" s="295">
        <f t="shared" si="1"/>
        <v>0</v>
      </c>
      <c r="Y8" s="295">
        <f t="shared" si="1"/>
        <v>0</v>
      </c>
      <c r="Z8" s="295">
        <f t="shared" si="1"/>
        <v>0</v>
      </c>
      <c r="AA8" s="295">
        <f t="shared" si="1"/>
        <v>75000</v>
      </c>
      <c r="AB8" s="295">
        <f t="shared" si="1"/>
        <v>125000</v>
      </c>
      <c r="AC8" s="295">
        <f t="shared" si="1"/>
        <v>125000</v>
      </c>
      <c r="AD8" s="295">
        <f t="shared" si="1"/>
        <v>125000</v>
      </c>
      <c r="AE8" s="295">
        <f t="shared" si="1"/>
        <v>250000</v>
      </c>
      <c r="AF8" s="295">
        <f t="shared" si="1"/>
        <v>250000</v>
      </c>
      <c r="AG8" s="295">
        <f t="shared" si="1"/>
        <v>250000</v>
      </c>
      <c r="AH8" s="295">
        <f t="shared" si="1"/>
        <v>250000</v>
      </c>
      <c r="AI8" s="295">
        <f t="shared" si="1"/>
        <v>250000</v>
      </c>
      <c r="AJ8" s="295">
        <f t="shared" si="1"/>
        <v>250000</v>
      </c>
      <c r="AK8" s="295">
        <f t="shared" si="1"/>
        <v>250000</v>
      </c>
      <c r="AL8" s="295">
        <f t="shared" si="1"/>
        <v>300000</v>
      </c>
      <c r="AM8" s="234"/>
      <c r="AN8" s="295">
        <f t="shared" si="2"/>
        <v>0</v>
      </c>
      <c r="AO8" s="295">
        <f t="shared" si="2"/>
        <v>0</v>
      </c>
      <c r="AP8" s="295">
        <f t="shared" si="2"/>
        <v>2500000</v>
      </c>
      <c r="AQ8" s="295">
        <f t="shared" si="2"/>
        <v>0</v>
      </c>
      <c r="AR8" s="295">
        <f t="shared" si="2"/>
        <v>0</v>
      </c>
      <c r="AS8" s="295">
        <f t="shared" si="2"/>
        <v>0</v>
      </c>
      <c r="AT8" s="295">
        <f t="shared" si="2"/>
        <v>0</v>
      </c>
      <c r="AU8" s="295">
        <f t="shared" si="2"/>
        <v>0</v>
      </c>
      <c r="AV8" s="295">
        <f t="shared" si="2"/>
        <v>0</v>
      </c>
      <c r="AW8" s="295">
        <f t="shared" si="2"/>
        <v>0</v>
      </c>
      <c r="AX8" s="295">
        <f t="shared" si="2"/>
        <v>0</v>
      </c>
      <c r="AY8" s="295">
        <f t="shared" si="2"/>
        <v>0</v>
      </c>
      <c r="AZ8" s="295">
        <f t="shared" si="2"/>
        <v>0</v>
      </c>
      <c r="BA8" s="295">
        <f t="shared" si="2"/>
        <v>0</v>
      </c>
      <c r="BB8" s="295">
        <f t="shared" si="2"/>
        <v>0</v>
      </c>
      <c r="BD8" s="294">
        <f t="shared" si="3"/>
        <v>0</v>
      </c>
    </row>
    <row r="9" spans="1:56" x14ac:dyDescent="0.25">
      <c r="A9" s="290" t="s">
        <v>132</v>
      </c>
      <c r="B9" s="302" t="str">
        <f>VLOOKUP(A9,'DFP-Com'!$A$16:$B$50,2,1)</f>
        <v xml:space="preserve">     2.1.a  Tax and Customs</v>
      </c>
      <c r="C9" s="290" t="s">
        <v>213</v>
      </c>
      <c r="D9" s="229">
        <v>140000</v>
      </c>
      <c r="E9" s="290" t="s">
        <v>196</v>
      </c>
      <c r="G9" s="293"/>
      <c r="H9" s="310"/>
      <c r="I9" s="293">
        <v>0.25</v>
      </c>
      <c r="J9" s="293">
        <v>0.25</v>
      </c>
      <c r="K9" s="293">
        <v>0.25</v>
      </c>
      <c r="L9" s="293">
        <v>0.25</v>
      </c>
      <c r="M9" s="293"/>
      <c r="N9" s="293"/>
      <c r="O9" s="293"/>
      <c r="P9" s="293"/>
      <c r="Q9" s="293"/>
      <c r="U9" s="293">
        <f t="shared" si="0"/>
        <v>1</v>
      </c>
      <c r="X9" s="295">
        <f t="shared" si="1"/>
        <v>0</v>
      </c>
      <c r="Y9" s="295">
        <f t="shared" si="1"/>
        <v>0</v>
      </c>
      <c r="Z9" s="295">
        <f t="shared" si="1"/>
        <v>0</v>
      </c>
      <c r="AA9" s="295">
        <f t="shared" si="1"/>
        <v>35000</v>
      </c>
      <c r="AB9" s="295">
        <f t="shared" si="1"/>
        <v>35000</v>
      </c>
      <c r="AC9" s="295">
        <f t="shared" si="1"/>
        <v>35000</v>
      </c>
      <c r="AD9" s="295">
        <f t="shared" si="1"/>
        <v>35000</v>
      </c>
      <c r="AE9" s="295">
        <f t="shared" si="1"/>
        <v>0</v>
      </c>
      <c r="AF9" s="295">
        <f t="shared" si="1"/>
        <v>0</v>
      </c>
      <c r="AG9" s="295">
        <f t="shared" si="1"/>
        <v>0</v>
      </c>
      <c r="AH9" s="295">
        <f t="shared" si="1"/>
        <v>0</v>
      </c>
      <c r="AI9" s="295">
        <f t="shared" si="1"/>
        <v>0</v>
      </c>
      <c r="AJ9" s="295">
        <f t="shared" si="1"/>
        <v>0</v>
      </c>
      <c r="AK9" s="295">
        <f t="shared" si="1"/>
        <v>0</v>
      </c>
      <c r="AL9" s="295">
        <f t="shared" si="1"/>
        <v>0</v>
      </c>
      <c r="AM9" s="234"/>
      <c r="AN9" s="295">
        <f t="shared" si="2"/>
        <v>0</v>
      </c>
      <c r="AO9" s="295">
        <f t="shared" si="2"/>
        <v>0</v>
      </c>
      <c r="AP9" s="295">
        <f t="shared" si="2"/>
        <v>0</v>
      </c>
      <c r="AQ9" s="295">
        <f t="shared" si="2"/>
        <v>140000</v>
      </c>
      <c r="AR9" s="295">
        <f t="shared" si="2"/>
        <v>0</v>
      </c>
      <c r="AS9" s="295">
        <f t="shared" si="2"/>
        <v>0</v>
      </c>
      <c r="AT9" s="295">
        <f t="shared" si="2"/>
        <v>0</v>
      </c>
      <c r="AU9" s="295">
        <f t="shared" si="2"/>
        <v>0</v>
      </c>
      <c r="AV9" s="295">
        <f t="shared" si="2"/>
        <v>0</v>
      </c>
      <c r="AW9" s="295">
        <f t="shared" si="2"/>
        <v>0</v>
      </c>
      <c r="AX9" s="295">
        <f t="shared" si="2"/>
        <v>0</v>
      </c>
      <c r="AY9" s="295">
        <f t="shared" si="2"/>
        <v>0</v>
      </c>
      <c r="AZ9" s="295">
        <f t="shared" si="2"/>
        <v>0</v>
      </c>
      <c r="BA9" s="295">
        <f t="shared" si="2"/>
        <v>0</v>
      </c>
      <c r="BB9" s="295">
        <f t="shared" si="2"/>
        <v>0</v>
      </c>
      <c r="BD9" s="294">
        <f t="shared" si="3"/>
        <v>0</v>
      </c>
    </row>
    <row r="10" spans="1:56" x14ac:dyDescent="0.25">
      <c r="A10" s="290" t="s">
        <v>132</v>
      </c>
      <c r="B10" s="302" t="str">
        <f>VLOOKUP(A10,'DFP-Com'!$A$16:$B$50,2,1)</f>
        <v xml:space="preserve">     2.1.a  Tax and Customs</v>
      </c>
      <c r="C10" s="290" t="s">
        <v>226</v>
      </c>
      <c r="D10" s="229">
        <v>140000</v>
      </c>
      <c r="E10" s="290" t="s">
        <v>178</v>
      </c>
      <c r="G10" s="293"/>
      <c r="H10" s="310"/>
      <c r="I10" s="293"/>
      <c r="J10" s="293"/>
      <c r="K10" s="293"/>
      <c r="L10" s="293">
        <v>0.25</v>
      </c>
      <c r="M10" s="293">
        <v>0.25</v>
      </c>
      <c r="N10" s="293">
        <v>0.25</v>
      </c>
      <c r="O10" s="293">
        <v>0.25</v>
      </c>
      <c r="P10" s="293"/>
      <c r="Q10" s="293"/>
      <c r="U10" s="293">
        <f t="shared" si="0"/>
        <v>1</v>
      </c>
      <c r="X10" s="295">
        <f t="shared" si="1"/>
        <v>0</v>
      </c>
      <c r="Y10" s="295">
        <f t="shared" si="1"/>
        <v>0</v>
      </c>
      <c r="Z10" s="295">
        <f t="shared" si="1"/>
        <v>0</v>
      </c>
      <c r="AA10" s="295">
        <f t="shared" si="1"/>
        <v>0</v>
      </c>
      <c r="AB10" s="295">
        <f t="shared" si="1"/>
        <v>0</v>
      </c>
      <c r="AC10" s="295">
        <f t="shared" si="1"/>
        <v>0</v>
      </c>
      <c r="AD10" s="295">
        <f t="shared" si="1"/>
        <v>35000</v>
      </c>
      <c r="AE10" s="295">
        <f t="shared" si="1"/>
        <v>35000</v>
      </c>
      <c r="AF10" s="295">
        <f t="shared" si="1"/>
        <v>35000</v>
      </c>
      <c r="AG10" s="295">
        <f t="shared" si="1"/>
        <v>35000</v>
      </c>
      <c r="AH10" s="295">
        <f t="shared" si="1"/>
        <v>0</v>
      </c>
      <c r="AI10" s="295">
        <f t="shared" si="1"/>
        <v>0</v>
      </c>
      <c r="AJ10" s="295">
        <f t="shared" si="1"/>
        <v>0</v>
      </c>
      <c r="AK10" s="295">
        <f t="shared" si="1"/>
        <v>0</v>
      </c>
      <c r="AL10" s="295">
        <f t="shared" si="1"/>
        <v>0</v>
      </c>
      <c r="AM10" s="234"/>
      <c r="AN10" s="295">
        <f t="shared" si="2"/>
        <v>0</v>
      </c>
      <c r="AO10" s="295">
        <f t="shared" si="2"/>
        <v>0</v>
      </c>
      <c r="AP10" s="295">
        <f t="shared" si="2"/>
        <v>0</v>
      </c>
      <c r="AQ10" s="295">
        <f t="shared" si="2"/>
        <v>0</v>
      </c>
      <c r="AR10" s="295">
        <f t="shared" si="2"/>
        <v>0</v>
      </c>
      <c r="AS10" s="295">
        <f t="shared" si="2"/>
        <v>0</v>
      </c>
      <c r="AT10" s="295">
        <f t="shared" si="2"/>
        <v>140000</v>
      </c>
      <c r="AU10" s="295">
        <f t="shared" si="2"/>
        <v>0</v>
      </c>
      <c r="AV10" s="295">
        <f t="shared" si="2"/>
        <v>0</v>
      </c>
      <c r="AW10" s="295">
        <f t="shared" si="2"/>
        <v>0</v>
      </c>
      <c r="AX10" s="295">
        <f t="shared" si="2"/>
        <v>0</v>
      </c>
      <c r="AY10" s="295">
        <f t="shared" si="2"/>
        <v>0</v>
      </c>
      <c r="AZ10" s="295">
        <f t="shared" si="2"/>
        <v>0</v>
      </c>
      <c r="BA10" s="295">
        <f t="shared" si="2"/>
        <v>0</v>
      </c>
      <c r="BB10" s="295">
        <f t="shared" si="2"/>
        <v>0</v>
      </c>
      <c r="BD10" s="294">
        <f t="shared" si="3"/>
        <v>0</v>
      </c>
    </row>
    <row r="11" spans="1:56" x14ac:dyDescent="0.25">
      <c r="A11" s="290" t="s">
        <v>132</v>
      </c>
      <c r="B11" s="302" t="str">
        <f>VLOOKUP(A11,'DFP-Com'!$A$16:$B$50,2,1)</f>
        <v xml:space="preserve">     2.1.a  Tax and Customs</v>
      </c>
      <c r="C11" s="290" t="s">
        <v>211</v>
      </c>
      <c r="D11" s="229">
        <v>4000</v>
      </c>
      <c r="E11" s="290" t="s">
        <v>164</v>
      </c>
      <c r="G11" s="293"/>
      <c r="H11" s="310">
        <v>1</v>
      </c>
      <c r="I11" s="293"/>
      <c r="J11" s="293"/>
      <c r="K11" s="293"/>
      <c r="L11" s="293"/>
      <c r="M11" s="293"/>
      <c r="N11" s="293"/>
      <c r="U11" s="293">
        <f t="shared" si="0"/>
        <v>1</v>
      </c>
      <c r="X11" s="295">
        <f t="shared" si="1"/>
        <v>0</v>
      </c>
      <c r="Y11" s="295">
        <f t="shared" si="1"/>
        <v>0</v>
      </c>
      <c r="Z11" s="295">
        <f t="shared" si="1"/>
        <v>4000</v>
      </c>
      <c r="AA11" s="295">
        <f t="shared" si="1"/>
        <v>0</v>
      </c>
      <c r="AB11" s="295">
        <f t="shared" si="1"/>
        <v>0</v>
      </c>
      <c r="AC11" s="295">
        <f t="shared" si="1"/>
        <v>0</v>
      </c>
      <c r="AD11" s="295">
        <f t="shared" si="1"/>
        <v>0</v>
      </c>
      <c r="AE11" s="295">
        <f t="shared" si="1"/>
        <v>0</v>
      </c>
      <c r="AF11" s="295">
        <f t="shared" si="1"/>
        <v>0</v>
      </c>
      <c r="AG11" s="295">
        <f t="shared" si="1"/>
        <v>0</v>
      </c>
      <c r="AH11" s="295">
        <f t="shared" si="1"/>
        <v>0</v>
      </c>
      <c r="AI11" s="295">
        <f t="shared" si="1"/>
        <v>0</v>
      </c>
      <c r="AJ11" s="295">
        <f t="shared" si="1"/>
        <v>0</v>
      </c>
      <c r="AK11" s="295">
        <f t="shared" si="1"/>
        <v>0</v>
      </c>
      <c r="AL11" s="295">
        <f t="shared" si="1"/>
        <v>0</v>
      </c>
      <c r="AM11" s="234"/>
      <c r="AN11" s="295">
        <f t="shared" si="2"/>
        <v>0</v>
      </c>
      <c r="AO11" s="295">
        <f t="shared" si="2"/>
        <v>0</v>
      </c>
      <c r="AP11" s="295">
        <f t="shared" si="2"/>
        <v>4000</v>
      </c>
      <c r="AQ11" s="295">
        <f t="shared" si="2"/>
        <v>0</v>
      </c>
      <c r="AR11" s="295">
        <f t="shared" si="2"/>
        <v>0</v>
      </c>
      <c r="AS11" s="295">
        <f t="shared" si="2"/>
        <v>0</v>
      </c>
      <c r="AT11" s="295">
        <f t="shared" si="2"/>
        <v>0</v>
      </c>
      <c r="AU11" s="295">
        <f t="shared" si="2"/>
        <v>0</v>
      </c>
      <c r="AV11" s="295">
        <f t="shared" si="2"/>
        <v>0</v>
      </c>
      <c r="AW11" s="295">
        <f t="shared" si="2"/>
        <v>0</v>
      </c>
      <c r="AX11" s="295">
        <f t="shared" si="2"/>
        <v>0</v>
      </c>
      <c r="AY11" s="295">
        <f t="shared" si="2"/>
        <v>0</v>
      </c>
      <c r="AZ11" s="295">
        <f t="shared" si="2"/>
        <v>0</v>
      </c>
      <c r="BA11" s="295">
        <f t="shared" si="2"/>
        <v>0</v>
      </c>
      <c r="BB11" s="295">
        <f t="shared" si="2"/>
        <v>0</v>
      </c>
      <c r="BD11" s="294">
        <f t="shared" si="3"/>
        <v>0</v>
      </c>
    </row>
    <row r="12" spans="1:56" x14ac:dyDescent="0.25">
      <c r="A12" s="290" t="s">
        <v>132</v>
      </c>
      <c r="B12" s="302" t="str">
        <f>VLOOKUP(A12,'DFP-Com'!$A$16:$B$50,2,1)</f>
        <v xml:space="preserve">     2.1.a  Tax and Customs</v>
      </c>
      <c r="C12" s="290" t="s">
        <v>212</v>
      </c>
      <c r="D12" s="229">
        <v>100000</v>
      </c>
      <c r="E12" s="290" t="s">
        <v>164</v>
      </c>
      <c r="G12" s="293"/>
      <c r="H12" s="310">
        <v>0.25</v>
      </c>
      <c r="I12" s="293">
        <v>0.25</v>
      </c>
      <c r="J12" s="293">
        <v>0.25</v>
      </c>
      <c r="K12" s="293">
        <v>0.25</v>
      </c>
      <c r="L12" s="293"/>
      <c r="M12" s="293"/>
      <c r="N12" s="293"/>
      <c r="U12" s="293">
        <f t="shared" si="0"/>
        <v>1</v>
      </c>
      <c r="X12" s="295">
        <f t="shared" si="1"/>
        <v>0</v>
      </c>
      <c r="Y12" s="295">
        <f t="shared" si="1"/>
        <v>0</v>
      </c>
      <c r="Z12" s="295">
        <f t="shared" si="1"/>
        <v>25000</v>
      </c>
      <c r="AA12" s="295">
        <f t="shared" si="1"/>
        <v>25000</v>
      </c>
      <c r="AB12" s="295">
        <f t="shared" si="1"/>
        <v>25000</v>
      </c>
      <c r="AC12" s="295">
        <f t="shared" si="1"/>
        <v>25000</v>
      </c>
      <c r="AD12" s="295">
        <f t="shared" si="1"/>
        <v>0</v>
      </c>
      <c r="AE12" s="295">
        <f t="shared" si="1"/>
        <v>0</v>
      </c>
      <c r="AF12" s="295">
        <f t="shared" si="1"/>
        <v>0</v>
      </c>
      <c r="AG12" s="295">
        <f t="shared" si="1"/>
        <v>0</v>
      </c>
      <c r="AH12" s="295">
        <f t="shared" si="1"/>
        <v>0</v>
      </c>
      <c r="AI12" s="295">
        <f t="shared" si="1"/>
        <v>0</v>
      </c>
      <c r="AJ12" s="295">
        <f t="shared" si="1"/>
        <v>0</v>
      </c>
      <c r="AK12" s="295">
        <f t="shared" si="1"/>
        <v>0</v>
      </c>
      <c r="AL12" s="295">
        <f t="shared" si="1"/>
        <v>0</v>
      </c>
      <c r="AM12" s="234"/>
      <c r="AN12" s="295">
        <f t="shared" si="2"/>
        <v>0</v>
      </c>
      <c r="AO12" s="295">
        <f t="shared" si="2"/>
        <v>0</v>
      </c>
      <c r="AP12" s="295">
        <f t="shared" si="2"/>
        <v>100000</v>
      </c>
      <c r="AQ12" s="295">
        <f t="shared" si="2"/>
        <v>0</v>
      </c>
      <c r="AR12" s="295">
        <f t="shared" si="2"/>
        <v>0</v>
      </c>
      <c r="AS12" s="295">
        <f t="shared" si="2"/>
        <v>0</v>
      </c>
      <c r="AT12" s="295">
        <f t="shared" si="2"/>
        <v>0</v>
      </c>
      <c r="AU12" s="295">
        <f t="shared" si="2"/>
        <v>0</v>
      </c>
      <c r="AV12" s="295">
        <f t="shared" si="2"/>
        <v>0</v>
      </c>
      <c r="AW12" s="295">
        <f t="shared" si="2"/>
        <v>0</v>
      </c>
      <c r="AX12" s="295">
        <f t="shared" si="2"/>
        <v>0</v>
      </c>
      <c r="AY12" s="295">
        <f t="shared" si="2"/>
        <v>0</v>
      </c>
      <c r="AZ12" s="295">
        <f t="shared" si="2"/>
        <v>0</v>
      </c>
      <c r="BA12" s="295">
        <f t="shared" si="2"/>
        <v>0</v>
      </c>
      <c r="BB12" s="295">
        <f t="shared" si="2"/>
        <v>0</v>
      </c>
      <c r="BD12" s="294">
        <f t="shared" si="3"/>
        <v>0</v>
      </c>
    </row>
    <row r="13" spans="1:56" x14ac:dyDescent="0.25">
      <c r="A13" s="290" t="s">
        <v>132</v>
      </c>
      <c r="B13" s="302" t="str">
        <f>VLOOKUP(A13,'DFP-Com'!$A$16:$B$50,2,1)</f>
        <v xml:space="preserve">     2.1.a  Tax and Customs</v>
      </c>
      <c r="D13" s="229"/>
      <c r="G13" s="293"/>
      <c r="H13" s="310"/>
      <c r="I13" s="293"/>
      <c r="J13" s="293"/>
      <c r="K13" s="293"/>
      <c r="L13" s="293"/>
      <c r="M13" s="293"/>
      <c r="N13" s="293"/>
      <c r="O13" s="293"/>
      <c r="P13" s="293"/>
      <c r="Q13" s="293"/>
      <c r="U13" s="293">
        <f t="shared" si="0"/>
        <v>0</v>
      </c>
      <c r="X13" s="295">
        <f t="shared" si="1"/>
        <v>0</v>
      </c>
      <c r="Y13" s="295">
        <f t="shared" si="1"/>
        <v>0</v>
      </c>
      <c r="Z13" s="295">
        <f t="shared" si="1"/>
        <v>0</v>
      </c>
      <c r="AA13" s="295">
        <f t="shared" si="1"/>
        <v>0</v>
      </c>
      <c r="AB13" s="295">
        <f t="shared" si="1"/>
        <v>0</v>
      </c>
      <c r="AC13" s="295">
        <f t="shared" si="1"/>
        <v>0</v>
      </c>
      <c r="AD13" s="295">
        <f t="shared" si="1"/>
        <v>0</v>
      </c>
      <c r="AE13" s="295">
        <f t="shared" si="1"/>
        <v>0</v>
      </c>
      <c r="AF13" s="295">
        <f t="shared" si="1"/>
        <v>0</v>
      </c>
      <c r="AG13" s="295">
        <f t="shared" si="1"/>
        <v>0</v>
      </c>
      <c r="AH13" s="295">
        <f t="shared" si="1"/>
        <v>0</v>
      </c>
      <c r="AI13" s="295">
        <f t="shared" si="1"/>
        <v>0</v>
      </c>
      <c r="AJ13" s="295">
        <f t="shared" si="1"/>
        <v>0</v>
      </c>
      <c r="AK13" s="295">
        <f t="shared" si="1"/>
        <v>0</v>
      </c>
      <c r="AL13" s="295">
        <f t="shared" si="1"/>
        <v>0</v>
      </c>
      <c r="AM13" s="234"/>
      <c r="AN13" s="295">
        <f t="shared" si="2"/>
        <v>0</v>
      </c>
      <c r="AO13" s="295">
        <f t="shared" si="2"/>
        <v>0</v>
      </c>
      <c r="AP13" s="295">
        <f t="shared" si="2"/>
        <v>0</v>
      </c>
      <c r="AQ13" s="295">
        <f t="shared" si="2"/>
        <v>0</v>
      </c>
      <c r="AR13" s="295">
        <f t="shared" si="2"/>
        <v>0</v>
      </c>
      <c r="AS13" s="295">
        <f t="shared" si="2"/>
        <v>0</v>
      </c>
      <c r="AT13" s="295">
        <f t="shared" si="2"/>
        <v>0</v>
      </c>
      <c r="AU13" s="295">
        <f t="shared" si="2"/>
        <v>0</v>
      </c>
      <c r="AV13" s="295">
        <f t="shared" si="2"/>
        <v>0</v>
      </c>
      <c r="AW13" s="295">
        <f t="shared" si="2"/>
        <v>0</v>
      </c>
      <c r="AX13" s="295">
        <f t="shared" si="2"/>
        <v>0</v>
      </c>
      <c r="AY13" s="295">
        <f t="shared" si="2"/>
        <v>0</v>
      </c>
      <c r="AZ13" s="295">
        <f t="shared" si="2"/>
        <v>0</v>
      </c>
      <c r="BA13" s="295">
        <f t="shared" si="2"/>
        <v>0</v>
      </c>
      <c r="BB13" s="295">
        <f t="shared" si="2"/>
        <v>0</v>
      </c>
      <c r="BD13" s="294">
        <f t="shared" si="3"/>
        <v>0</v>
      </c>
    </row>
    <row r="14" spans="1:56" x14ac:dyDescent="0.25">
      <c r="A14" s="290" t="s">
        <v>133</v>
      </c>
      <c r="B14" s="303" t="str">
        <f>VLOOKUP(A14,'DFP-Com'!$A$16:$B$50,2,1)</f>
        <v xml:space="preserve">     2.2.a  Advisors</v>
      </c>
      <c r="C14" s="290" t="s">
        <v>177</v>
      </c>
      <c r="D14" s="229">
        <v>150000</v>
      </c>
      <c r="E14" s="290" t="s">
        <v>164</v>
      </c>
      <c r="G14" s="293"/>
      <c r="H14" s="310">
        <v>0.25</v>
      </c>
      <c r="I14" s="293">
        <v>0.25</v>
      </c>
      <c r="J14" s="293">
        <v>0.25</v>
      </c>
      <c r="K14" s="293">
        <v>0.25</v>
      </c>
      <c r="U14" s="293">
        <f t="shared" si="0"/>
        <v>1</v>
      </c>
      <c r="X14" s="295">
        <f t="shared" si="1"/>
        <v>0</v>
      </c>
      <c r="Y14" s="295">
        <f t="shared" si="1"/>
        <v>0</v>
      </c>
      <c r="Z14" s="295">
        <f t="shared" si="1"/>
        <v>37500</v>
      </c>
      <c r="AA14" s="295">
        <f t="shared" si="1"/>
        <v>37500</v>
      </c>
      <c r="AB14" s="295">
        <f t="shared" si="1"/>
        <v>37500</v>
      </c>
      <c r="AC14" s="295">
        <f t="shared" si="1"/>
        <v>37500</v>
      </c>
      <c r="AD14" s="295">
        <f t="shared" si="1"/>
        <v>0</v>
      </c>
      <c r="AE14" s="295">
        <f t="shared" si="1"/>
        <v>0</v>
      </c>
      <c r="AF14" s="295">
        <f t="shared" si="1"/>
        <v>0</v>
      </c>
      <c r="AG14" s="295">
        <f t="shared" si="1"/>
        <v>0</v>
      </c>
      <c r="AH14" s="295">
        <f t="shared" si="1"/>
        <v>0</v>
      </c>
      <c r="AI14" s="295">
        <f t="shared" si="1"/>
        <v>0</v>
      </c>
      <c r="AJ14" s="295">
        <f t="shared" si="1"/>
        <v>0</v>
      </c>
      <c r="AK14" s="295">
        <f t="shared" si="1"/>
        <v>0</v>
      </c>
      <c r="AL14" s="295">
        <f t="shared" si="1"/>
        <v>0</v>
      </c>
      <c r="AM14" s="234"/>
      <c r="AN14" s="295">
        <f t="shared" si="2"/>
        <v>0</v>
      </c>
      <c r="AO14" s="295">
        <f t="shared" si="2"/>
        <v>0</v>
      </c>
      <c r="AP14" s="295">
        <f t="shared" si="2"/>
        <v>150000</v>
      </c>
      <c r="AQ14" s="295">
        <f t="shared" si="2"/>
        <v>0</v>
      </c>
      <c r="AR14" s="295">
        <f t="shared" si="2"/>
        <v>0</v>
      </c>
      <c r="AS14" s="295">
        <f t="shared" si="2"/>
        <v>0</v>
      </c>
      <c r="AT14" s="295">
        <f t="shared" si="2"/>
        <v>0</v>
      </c>
      <c r="AU14" s="295">
        <f t="shared" si="2"/>
        <v>0</v>
      </c>
      <c r="AV14" s="295">
        <f t="shared" si="2"/>
        <v>0</v>
      </c>
      <c r="AW14" s="295">
        <f t="shared" si="2"/>
        <v>0</v>
      </c>
      <c r="AX14" s="295">
        <f t="shared" si="2"/>
        <v>0</v>
      </c>
      <c r="AY14" s="295">
        <f t="shared" si="2"/>
        <v>0</v>
      </c>
      <c r="AZ14" s="295">
        <f t="shared" si="2"/>
        <v>0</v>
      </c>
      <c r="BA14" s="295">
        <f t="shared" si="2"/>
        <v>0</v>
      </c>
      <c r="BB14" s="295">
        <f t="shared" si="2"/>
        <v>0</v>
      </c>
      <c r="BD14" s="294">
        <f t="shared" si="3"/>
        <v>0</v>
      </c>
    </row>
    <row r="15" spans="1:56" x14ac:dyDescent="0.25">
      <c r="A15" s="290" t="s">
        <v>133</v>
      </c>
      <c r="B15" s="303" t="str">
        <f>VLOOKUP(A15,'DFP-Com'!$A$16:$B$50,2,1)</f>
        <v xml:space="preserve">     2.2.a  Advisors</v>
      </c>
      <c r="C15" s="290" t="s">
        <v>195</v>
      </c>
      <c r="D15" s="229">
        <v>150000</v>
      </c>
      <c r="E15" s="290" t="s">
        <v>166</v>
      </c>
      <c r="K15" s="293">
        <v>0.25</v>
      </c>
      <c r="L15" s="293">
        <v>0.25</v>
      </c>
      <c r="M15" s="293">
        <v>0.25</v>
      </c>
      <c r="N15" s="293">
        <v>0.25</v>
      </c>
      <c r="U15" s="293">
        <f t="shared" si="0"/>
        <v>1</v>
      </c>
      <c r="X15" s="295">
        <f t="shared" si="1"/>
        <v>0</v>
      </c>
      <c r="Y15" s="295">
        <f t="shared" si="1"/>
        <v>0</v>
      </c>
      <c r="Z15" s="295">
        <f t="shared" si="1"/>
        <v>0</v>
      </c>
      <c r="AA15" s="295">
        <f t="shared" si="1"/>
        <v>0</v>
      </c>
      <c r="AB15" s="295">
        <f t="shared" si="1"/>
        <v>0</v>
      </c>
      <c r="AC15" s="295">
        <f t="shared" si="1"/>
        <v>37500</v>
      </c>
      <c r="AD15" s="295">
        <f t="shared" si="1"/>
        <v>37500</v>
      </c>
      <c r="AE15" s="295">
        <f t="shared" si="1"/>
        <v>37500</v>
      </c>
      <c r="AF15" s="295">
        <f t="shared" si="1"/>
        <v>37500</v>
      </c>
      <c r="AG15" s="295">
        <f t="shared" si="1"/>
        <v>0</v>
      </c>
      <c r="AH15" s="295">
        <f t="shared" si="1"/>
        <v>0</v>
      </c>
      <c r="AI15" s="295">
        <f t="shared" si="1"/>
        <v>0</v>
      </c>
      <c r="AJ15" s="295">
        <f t="shared" si="1"/>
        <v>0</v>
      </c>
      <c r="AK15" s="295">
        <f t="shared" si="1"/>
        <v>0</v>
      </c>
      <c r="AL15" s="295">
        <f t="shared" si="1"/>
        <v>0</v>
      </c>
      <c r="AM15" s="234"/>
      <c r="AN15" s="295">
        <f t="shared" si="2"/>
        <v>0</v>
      </c>
      <c r="AO15" s="295">
        <f t="shared" si="2"/>
        <v>0</v>
      </c>
      <c r="AP15" s="295">
        <f t="shared" si="2"/>
        <v>0</v>
      </c>
      <c r="AQ15" s="295">
        <f t="shared" si="2"/>
        <v>0</v>
      </c>
      <c r="AR15" s="295">
        <f t="shared" si="2"/>
        <v>0</v>
      </c>
      <c r="AS15" s="295">
        <f t="shared" si="2"/>
        <v>150000</v>
      </c>
      <c r="AT15" s="295">
        <f t="shared" si="2"/>
        <v>0</v>
      </c>
      <c r="AU15" s="295">
        <f t="shared" si="2"/>
        <v>0</v>
      </c>
      <c r="AV15" s="295">
        <f t="shared" si="2"/>
        <v>0</v>
      </c>
      <c r="AW15" s="295">
        <f t="shared" si="2"/>
        <v>0</v>
      </c>
      <c r="AX15" s="295">
        <f t="shared" si="2"/>
        <v>0</v>
      </c>
      <c r="AY15" s="295">
        <f t="shared" si="2"/>
        <v>0</v>
      </c>
      <c r="AZ15" s="295">
        <f t="shared" si="2"/>
        <v>0</v>
      </c>
      <c r="BA15" s="295">
        <f t="shared" si="2"/>
        <v>0</v>
      </c>
      <c r="BB15" s="295">
        <f t="shared" si="2"/>
        <v>0</v>
      </c>
      <c r="BD15" s="294">
        <f t="shared" si="3"/>
        <v>0</v>
      </c>
    </row>
    <row r="16" spans="1:56" x14ac:dyDescent="0.25">
      <c r="A16" s="290" t="s">
        <v>133</v>
      </c>
      <c r="B16" s="303" t="str">
        <f>VLOOKUP(A16,'DFP-Com'!$A$16:$B$50,2,1)</f>
        <v xml:space="preserve">     2.2.a  Advisors</v>
      </c>
      <c r="C16" s="290" t="s">
        <v>169</v>
      </c>
      <c r="D16" s="229">
        <v>73500</v>
      </c>
      <c r="E16" s="290" t="s">
        <v>164</v>
      </c>
      <c r="F16" s="293"/>
      <c r="G16" s="293"/>
      <c r="H16" s="310">
        <v>0.16666666666666699</v>
      </c>
      <c r="I16" s="293">
        <v>0.25</v>
      </c>
      <c r="J16" s="293">
        <v>0.25</v>
      </c>
      <c r="K16" s="293">
        <v>0.25</v>
      </c>
      <c r="L16" s="293">
        <v>8.3333333333333329E-2</v>
      </c>
      <c r="M16" s="293"/>
      <c r="N16" s="293"/>
      <c r="O16" s="293"/>
      <c r="P16" s="293"/>
      <c r="Q16" s="293"/>
      <c r="U16" s="293">
        <f t="shared" si="0"/>
        <v>1.0000000000000002</v>
      </c>
      <c r="X16" s="244">
        <f t="shared" si="1"/>
        <v>0</v>
      </c>
      <c r="Y16" s="295">
        <f t="shared" si="1"/>
        <v>0</v>
      </c>
      <c r="Z16" s="295">
        <f t="shared" si="1"/>
        <v>12250.000000000024</v>
      </c>
      <c r="AA16" s="295">
        <f t="shared" si="1"/>
        <v>18375</v>
      </c>
      <c r="AB16" s="295">
        <f t="shared" si="1"/>
        <v>18375</v>
      </c>
      <c r="AC16" s="295">
        <f t="shared" si="1"/>
        <v>18375</v>
      </c>
      <c r="AD16" s="295">
        <f t="shared" si="1"/>
        <v>6125</v>
      </c>
      <c r="AE16" s="295">
        <f t="shared" si="1"/>
        <v>0</v>
      </c>
      <c r="AF16" s="295">
        <f t="shared" si="1"/>
        <v>0</v>
      </c>
      <c r="AG16" s="295">
        <f t="shared" si="1"/>
        <v>0</v>
      </c>
      <c r="AH16" s="295">
        <f t="shared" si="1"/>
        <v>0</v>
      </c>
      <c r="AI16" s="295">
        <f t="shared" si="1"/>
        <v>0</v>
      </c>
      <c r="AJ16" s="295">
        <f t="shared" si="1"/>
        <v>0</v>
      </c>
      <c r="AK16" s="295">
        <f t="shared" si="1"/>
        <v>0</v>
      </c>
      <c r="AL16" s="295">
        <f t="shared" si="1"/>
        <v>0</v>
      </c>
      <c r="AM16" s="234"/>
      <c r="AN16" s="295">
        <f t="shared" si="2"/>
        <v>0</v>
      </c>
      <c r="AO16" s="295">
        <f t="shared" si="2"/>
        <v>0</v>
      </c>
      <c r="AP16" s="295">
        <f t="shared" si="2"/>
        <v>73500</v>
      </c>
      <c r="AQ16" s="295">
        <f t="shared" si="2"/>
        <v>0</v>
      </c>
      <c r="AR16" s="295">
        <f t="shared" si="2"/>
        <v>0</v>
      </c>
      <c r="AS16" s="295">
        <f t="shared" si="2"/>
        <v>0</v>
      </c>
      <c r="AT16" s="295">
        <f t="shared" si="2"/>
        <v>0</v>
      </c>
      <c r="AU16" s="295">
        <f t="shared" si="2"/>
        <v>0</v>
      </c>
      <c r="AV16" s="295">
        <f t="shared" si="2"/>
        <v>0</v>
      </c>
      <c r="AW16" s="295">
        <f t="shared" si="2"/>
        <v>0</v>
      </c>
      <c r="AX16" s="295">
        <f t="shared" si="2"/>
        <v>0</v>
      </c>
      <c r="AY16" s="295">
        <f t="shared" si="2"/>
        <v>0</v>
      </c>
      <c r="AZ16" s="295">
        <f t="shared" si="2"/>
        <v>0</v>
      </c>
      <c r="BA16" s="295">
        <f t="shared" si="2"/>
        <v>0</v>
      </c>
      <c r="BB16" s="295">
        <f t="shared" si="2"/>
        <v>0</v>
      </c>
      <c r="BD16" s="294">
        <f t="shared" si="3"/>
        <v>0</v>
      </c>
    </row>
    <row r="17" spans="1:56" x14ac:dyDescent="0.25">
      <c r="A17" s="290" t="s">
        <v>133</v>
      </c>
      <c r="B17" s="303" t="str">
        <f>VLOOKUP(A17,'DFP-Com'!$A$16:$B$50,2,1)</f>
        <v xml:space="preserve">     2.2.a  Advisors</v>
      </c>
      <c r="C17" s="290" t="s">
        <v>214</v>
      </c>
      <c r="D17" s="229">
        <f>12250*12</f>
        <v>147000</v>
      </c>
      <c r="E17" s="290" t="s">
        <v>166</v>
      </c>
      <c r="F17" s="293"/>
      <c r="G17" s="293"/>
      <c r="H17" s="310"/>
      <c r="I17" s="293"/>
      <c r="J17" s="293"/>
      <c r="K17" s="293">
        <v>0.16666666666666699</v>
      </c>
      <c r="L17" s="293">
        <v>0.25</v>
      </c>
      <c r="M17" s="293">
        <v>0.25</v>
      </c>
      <c r="N17" s="293">
        <v>0.25</v>
      </c>
      <c r="O17" s="293">
        <v>8.3333333333333329E-2</v>
      </c>
      <c r="P17" s="293"/>
      <c r="Q17" s="293"/>
      <c r="U17" s="293">
        <f t="shared" si="0"/>
        <v>1.0000000000000002</v>
      </c>
      <c r="X17" s="244">
        <f t="shared" si="1"/>
        <v>0</v>
      </c>
      <c r="Y17" s="295">
        <f t="shared" si="1"/>
        <v>0</v>
      </c>
      <c r="Z17" s="295">
        <f t="shared" si="1"/>
        <v>0</v>
      </c>
      <c r="AA17" s="295">
        <f t="shared" si="1"/>
        <v>0</v>
      </c>
      <c r="AB17" s="295">
        <f t="shared" si="1"/>
        <v>0</v>
      </c>
      <c r="AC17" s="295">
        <f t="shared" si="1"/>
        <v>24500.000000000047</v>
      </c>
      <c r="AD17" s="295">
        <f t="shared" si="1"/>
        <v>36750</v>
      </c>
      <c r="AE17" s="295">
        <f t="shared" si="1"/>
        <v>36750</v>
      </c>
      <c r="AF17" s="295">
        <f t="shared" si="1"/>
        <v>36750</v>
      </c>
      <c r="AG17" s="295">
        <f t="shared" si="1"/>
        <v>12250</v>
      </c>
      <c r="AH17" s="295">
        <f t="shared" si="1"/>
        <v>0</v>
      </c>
      <c r="AI17" s="295">
        <f t="shared" si="1"/>
        <v>0</v>
      </c>
      <c r="AJ17" s="295">
        <f t="shared" si="1"/>
        <v>0</v>
      </c>
      <c r="AK17" s="295">
        <f t="shared" si="1"/>
        <v>0</v>
      </c>
      <c r="AL17" s="295">
        <f t="shared" si="1"/>
        <v>0</v>
      </c>
      <c r="AM17" s="234"/>
      <c r="AN17" s="295">
        <f t="shared" si="2"/>
        <v>0</v>
      </c>
      <c r="AO17" s="295">
        <f t="shared" si="2"/>
        <v>0</v>
      </c>
      <c r="AP17" s="295">
        <f t="shared" si="2"/>
        <v>0</v>
      </c>
      <c r="AQ17" s="295">
        <f t="shared" si="2"/>
        <v>0</v>
      </c>
      <c r="AR17" s="295">
        <f t="shared" si="2"/>
        <v>0</v>
      </c>
      <c r="AS17" s="295">
        <f t="shared" si="2"/>
        <v>147000</v>
      </c>
      <c r="AT17" s="295">
        <f t="shared" si="2"/>
        <v>0</v>
      </c>
      <c r="AU17" s="295">
        <f t="shared" si="2"/>
        <v>0</v>
      </c>
      <c r="AV17" s="295">
        <f t="shared" si="2"/>
        <v>0</v>
      </c>
      <c r="AW17" s="295">
        <f t="shared" si="2"/>
        <v>0</v>
      </c>
      <c r="AX17" s="295">
        <f t="shared" si="2"/>
        <v>0</v>
      </c>
      <c r="AY17" s="295">
        <f t="shared" si="2"/>
        <v>0</v>
      </c>
      <c r="AZ17" s="295">
        <f t="shared" si="2"/>
        <v>0</v>
      </c>
      <c r="BA17" s="295">
        <f t="shared" si="2"/>
        <v>0</v>
      </c>
      <c r="BB17" s="295">
        <f t="shared" si="2"/>
        <v>0</v>
      </c>
      <c r="BD17" s="294">
        <f t="shared" si="3"/>
        <v>0</v>
      </c>
    </row>
    <row r="18" spans="1:56" x14ac:dyDescent="0.25">
      <c r="A18" s="290" t="s">
        <v>133</v>
      </c>
      <c r="B18" s="303" t="str">
        <f>VLOOKUP(A18,'DFP-Com'!$A$16:$B$50,2,1)</f>
        <v xml:space="preserve">     2.2.a  Advisors</v>
      </c>
      <c r="C18" s="290" t="s">
        <v>215</v>
      </c>
      <c r="D18" s="229">
        <f>12250*12</f>
        <v>147000</v>
      </c>
      <c r="E18" s="290" t="s">
        <v>216</v>
      </c>
      <c r="F18" s="293"/>
      <c r="G18" s="293"/>
      <c r="H18" s="310"/>
      <c r="I18" s="293"/>
      <c r="J18" s="293"/>
      <c r="K18" s="293"/>
      <c r="L18" s="293"/>
      <c r="M18" s="293"/>
      <c r="N18" s="293"/>
      <c r="O18" s="293">
        <v>0.16666666666666699</v>
      </c>
      <c r="P18" s="293">
        <v>0.25</v>
      </c>
      <c r="Q18" s="293">
        <v>0.25</v>
      </c>
      <c r="R18" s="293">
        <v>0.25</v>
      </c>
      <c r="S18" s="293">
        <v>8.3333333333333329E-2</v>
      </c>
      <c r="U18" s="293">
        <f t="shared" si="0"/>
        <v>1.0000000000000002</v>
      </c>
      <c r="X18" s="244">
        <f t="shared" si="1"/>
        <v>0</v>
      </c>
      <c r="Y18" s="295">
        <f t="shared" si="1"/>
        <v>0</v>
      </c>
      <c r="Z18" s="295">
        <f t="shared" si="1"/>
        <v>0</v>
      </c>
      <c r="AA18" s="295">
        <f t="shared" si="1"/>
        <v>0</v>
      </c>
      <c r="AB18" s="295">
        <f t="shared" si="1"/>
        <v>0</v>
      </c>
      <c r="AC18" s="295">
        <f t="shared" si="1"/>
        <v>0</v>
      </c>
      <c r="AD18" s="295">
        <f t="shared" si="1"/>
        <v>0</v>
      </c>
      <c r="AE18" s="295">
        <f t="shared" si="1"/>
        <v>0</v>
      </c>
      <c r="AF18" s="295">
        <f t="shared" si="1"/>
        <v>0</v>
      </c>
      <c r="AG18" s="295">
        <f t="shared" si="1"/>
        <v>24500.000000000047</v>
      </c>
      <c r="AH18" s="295">
        <f t="shared" si="1"/>
        <v>36750</v>
      </c>
      <c r="AI18" s="295">
        <f t="shared" si="1"/>
        <v>36750</v>
      </c>
      <c r="AJ18" s="295">
        <f t="shared" si="1"/>
        <v>36750</v>
      </c>
      <c r="AK18" s="295">
        <f t="shared" si="1"/>
        <v>12250</v>
      </c>
      <c r="AL18" s="295">
        <f t="shared" si="1"/>
        <v>0</v>
      </c>
      <c r="AM18" s="234"/>
      <c r="AN18" s="295">
        <f t="shared" si="2"/>
        <v>0</v>
      </c>
      <c r="AO18" s="295">
        <f t="shared" si="2"/>
        <v>0</v>
      </c>
      <c r="AP18" s="295">
        <f t="shared" si="2"/>
        <v>0</v>
      </c>
      <c r="AQ18" s="295">
        <f t="shared" si="2"/>
        <v>0</v>
      </c>
      <c r="AR18" s="295">
        <f t="shared" si="2"/>
        <v>0</v>
      </c>
      <c r="AS18" s="295">
        <f t="shared" si="2"/>
        <v>0</v>
      </c>
      <c r="AT18" s="295">
        <f t="shared" si="2"/>
        <v>0</v>
      </c>
      <c r="AU18" s="295">
        <f t="shared" si="2"/>
        <v>147000</v>
      </c>
      <c r="AV18" s="295">
        <f t="shared" si="2"/>
        <v>0</v>
      </c>
      <c r="AW18" s="295">
        <f t="shared" si="2"/>
        <v>0</v>
      </c>
      <c r="AX18" s="295">
        <f t="shared" si="2"/>
        <v>0</v>
      </c>
      <c r="AY18" s="295">
        <f t="shared" si="2"/>
        <v>0</v>
      </c>
      <c r="AZ18" s="295">
        <f t="shared" si="2"/>
        <v>0</v>
      </c>
      <c r="BA18" s="295">
        <f t="shared" si="2"/>
        <v>0</v>
      </c>
      <c r="BB18" s="295">
        <f t="shared" si="2"/>
        <v>0</v>
      </c>
      <c r="BD18" s="294">
        <f t="shared" si="3"/>
        <v>0</v>
      </c>
    </row>
    <row r="19" spans="1:56" x14ac:dyDescent="0.25">
      <c r="A19" s="290" t="s">
        <v>133</v>
      </c>
      <c r="B19" s="303" t="str">
        <f>VLOOKUP(A19,'DFP-Com'!$A$16:$B$50,2,1)</f>
        <v xml:space="preserve">     2.2.a  Advisors</v>
      </c>
      <c r="C19" s="290" t="s">
        <v>170</v>
      </c>
      <c r="D19" s="229">
        <v>61250</v>
      </c>
      <c r="E19" s="290" t="s">
        <v>192</v>
      </c>
      <c r="F19" s="293"/>
      <c r="G19" s="293">
        <v>0.2</v>
      </c>
      <c r="H19" s="310">
        <v>0.6</v>
      </c>
      <c r="I19" s="293">
        <v>0.2</v>
      </c>
      <c r="J19" s="293"/>
      <c r="K19" s="293"/>
      <c r="L19" s="293"/>
      <c r="M19" s="293"/>
      <c r="N19" s="293"/>
      <c r="O19" s="293"/>
      <c r="P19" s="293"/>
      <c r="Q19" s="293"/>
      <c r="U19" s="293">
        <f t="shared" si="0"/>
        <v>1</v>
      </c>
      <c r="X19" s="295">
        <f t="shared" si="1"/>
        <v>0</v>
      </c>
      <c r="Y19" s="295">
        <f t="shared" si="1"/>
        <v>12250</v>
      </c>
      <c r="Z19" s="295">
        <f t="shared" si="1"/>
        <v>36750</v>
      </c>
      <c r="AA19" s="295">
        <f t="shared" si="1"/>
        <v>12250</v>
      </c>
      <c r="AB19" s="295">
        <f t="shared" si="1"/>
        <v>0</v>
      </c>
      <c r="AC19" s="295">
        <f t="shared" si="1"/>
        <v>0</v>
      </c>
      <c r="AD19" s="295">
        <f t="shared" si="1"/>
        <v>0</v>
      </c>
      <c r="AE19" s="295">
        <f t="shared" si="1"/>
        <v>0</v>
      </c>
      <c r="AF19" s="295">
        <f t="shared" si="1"/>
        <v>0</v>
      </c>
      <c r="AG19" s="295">
        <f t="shared" si="1"/>
        <v>0</v>
      </c>
      <c r="AH19" s="295">
        <f t="shared" si="1"/>
        <v>0</v>
      </c>
      <c r="AI19" s="295">
        <f t="shared" si="1"/>
        <v>0</v>
      </c>
      <c r="AJ19" s="295">
        <f t="shared" si="1"/>
        <v>0</v>
      </c>
      <c r="AK19" s="295">
        <f t="shared" si="1"/>
        <v>0</v>
      </c>
      <c r="AL19" s="295">
        <f t="shared" si="1"/>
        <v>0</v>
      </c>
      <c r="AM19" s="234"/>
      <c r="AN19" s="295">
        <f t="shared" si="2"/>
        <v>0</v>
      </c>
      <c r="AO19" s="295">
        <f t="shared" si="2"/>
        <v>61250</v>
      </c>
      <c r="AP19" s="295">
        <f t="shared" si="2"/>
        <v>0</v>
      </c>
      <c r="AQ19" s="295">
        <f t="shared" si="2"/>
        <v>0</v>
      </c>
      <c r="AR19" s="295">
        <f t="shared" si="2"/>
        <v>0</v>
      </c>
      <c r="AS19" s="295">
        <f t="shared" si="2"/>
        <v>0</v>
      </c>
      <c r="AT19" s="295">
        <f t="shared" si="2"/>
        <v>0</v>
      </c>
      <c r="AU19" s="295">
        <f t="shared" si="2"/>
        <v>0</v>
      </c>
      <c r="AV19" s="295">
        <f t="shared" si="2"/>
        <v>0</v>
      </c>
      <c r="AW19" s="295">
        <f t="shared" si="2"/>
        <v>0</v>
      </c>
      <c r="AX19" s="295">
        <f t="shared" si="2"/>
        <v>0</v>
      </c>
      <c r="AY19" s="295">
        <f t="shared" si="2"/>
        <v>0</v>
      </c>
      <c r="AZ19" s="295">
        <f t="shared" si="2"/>
        <v>0</v>
      </c>
      <c r="BA19" s="295">
        <f t="shared" si="2"/>
        <v>0</v>
      </c>
      <c r="BB19" s="295">
        <f t="shared" si="2"/>
        <v>0</v>
      </c>
      <c r="BD19" s="294">
        <f t="shared" si="3"/>
        <v>0</v>
      </c>
    </row>
    <row r="20" spans="1:56" x14ac:dyDescent="0.25">
      <c r="A20" s="290" t="s">
        <v>134</v>
      </c>
      <c r="B20" s="303" t="str">
        <f>VLOOKUP(A20,'DFP-Com'!$A$16:$B$50,2,1)</f>
        <v xml:space="preserve">     2.2.b  Feasiblity Studies/  Transaction Advisory Services</v>
      </c>
      <c r="C20" s="290" t="s">
        <v>171</v>
      </c>
      <c r="D20" s="229">
        <v>500000</v>
      </c>
      <c r="E20" s="290" t="s">
        <v>164</v>
      </c>
      <c r="F20" s="293"/>
      <c r="G20" s="293"/>
      <c r="H20" s="310">
        <v>0.25</v>
      </c>
      <c r="I20" s="293">
        <v>0.25</v>
      </c>
      <c r="J20" s="293">
        <v>0.25</v>
      </c>
      <c r="K20" s="293">
        <v>0.25</v>
      </c>
      <c r="L20" s="293"/>
      <c r="M20" s="293"/>
      <c r="N20" s="293"/>
      <c r="U20" s="293">
        <f t="shared" si="0"/>
        <v>1</v>
      </c>
      <c r="X20" s="295">
        <f t="shared" si="1"/>
        <v>0</v>
      </c>
      <c r="Y20" s="295">
        <f t="shared" si="1"/>
        <v>0</v>
      </c>
      <c r="Z20" s="295">
        <f t="shared" si="1"/>
        <v>125000</v>
      </c>
      <c r="AA20" s="295">
        <f t="shared" si="1"/>
        <v>125000</v>
      </c>
      <c r="AB20" s="295">
        <f t="shared" si="1"/>
        <v>125000</v>
      </c>
      <c r="AC20" s="295">
        <f t="shared" si="1"/>
        <v>125000</v>
      </c>
      <c r="AD20" s="295">
        <f t="shared" si="1"/>
        <v>0</v>
      </c>
      <c r="AE20" s="295">
        <f t="shared" si="1"/>
        <v>0</v>
      </c>
      <c r="AF20" s="295">
        <f t="shared" si="1"/>
        <v>0</v>
      </c>
      <c r="AG20" s="295">
        <f t="shared" si="1"/>
        <v>0</v>
      </c>
      <c r="AH20" s="295">
        <f t="shared" si="1"/>
        <v>0</v>
      </c>
      <c r="AI20" s="295">
        <f t="shared" si="1"/>
        <v>0</v>
      </c>
      <c r="AJ20" s="295">
        <f t="shared" si="1"/>
        <v>0</v>
      </c>
      <c r="AK20" s="295">
        <f t="shared" si="1"/>
        <v>0</v>
      </c>
      <c r="AL20" s="295">
        <f t="shared" si="1"/>
        <v>0</v>
      </c>
      <c r="AM20" s="234"/>
      <c r="AN20" s="295">
        <f t="shared" ref="AN20:BB35" si="4">IF(AN$3=$E20,$D20,0)</f>
        <v>0</v>
      </c>
      <c r="AO20" s="295">
        <f t="shared" si="4"/>
        <v>0</v>
      </c>
      <c r="AP20" s="295">
        <f t="shared" si="4"/>
        <v>500000</v>
      </c>
      <c r="AQ20" s="295">
        <f t="shared" si="4"/>
        <v>0</v>
      </c>
      <c r="AR20" s="295">
        <f t="shared" si="4"/>
        <v>0</v>
      </c>
      <c r="AS20" s="295">
        <f t="shared" si="4"/>
        <v>0</v>
      </c>
      <c r="AT20" s="295">
        <f t="shared" si="4"/>
        <v>0</v>
      </c>
      <c r="AU20" s="295">
        <f t="shared" si="4"/>
        <v>0</v>
      </c>
      <c r="AV20" s="295">
        <f t="shared" si="4"/>
        <v>0</v>
      </c>
      <c r="AW20" s="295">
        <f t="shared" si="4"/>
        <v>0</v>
      </c>
      <c r="AX20" s="295">
        <f t="shared" si="4"/>
        <v>0</v>
      </c>
      <c r="AY20" s="295">
        <f t="shared" si="4"/>
        <v>0</v>
      </c>
      <c r="AZ20" s="295">
        <f t="shared" si="4"/>
        <v>0</v>
      </c>
      <c r="BA20" s="295">
        <f t="shared" si="4"/>
        <v>0</v>
      </c>
      <c r="BB20" s="295">
        <f t="shared" si="4"/>
        <v>0</v>
      </c>
      <c r="BD20" s="294">
        <f t="shared" si="3"/>
        <v>0</v>
      </c>
    </row>
    <row r="21" spans="1:56" x14ac:dyDescent="0.25">
      <c r="A21" s="290" t="s">
        <v>134</v>
      </c>
      <c r="B21" s="303" t="str">
        <f>VLOOKUP(A21,'DFP-Com'!$A$16:$B$50,2,1)</f>
        <v xml:space="preserve">     2.2.b  Feasiblity Studies/  Transaction Advisory Services</v>
      </c>
      <c r="C21" s="290" t="s">
        <v>172</v>
      </c>
      <c r="D21" s="229">
        <v>200000</v>
      </c>
      <c r="E21" s="290" t="s">
        <v>164</v>
      </c>
      <c r="F21" s="293"/>
      <c r="G21" s="293"/>
      <c r="H21" s="310"/>
      <c r="I21" s="293"/>
      <c r="J21" s="293">
        <v>0.25</v>
      </c>
      <c r="K21" s="293">
        <v>0.25</v>
      </c>
      <c r="L21" s="293">
        <v>0.25</v>
      </c>
      <c r="M21" s="293">
        <v>0.25</v>
      </c>
      <c r="U21" s="293">
        <f t="shared" si="0"/>
        <v>1</v>
      </c>
      <c r="X21" s="295">
        <f t="shared" ref="X21:AL37" si="5">F21*$D21</f>
        <v>0</v>
      </c>
      <c r="Y21" s="295">
        <f t="shared" si="5"/>
        <v>0</v>
      </c>
      <c r="Z21" s="295">
        <f t="shared" si="5"/>
        <v>0</v>
      </c>
      <c r="AA21" s="295">
        <f t="shared" si="5"/>
        <v>0</v>
      </c>
      <c r="AB21" s="295">
        <f t="shared" si="5"/>
        <v>50000</v>
      </c>
      <c r="AC21" s="295">
        <f t="shared" si="5"/>
        <v>50000</v>
      </c>
      <c r="AD21" s="295">
        <f t="shared" si="5"/>
        <v>50000</v>
      </c>
      <c r="AE21" s="295">
        <f t="shared" si="5"/>
        <v>50000</v>
      </c>
      <c r="AF21" s="295">
        <f t="shared" si="5"/>
        <v>0</v>
      </c>
      <c r="AG21" s="295">
        <f t="shared" si="5"/>
        <v>0</v>
      </c>
      <c r="AH21" s="295">
        <f t="shared" si="5"/>
        <v>0</v>
      </c>
      <c r="AI21" s="295">
        <f t="shared" si="5"/>
        <v>0</v>
      </c>
      <c r="AJ21" s="295">
        <f t="shared" si="5"/>
        <v>0</v>
      </c>
      <c r="AK21" s="295">
        <f t="shared" si="5"/>
        <v>0</v>
      </c>
      <c r="AL21" s="295">
        <f t="shared" si="5"/>
        <v>0</v>
      </c>
      <c r="AM21" s="234"/>
      <c r="AN21" s="295">
        <f t="shared" si="4"/>
        <v>0</v>
      </c>
      <c r="AO21" s="295">
        <f t="shared" si="4"/>
        <v>0</v>
      </c>
      <c r="AP21" s="295">
        <f t="shared" si="4"/>
        <v>200000</v>
      </c>
      <c r="AQ21" s="295">
        <f t="shared" si="4"/>
        <v>0</v>
      </c>
      <c r="AR21" s="295">
        <f t="shared" si="4"/>
        <v>0</v>
      </c>
      <c r="AS21" s="295">
        <f t="shared" si="4"/>
        <v>0</v>
      </c>
      <c r="AT21" s="295">
        <f t="shared" si="4"/>
        <v>0</v>
      </c>
      <c r="AU21" s="295">
        <f t="shared" si="4"/>
        <v>0</v>
      </c>
      <c r="AV21" s="295">
        <f t="shared" si="4"/>
        <v>0</v>
      </c>
      <c r="AW21" s="295">
        <f t="shared" si="4"/>
        <v>0</v>
      </c>
      <c r="AX21" s="295">
        <f t="shared" si="4"/>
        <v>0</v>
      </c>
      <c r="AY21" s="295">
        <f t="shared" si="4"/>
        <v>0</v>
      </c>
      <c r="AZ21" s="295">
        <f t="shared" si="4"/>
        <v>0</v>
      </c>
      <c r="BA21" s="295">
        <f t="shared" si="4"/>
        <v>0</v>
      </c>
      <c r="BB21" s="295">
        <f t="shared" si="4"/>
        <v>0</v>
      </c>
      <c r="BD21" s="294">
        <f t="shared" si="3"/>
        <v>0</v>
      </c>
    </row>
    <row r="22" spans="1:56" x14ac:dyDescent="0.25">
      <c r="A22" s="290" t="s">
        <v>134</v>
      </c>
      <c r="B22" s="303" t="str">
        <f>VLOOKUP(A22,'DFP-Com'!$A$16:$B$50,2,1)</f>
        <v xml:space="preserve">     2.2.b  Feasiblity Studies/  Transaction Advisory Services</v>
      </c>
      <c r="C22" s="290" t="s">
        <v>173</v>
      </c>
      <c r="D22" s="229">
        <v>350000</v>
      </c>
      <c r="U22" s="293">
        <f t="shared" si="0"/>
        <v>0</v>
      </c>
      <c r="X22" s="295">
        <f t="shared" si="5"/>
        <v>0</v>
      </c>
      <c r="Y22" s="295">
        <f t="shared" si="5"/>
        <v>0</v>
      </c>
      <c r="Z22" s="295">
        <f t="shared" si="5"/>
        <v>0</v>
      </c>
      <c r="AA22" s="295">
        <f t="shared" si="5"/>
        <v>0</v>
      </c>
      <c r="AB22" s="295">
        <f t="shared" si="5"/>
        <v>0</v>
      </c>
      <c r="AC22" s="295">
        <f t="shared" si="5"/>
        <v>0</v>
      </c>
      <c r="AD22" s="295">
        <f t="shared" si="5"/>
        <v>0</v>
      </c>
      <c r="AE22" s="295">
        <f t="shared" si="5"/>
        <v>0</v>
      </c>
      <c r="AF22" s="295">
        <f t="shared" si="5"/>
        <v>0</v>
      </c>
      <c r="AG22" s="295">
        <f t="shared" si="5"/>
        <v>0</v>
      </c>
      <c r="AH22" s="295">
        <f t="shared" si="5"/>
        <v>0</v>
      </c>
      <c r="AI22" s="295">
        <f t="shared" si="5"/>
        <v>0</v>
      </c>
      <c r="AJ22" s="295">
        <f t="shared" si="5"/>
        <v>0</v>
      </c>
      <c r="AK22" s="295">
        <f t="shared" si="5"/>
        <v>0</v>
      </c>
      <c r="AL22" s="295">
        <f t="shared" si="5"/>
        <v>0</v>
      </c>
      <c r="AM22" s="234"/>
      <c r="AN22" s="295">
        <f t="shared" si="4"/>
        <v>0</v>
      </c>
      <c r="AO22" s="295">
        <f t="shared" si="4"/>
        <v>0</v>
      </c>
      <c r="AP22" s="295">
        <f t="shared" si="4"/>
        <v>0</v>
      </c>
      <c r="AQ22" s="295">
        <f t="shared" si="4"/>
        <v>0</v>
      </c>
      <c r="AR22" s="295">
        <f t="shared" si="4"/>
        <v>0</v>
      </c>
      <c r="AS22" s="295">
        <f t="shared" si="4"/>
        <v>0</v>
      </c>
      <c r="AT22" s="295">
        <f t="shared" si="4"/>
        <v>0</v>
      </c>
      <c r="AU22" s="295">
        <f t="shared" si="4"/>
        <v>0</v>
      </c>
      <c r="AV22" s="295">
        <f t="shared" si="4"/>
        <v>0</v>
      </c>
      <c r="AW22" s="295">
        <f t="shared" si="4"/>
        <v>0</v>
      </c>
      <c r="AX22" s="295">
        <f t="shared" si="4"/>
        <v>0</v>
      </c>
      <c r="AY22" s="295">
        <f t="shared" si="4"/>
        <v>0</v>
      </c>
      <c r="AZ22" s="295">
        <f t="shared" si="4"/>
        <v>0</v>
      </c>
      <c r="BA22" s="295">
        <f t="shared" si="4"/>
        <v>0</v>
      </c>
      <c r="BB22" s="295">
        <f t="shared" si="4"/>
        <v>0</v>
      </c>
      <c r="BD22" s="294">
        <f t="shared" si="3"/>
        <v>0</v>
      </c>
    </row>
    <row r="23" spans="1:56" x14ac:dyDescent="0.25">
      <c r="A23" s="290" t="s">
        <v>134</v>
      </c>
      <c r="B23" s="303" t="str">
        <f>VLOOKUP(A23,'DFP-Com'!$A$16:$B$50,2,1)</f>
        <v xml:space="preserve">     2.2.b  Feasiblity Studies/  Transaction Advisory Services</v>
      </c>
      <c r="C23" s="290" t="s">
        <v>174</v>
      </c>
      <c r="D23" s="229">
        <v>200000</v>
      </c>
      <c r="E23" s="290" t="s">
        <v>196</v>
      </c>
      <c r="I23" s="293">
        <v>0.25</v>
      </c>
      <c r="J23" s="293">
        <v>0.25</v>
      </c>
      <c r="K23" s="293">
        <v>0.25</v>
      </c>
      <c r="L23" s="293">
        <v>0.25</v>
      </c>
      <c r="U23" s="293">
        <f t="shared" si="0"/>
        <v>1</v>
      </c>
      <c r="X23" s="295">
        <f t="shared" si="5"/>
        <v>0</v>
      </c>
      <c r="Y23" s="295">
        <f t="shared" si="5"/>
        <v>0</v>
      </c>
      <c r="Z23" s="295">
        <f t="shared" si="5"/>
        <v>0</v>
      </c>
      <c r="AA23" s="295">
        <f t="shared" si="5"/>
        <v>50000</v>
      </c>
      <c r="AB23" s="295">
        <f t="shared" si="5"/>
        <v>50000</v>
      </c>
      <c r="AC23" s="295">
        <f t="shared" si="5"/>
        <v>50000</v>
      </c>
      <c r="AD23" s="295">
        <f t="shared" si="5"/>
        <v>50000</v>
      </c>
      <c r="AE23" s="295">
        <f t="shared" si="5"/>
        <v>0</v>
      </c>
      <c r="AF23" s="295">
        <f t="shared" si="5"/>
        <v>0</v>
      </c>
      <c r="AG23" s="295">
        <f t="shared" si="5"/>
        <v>0</v>
      </c>
      <c r="AH23" s="295">
        <f t="shared" si="5"/>
        <v>0</v>
      </c>
      <c r="AI23" s="295">
        <f t="shared" si="5"/>
        <v>0</v>
      </c>
      <c r="AJ23" s="295">
        <f t="shared" si="5"/>
        <v>0</v>
      </c>
      <c r="AK23" s="295">
        <f t="shared" si="5"/>
        <v>0</v>
      </c>
      <c r="AL23" s="295">
        <f t="shared" si="5"/>
        <v>0</v>
      </c>
      <c r="AM23" s="234"/>
      <c r="AN23" s="295">
        <f t="shared" si="4"/>
        <v>0</v>
      </c>
      <c r="AO23" s="295">
        <f t="shared" si="4"/>
        <v>0</v>
      </c>
      <c r="AP23" s="295">
        <f t="shared" si="4"/>
        <v>0</v>
      </c>
      <c r="AQ23" s="295">
        <f t="shared" si="4"/>
        <v>200000</v>
      </c>
      <c r="AR23" s="295">
        <f t="shared" si="4"/>
        <v>0</v>
      </c>
      <c r="AS23" s="295">
        <f t="shared" si="4"/>
        <v>0</v>
      </c>
      <c r="AT23" s="295">
        <f t="shared" si="4"/>
        <v>0</v>
      </c>
      <c r="AU23" s="295">
        <f t="shared" si="4"/>
        <v>0</v>
      </c>
      <c r="AV23" s="295">
        <f t="shared" si="4"/>
        <v>0</v>
      </c>
      <c r="AW23" s="295">
        <f t="shared" si="4"/>
        <v>0</v>
      </c>
      <c r="AX23" s="295">
        <f t="shared" si="4"/>
        <v>0</v>
      </c>
      <c r="AY23" s="295">
        <f t="shared" si="4"/>
        <v>0</v>
      </c>
      <c r="AZ23" s="295">
        <f t="shared" si="4"/>
        <v>0</v>
      </c>
      <c r="BA23" s="295">
        <f t="shared" si="4"/>
        <v>0</v>
      </c>
      <c r="BB23" s="295">
        <f t="shared" si="4"/>
        <v>0</v>
      </c>
      <c r="BD23" s="294">
        <f t="shared" si="3"/>
        <v>0</v>
      </c>
    </row>
    <row r="24" spans="1:56" x14ac:dyDescent="0.25">
      <c r="A24" s="290" t="s">
        <v>134</v>
      </c>
      <c r="B24" s="303" t="str">
        <f>VLOOKUP(A24,'DFP-Com'!$A$16:$B$50,2,1)</f>
        <v xml:space="preserve">     2.2.b  Feasiblity Studies/  Transaction Advisory Services</v>
      </c>
      <c r="C24" s="290" t="s">
        <v>175</v>
      </c>
      <c r="D24" s="229">
        <v>350000</v>
      </c>
      <c r="E24" s="290" t="s">
        <v>196</v>
      </c>
      <c r="H24" s="310"/>
      <c r="I24" s="293">
        <v>0.25</v>
      </c>
      <c r="J24" s="293">
        <v>0.25</v>
      </c>
      <c r="K24" s="293">
        <v>0.25</v>
      </c>
      <c r="L24" s="293">
        <v>0.25</v>
      </c>
      <c r="U24" s="293">
        <f t="shared" si="0"/>
        <v>1</v>
      </c>
      <c r="X24" s="295">
        <f t="shared" si="5"/>
        <v>0</v>
      </c>
      <c r="Y24" s="295">
        <f t="shared" si="5"/>
        <v>0</v>
      </c>
      <c r="Z24" s="295">
        <f t="shared" si="5"/>
        <v>0</v>
      </c>
      <c r="AA24" s="295">
        <f t="shared" si="5"/>
        <v>87500</v>
      </c>
      <c r="AB24" s="295">
        <f t="shared" si="5"/>
        <v>87500</v>
      </c>
      <c r="AC24" s="295">
        <f t="shared" si="5"/>
        <v>87500</v>
      </c>
      <c r="AD24" s="295">
        <f t="shared" si="5"/>
        <v>87500</v>
      </c>
      <c r="AE24" s="295">
        <f t="shared" si="5"/>
        <v>0</v>
      </c>
      <c r="AF24" s="295">
        <f t="shared" si="5"/>
        <v>0</v>
      </c>
      <c r="AG24" s="295">
        <f t="shared" si="5"/>
        <v>0</v>
      </c>
      <c r="AH24" s="295">
        <f t="shared" si="5"/>
        <v>0</v>
      </c>
      <c r="AI24" s="295">
        <f t="shared" si="5"/>
        <v>0</v>
      </c>
      <c r="AJ24" s="295">
        <f t="shared" si="5"/>
        <v>0</v>
      </c>
      <c r="AK24" s="295">
        <f t="shared" si="5"/>
        <v>0</v>
      </c>
      <c r="AL24" s="295">
        <f t="shared" si="5"/>
        <v>0</v>
      </c>
      <c r="AM24" s="234"/>
      <c r="AN24" s="295">
        <f t="shared" si="4"/>
        <v>0</v>
      </c>
      <c r="AO24" s="295">
        <f t="shared" si="4"/>
        <v>0</v>
      </c>
      <c r="AP24" s="295">
        <f t="shared" si="4"/>
        <v>0</v>
      </c>
      <c r="AQ24" s="295">
        <f t="shared" si="4"/>
        <v>350000</v>
      </c>
      <c r="AR24" s="295">
        <f t="shared" si="4"/>
        <v>0</v>
      </c>
      <c r="AS24" s="295">
        <f t="shared" si="4"/>
        <v>0</v>
      </c>
      <c r="AT24" s="295">
        <f t="shared" si="4"/>
        <v>0</v>
      </c>
      <c r="AU24" s="295">
        <f t="shared" si="4"/>
        <v>0</v>
      </c>
      <c r="AV24" s="295">
        <f t="shared" si="4"/>
        <v>0</v>
      </c>
      <c r="AW24" s="295">
        <f t="shared" si="4"/>
        <v>0</v>
      </c>
      <c r="AX24" s="295">
        <f t="shared" si="4"/>
        <v>0</v>
      </c>
      <c r="AY24" s="295">
        <f t="shared" si="4"/>
        <v>0</v>
      </c>
      <c r="AZ24" s="295">
        <f t="shared" si="4"/>
        <v>0</v>
      </c>
      <c r="BA24" s="295">
        <f t="shared" si="4"/>
        <v>0</v>
      </c>
      <c r="BB24" s="295">
        <f t="shared" si="4"/>
        <v>0</v>
      </c>
      <c r="BD24" s="294">
        <f t="shared" si="3"/>
        <v>0</v>
      </c>
    </row>
    <row r="25" spans="1:56" x14ac:dyDescent="0.25">
      <c r="A25" s="290" t="s">
        <v>134</v>
      </c>
      <c r="B25" s="303" t="str">
        <f>VLOOKUP(A25,'DFP-Com'!$A$16:$B$50,2,1)</f>
        <v xml:space="preserve">     2.2.b  Feasiblity Studies/  Transaction Advisory Services</v>
      </c>
      <c r="C25" s="290" t="s">
        <v>176</v>
      </c>
      <c r="D25" s="229">
        <v>50000</v>
      </c>
      <c r="E25" s="290" t="s">
        <v>193</v>
      </c>
      <c r="J25" s="293">
        <v>0.25</v>
      </c>
      <c r="K25" s="293">
        <v>0.25</v>
      </c>
      <c r="L25" s="293">
        <v>0.25</v>
      </c>
      <c r="M25" s="293">
        <v>0.25</v>
      </c>
      <c r="U25" s="293">
        <f t="shared" si="0"/>
        <v>1</v>
      </c>
      <c r="X25" s="295">
        <f t="shared" si="5"/>
        <v>0</v>
      </c>
      <c r="Y25" s="295">
        <f t="shared" si="5"/>
        <v>0</v>
      </c>
      <c r="Z25" s="295">
        <f t="shared" si="5"/>
        <v>0</v>
      </c>
      <c r="AA25" s="295">
        <f t="shared" si="5"/>
        <v>0</v>
      </c>
      <c r="AB25" s="295">
        <f t="shared" si="5"/>
        <v>12500</v>
      </c>
      <c r="AC25" s="295">
        <f t="shared" si="5"/>
        <v>12500</v>
      </c>
      <c r="AD25" s="295">
        <f t="shared" si="5"/>
        <v>12500</v>
      </c>
      <c r="AE25" s="295">
        <f t="shared" si="5"/>
        <v>12500</v>
      </c>
      <c r="AF25" s="295">
        <f t="shared" si="5"/>
        <v>0</v>
      </c>
      <c r="AG25" s="295">
        <f t="shared" si="5"/>
        <v>0</v>
      </c>
      <c r="AH25" s="295">
        <f t="shared" si="5"/>
        <v>0</v>
      </c>
      <c r="AI25" s="295">
        <f t="shared" si="5"/>
        <v>0</v>
      </c>
      <c r="AJ25" s="295">
        <f t="shared" si="5"/>
        <v>0</v>
      </c>
      <c r="AK25" s="295">
        <f t="shared" si="5"/>
        <v>0</v>
      </c>
      <c r="AL25" s="295">
        <f t="shared" si="5"/>
        <v>0</v>
      </c>
      <c r="AM25" s="234"/>
      <c r="AN25" s="295">
        <f t="shared" si="4"/>
        <v>0</v>
      </c>
      <c r="AO25" s="295">
        <f t="shared" si="4"/>
        <v>0</v>
      </c>
      <c r="AP25" s="295">
        <f t="shared" si="4"/>
        <v>0</v>
      </c>
      <c r="AQ25" s="295">
        <f t="shared" si="4"/>
        <v>0</v>
      </c>
      <c r="AR25" s="295">
        <f t="shared" si="4"/>
        <v>50000</v>
      </c>
      <c r="AS25" s="295">
        <f t="shared" si="4"/>
        <v>0</v>
      </c>
      <c r="AT25" s="295">
        <f t="shared" si="4"/>
        <v>0</v>
      </c>
      <c r="AU25" s="295">
        <f t="shared" si="4"/>
        <v>0</v>
      </c>
      <c r="AV25" s="295">
        <f t="shared" si="4"/>
        <v>0</v>
      </c>
      <c r="AW25" s="295">
        <f t="shared" si="4"/>
        <v>0</v>
      </c>
      <c r="AX25" s="295">
        <f t="shared" si="4"/>
        <v>0</v>
      </c>
      <c r="AY25" s="295">
        <f t="shared" si="4"/>
        <v>0</v>
      </c>
      <c r="AZ25" s="295">
        <f t="shared" si="4"/>
        <v>0</v>
      </c>
      <c r="BA25" s="295">
        <f t="shared" si="4"/>
        <v>0</v>
      </c>
      <c r="BB25" s="295">
        <f t="shared" si="4"/>
        <v>0</v>
      </c>
      <c r="BD25" s="294">
        <f t="shared" si="3"/>
        <v>0</v>
      </c>
    </row>
    <row r="26" spans="1:56" x14ac:dyDescent="0.25">
      <c r="A26" s="290" t="s">
        <v>136</v>
      </c>
      <c r="B26" s="249" t="str">
        <f>VLOOKUP(A26,'DFP-Com'!$A$16:$B$50,2,1)</f>
        <v xml:space="preserve">     3.1.a  Student Assessment</v>
      </c>
      <c r="C26" s="240" t="s">
        <v>207</v>
      </c>
      <c r="D26" s="296">
        <v>100000</v>
      </c>
      <c r="E26" s="290" t="s">
        <v>196</v>
      </c>
      <c r="H26" s="310"/>
      <c r="I26" s="293">
        <v>0.25</v>
      </c>
      <c r="J26" s="293">
        <v>0.25</v>
      </c>
      <c r="K26" s="293">
        <v>0.25</v>
      </c>
      <c r="L26" s="293">
        <v>0.25</v>
      </c>
      <c r="U26" s="293">
        <f t="shared" si="0"/>
        <v>1</v>
      </c>
      <c r="X26" s="295">
        <f t="shared" si="5"/>
        <v>0</v>
      </c>
      <c r="Y26" s="295">
        <f t="shared" si="5"/>
        <v>0</v>
      </c>
      <c r="Z26" s="295">
        <f t="shared" si="5"/>
        <v>0</v>
      </c>
      <c r="AA26" s="295">
        <f t="shared" si="5"/>
        <v>25000</v>
      </c>
      <c r="AB26" s="295">
        <f t="shared" si="5"/>
        <v>25000</v>
      </c>
      <c r="AC26" s="295">
        <f t="shared" si="5"/>
        <v>25000</v>
      </c>
      <c r="AD26" s="295">
        <f t="shared" si="5"/>
        <v>25000</v>
      </c>
      <c r="AE26" s="295">
        <f t="shared" si="5"/>
        <v>0</v>
      </c>
      <c r="AF26" s="295">
        <f t="shared" si="5"/>
        <v>0</v>
      </c>
      <c r="AG26" s="295">
        <f t="shared" si="5"/>
        <v>0</v>
      </c>
      <c r="AH26" s="295">
        <f t="shared" si="5"/>
        <v>0</v>
      </c>
      <c r="AI26" s="295">
        <f t="shared" si="5"/>
        <v>0</v>
      </c>
      <c r="AJ26" s="295">
        <f t="shared" si="5"/>
        <v>0</v>
      </c>
      <c r="AK26" s="295">
        <f t="shared" si="5"/>
        <v>0</v>
      </c>
      <c r="AL26" s="295">
        <f t="shared" si="5"/>
        <v>0</v>
      </c>
      <c r="AM26" s="234"/>
      <c r="AN26" s="295">
        <f t="shared" si="4"/>
        <v>0</v>
      </c>
      <c r="AO26" s="295">
        <f t="shared" si="4"/>
        <v>0</v>
      </c>
      <c r="AP26" s="295">
        <f t="shared" si="4"/>
        <v>0</v>
      </c>
      <c r="AQ26" s="295">
        <f t="shared" si="4"/>
        <v>100000</v>
      </c>
      <c r="AR26" s="295">
        <f t="shared" si="4"/>
        <v>0</v>
      </c>
      <c r="AS26" s="295">
        <f t="shared" si="4"/>
        <v>0</v>
      </c>
      <c r="AT26" s="295">
        <f t="shared" si="4"/>
        <v>0</v>
      </c>
      <c r="AU26" s="295">
        <f t="shared" si="4"/>
        <v>0</v>
      </c>
      <c r="AV26" s="295">
        <f t="shared" si="4"/>
        <v>0</v>
      </c>
      <c r="AW26" s="295">
        <f t="shared" si="4"/>
        <v>0</v>
      </c>
      <c r="AX26" s="295">
        <f t="shared" si="4"/>
        <v>0</v>
      </c>
      <c r="AY26" s="295">
        <f t="shared" si="4"/>
        <v>0</v>
      </c>
      <c r="AZ26" s="295">
        <f t="shared" si="4"/>
        <v>0</v>
      </c>
      <c r="BA26" s="295">
        <f t="shared" si="4"/>
        <v>0</v>
      </c>
      <c r="BB26" s="295">
        <f t="shared" si="4"/>
        <v>0</v>
      </c>
      <c r="BD26" s="294">
        <f t="shared" si="3"/>
        <v>0</v>
      </c>
    </row>
    <row r="27" spans="1:56" x14ac:dyDescent="0.25">
      <c r="A27" s="290" t="s">
        <v>136</v>
      </c>
      <c r="B27" s="249" t="str">
        <f>VLOOKUP(A27,'DFP-Com'!$A$16:$B$50,2,1)</f>
        <v xml:space="preserve">     3.1.a  Student Assessment</v>
      </c>
      <c r="C27" s="240" t="s">
        <v>207</v>
      </c>
      <c r="D27" s="296">
        <v>500000</v>
      </c>
      <c r="E27" s="290" t="s">
        <v>228</v>
      </c>
      <c r="Q27" s="293">
        <v>0.25</v>
      </c>
      <c r="R27" s="293">
        <v>0.25</v>
      </c>
      <c r="S27" s="293">
        <v>0.25</v>
      </c>
      <c r="T27" s="293">
        <v>0.25</v>
      </c>
      <c r="U27" s="293">
        <f t="shared" si="0"/>
        <v>1</v>
      </c>
      <c r="X27" s="295">
        <f t="shared" si="5"/>
        <v>0</v>
      </c>
      <c r="Y27" s="295">
        <f t="shared" si="5"/>
        <v>0</v>
      </c>
      <c r="Z27" s="295">
        <f t="shared" si="5"/>
        <v>0</v>
      </c>
      <c r="AA27" s="295">
        <f t="shared" si="5"/>
        <v>0</v>
      </c>
      <c r="AB27" s="295">
        <f t="shared" si="5"/>
        <v>0</v>
      </c>
      <c r="AC27" s="295">
        <f t="shared" si="5"/>
        <v>0</v>
      </c>
      <c r="AD27" s="295">
        <f t="shared" si="5"/>
        <v>0</v>
      </c>
      <c r="AE27" s="295">
        <f t="shared" si="5"/>
        <v>0</v>
      </c>
      <c r="AF27" s="295">
        <f t="shared" si="5"/>
        <v>0</v>
      </c>
      <c r="AG27" s="295">
        <f t="shared" si="5"/>
        <v>0</v>
      </c>
      <c r="AH27" s="295">
        <f t="shared" si="5"/>
        <v>0</v>
      </c>
      <c r="AI27" s="295">
        <f t="shared" si="5"/>
        <v>125000</v>
      </c>
      <c r="AJ27" s="295">
        <f t="shared" si="5"/>
        <v>125000</v>
      </c>
      <c r="AK27" s="295">
        <f t="shared" si="5"/>
        <v>125000</v>
      </c>
      <c r="AL27" s="295">
        <f t="shared" si="5"/>
        <v>125000</v>
      </c>
      <c r="AM27" s="234"/>
      <c r="AN27" s="295">
        <f t="shared" si="4"/>
        <v>0</v>
      </c>
      <c r="AO27" s="295">
        <f t="shared" si="4"/>
        <v>0</v>
      </c>
      <c r="AP27" s="295">
        <f t="shared" si="4"/>
        <v>0</v>
      </c>
      <c r="AQ27" s="295">
        <f t="shared" si="4"/>
        <v>0</v>
      </c>
      <c r="AR27" s="295">
        <f t="shared" si="4"/>
        <v>0</v>
      </c>
      <c r="AS27" s="295">
        <f t="shared" si="4"/>
        <v>0</v>
      </c>
      <c r="AT27" s="295">
        <f t="shared" si="4"/>
        <v>0</v>
      </c>
      <c r="AU27" s="295">
        <f t="shared" si="4"/>
        <v>0</v>
      </c>
      <c r="AV27" s="295">
        <f t="shared" si="4"/>
        <v>0</v>
      </c>
      <c r="AW27" s="295">
        <f t="shared" si="4"/>
        <v>0</v>
      </c>
      <c r="AX27" s="295">
        <f t="shared" si="4"/>
        <v>0</v>
      </c>
      <c r="AY27" s="295">
        <f t="shared" si="4"/>
        <v>500000</v>
      </c>
      <c r="AZ27" s="295">
        <f t="shared" si="4"/>
        <v>0</v>
      </c>
      <c r="BA27" s="295">
        <f t="shared" si="4"/>
        <v>0</v>
      </c>
      <c r="BB27" s="295">
        <f t="shared" si="4"/>
        <v>0</v>
      </c>
      <c r="BD27" s="294">
        <f t="shared" si="3"/>
        <v>0</v>
      </c>
    </row>
    <row r="28" spans="1:56" x14ac:dyDescent="0.25">
      <c r="A28" s="290" t="s">
        <v>136</v>
      </c>
      <c r="B28" s="249" t="str">
        <f>VLOOKUP(A28,'DFP-Com'!$A$16:$B$50,2,1)</f>
        <v xml:space="preserve">     3.1.a  Student Assessment</v>
      </c>
      <c r="C28" s="290" t="s">
        <v>218</v>
      </c>
      <c r="D28" s="229">
        <v>7200</v>
      </c>
      <c r="E28" s="290" t="s">
        <v>196</v>
      </c>
      <c r="H28" s="310"/>
      <c r="I28" s="293">
        <v>0.3</v>
      </c>
      <c r="J28" s="293">
        <v>0.7</v>
      </c>
      <c r="K28" s="293"/>
      <c r="Q28" s="293"/>
      <c r="R28" s="293"/>
      <c r="S28" s="293"/>
      <c r="T28" s="293"/>
      <c r="U28" s="293">
        <f t="shared" si="0"/>
        <v>1</v>
      </c>
      <c r="X28" s="295">
        <f t="shared" si="5"/>
        <v>0</v>
      </c>
      <c r="Y28" s="295">
        <f t="shared" si="5"/>
        <v>0</v>
      </c>
      <c r="Z28" s="295">
        <f t="shared" si="5"/>
        <v>0</v>
      </c>
      <c r="AA28" s="295">
        <f t="shared" si="5"/>
        <v>2160</v>
      </c>
      <c r="AB28" s="295">
        <f t="shared" si="5"/>
        <v>5040</v>
      </c>
      <c r="AC28" s="295">
        <f t="shared" si="5"/>
        <v>0</v>
      </c>
      <c r="AD28" s="295">
        <f t="shared" si="5"/>
        <v>0</v>
      </c>
      <c r="AE28" s="295">
        <f t="shared" si="5"/>
        <v>0</v>
      </c>
      <c r="AF28" s="295">
        <f t="shared" si="5"/>
        <v>0</v>
      </c>
      <c r="AG28" s="295">
        <f t="shared" si="5"/>
        <v>0</v>
      </c>
      <c r="AH28" s="295">
        <f t="shared" si="5"/>
        <v>0</v>
      </c>
      <c r="AI28" s="295">
        <f t="shared" si="5"/>
        <v>0</v>
      </c>
      <c r="AJ28" s="295">
        <f t="shared" si="5"/>
        <v>0</v>
      </c>
      <c r="AK28" s="295">
        <f t="shared" si="5"/>
        <v>0</v>
      </c>
      <c r="AL28" s="295">
        <f t="shared" si="5"/>
        <v>0</v>
      </c>
      <c r="AM28" s="234"/>
      <c r="AN28" s="295">
        <f t="shared" si="4"/>
        <v>0</v>
      </c>
      <c r="AO28" s="295">
        <f t="shared" si="4"/>
        <v>0</v>
      </c>
      <c r="AP28" s="295">
        <f t="shared" si="4"/>
        <v>0</v>
      </c>
      <c r="AQ28" s="295">
        <f t="shared" si="4"/>
        <v>7200</v>
      </c>
      <c r="AR28" s="295">
        <f t="shared" si="4"/>
        <v>0</v>
      </c>
      <c r="AS28" s="295">
        <f t="shared" si="4"/>
        <v>0</v>
      </c>
      <c r="AT28" s="295">
        <f t="shared" si="4"/>
        <v>0</v>
      </c>
      <c r="AU28" s="295">
        <f t="shared" si="4"/>
        <v>0</v>
      </c>
      <c r="AV28" s="295">
        <f t="shared" si="4"/>
        <v>0</v>
      </c>
      <c r="AW28" s="295">
        <f t="shared" si="4"/>
        <v>0</v>
      </c>
      <c r="AX28" s="295">
        <f t="shared" si="4"/>
        <v>0</v>
      </c>
      <c r="AY28" s="295">
        <f t="shared" si="4"/>
        <v>0</v>
      </c>
      <c r="AZ28" s="295">
        <f t="shared" si="4"/>
        <v>0</v>
      </c>
      <c r="BA28" s="295">
        <f t="shared" si="4"/>
        <v>0</v>
      </c>
      <c r="BB28" s="295">
        <f t="shared" si="4"/>
        <v>0</v>
      </c>
      <c r="BD28" s="294"/>
    </row>
    <row r="29" spans="1:56" x14ac:dyDescent="0.25">
      <c r="A29" s="290" t="s">
        <v>136</v>
      </c>
      <c r="B29" s="249" t="str">
        <f>VLOOKUP(A29,'DFP-Com'!$A$16:$B$50,2,1)</f>
        <v xml:space="preserve">     3.1.a  Student Assessment</v>
      </c>
      <c r="C29" s="290" t="s">
        <v>219</v>
      </c>
      <c r="D29" s="229">
        <v>19200</v>
      </c>
      <c r="E29" s="290" t="s">
        <v>196</v>
      </c>
      <c r="H29" s="310"/>
      <c r="I29" s="293">
        <v>0.3</v>
      </c>
      <c r="J29" s="293">
        <v>0.7</v>
      </c>
      <c r="K29" s="293"/>
      <c r="Q29" s="293"/>
      <c r="R29" s="293"/>
      <c r="S29" s="293"/>
      <c r="T29" s="293"/>
      <c r="U29" s="293">
        <f t="shared" si="0"/>
        <v>1</v>
      </c>
      <c r="X29" s="295">
        <f t="shared" si="5"/>
        <v>0</v>
      </c>
      <c r="Y29" s="295">
        <f t="shared" si="5"/>
        <v>0</v>
      </c>
      <c r="Z29" s="295">
        <f t="shared" si="5"/>
        <v>0</v>
      </c>
      <c r="AA29" s="295">
        <f t="shared" si="5"/>
        <v>5760</v>
      </c>
      <c r="AB29" s="295">
        <f t="shared" si="5"/>
        <v>13440</v>
      </c>
      <c r="AC29" s="295">
        <f t="shared" si="5"/>
        <v>0</v>
      </c>
      <c r="AD29" s="295">
        <f t="shared" si="5"/>
        <v>0</v>
      </c>
      <c r="AE29" s="295">
        <f t="shared" si="5"/>
        <v>0</v>
      </c>
      <c r="AF29" s="295">
        <f t="shared" si="5"/>
        <v>0</v>
      </c>
      <c r="AG29" s="295">
        <f t="shared" si="5"/>
        <v>0</v>
      </c>
      <c r="AH29" s="295">
        <f t="shared" si="5"/>
        <v>0</v>
      </c>
      <c r="AI29" s="295">
        <f t="shared" si="5"/>
        <v>0</v>
      </c>
      <c r="AJ29" s="295">
        <f t="shared" si="5"/>
        <v>0</v>
      </c>
      <c r="AK29" s="295">
        <f t="shared" si="5"/>
        <v>0</v>
      </c>
      <c r="AL29" s="295">
        <f t="shared" si="5"/>
        <v>0</v>
      </c>
      <c r="AM29" s="234"/>
      <c r="AN29" s="295">
        <f t="shared" si="4"/>
        <v>0</v>
      </c>
      <c r="AO29" s="295">
        <f t="shared" si="4"/>
        <v>0</v>
      </c>
      <c r="AP29" s="295">
        <f t="shared" si="4"/>
        <v>0</v>
      </c>
      <c r="AQ29" s="295">
        <f t="shared" si="4"/>
        <v>19200</v>
      </c>
      <c r="AR29" s="295">
        <f t="shared" si="4"/>
        <v>0</v>
      </c>
      <c r="AS29" s="295">
        <f t="shared" si="4"/>
        <v>0</v>
      </c>
      <c r="AT29" s="295">
        <f t="shared" si="4"/>
        <v>0</v>
      </c>
      <c r="AU29" s="295">
        <f t="shared" si="4"/>
        <v>0</v>
      </c>
      <c r="AV29" s="295">
        <f t="shared" si="4"/>
        <v>0</v>
      </c>
      <c r="AW29" s="295">
        <f t="shared" si="4"/>
        <v>0</v>
      </c>
      <c r="AX29" s="295">
        <f t="shared" si="4"/>
        <v>0</v>
      </c>
      <c r="AY29" s="295">
        <f t="shared" si="4"/>
        <v>0</v>
      </c>
      <c r="AZ29" s="295">
        <f t="shared" si="4"/>
        <v>0</v>
      </c>
      <c r="BA29" s="295">
        <f t="shared" si="4"/>
        <v>0</v>
      </c>
      <c r="BB29" s="295">
        <f t="shared" si="4"/>
        <v>0</v>
      </c>
      <c r="BD29" s="294"/>
    </row>
    <row r="30" spans="1:56" x14ac:dyDescent="0.25">
      <c r="A30" s="290" t="s">
        <v>136</v>
      </c>
      <c r="B30" s="249" t="str">
        <f>VLOOKUP(A30,'DFP-Com'!$A$16:$B$50,2,1)</f>
        <v xml:space="preserve">     3.1.a  Student Assessment</v>
      </c>
      <c r="C30" s="290" t="s">
        <v>220</v>
      </c>
      <c r="D30" s="229">
        <v>8000</v>
      </c>
      <c r="E30" s="290" t="s">
        <v>164</v>
      </c>
      <c r="H30" s="310">
        <v>0.5</v>
      </c>
      <c r="I30" s="293">
        <v>0.5</v>
      </c>
      <c r="Q30" s="293"/>
      <c r="R30" s="293"/>
      <c r="S30" s="293"/>
      <c r="T30" s="293"/>
      <c r="U30" s="293">
        <f t="shared" si="0"/>
        <v>1</v>
      </c>
      <c r="X30" s="295">
        <f t="shared" si="5"/>
        <v>0</v>
      </c>
      <c r="Y30" s="295">
        <f t="shared" si="5"/>
        <v>0</v>
      </c>
      <c r="Z30" s="295">
        <f t="shared" si="5"/>
        <v>4000</v>
      </c>
      <c r="AA30" s="295">
        <f t="shared" si="5"/>
        <v>4000</v>
      </c>
      <c r="AB30" s="295">
        <f t="shared" si="5"/>
        <v>0</v>
      </c>
      <c r="AC30" s="295">
        <f t="shared" si="5"/>
        <v>0</v>
      </c>
      <c r="AD30" s="295">
        <f t="shared" si="5"/>
        <v>0</v>
      </c>
      <c r="AE30" s="295">
        <f t="shared" si="5"/>
        <v>0</v>
      </c>
      <c r="AF30" s="295">
        <f t="shared" si="5"/>
        <v>0</v>
      </c>
      <c r="AG30" s="295">
        <f t="shared" si="5"/>
        <v>0</v>
      </c>
      <c r="AH30" s="295">
        <f t="shared" si="5"/>
        <v>0</v>
      </c>
      <c r="AI30" s="295">
        <f t="shared" si="5"/>
        <v>0</v>
      </c>
      <c r="AJ30" s="295">
        <f t="shared" si="5"/>
        <v>0</v>
      </c>
      <c r="AK30" s="295">
        <f t="shared" si="5"/>
        <v>0</v>
      </c>
      <c r="AL30" s="295">
        <f t="shared" si="5"/>
        <v>0</v>
      </c>
      <c r="AM30" s="234"/>
      <c r="AN30" s="295">
        <f t="shared" si="4"/>
        <v>0</v>
      </c>
      <c r="AO30" s="295">
        <f t="shared" si="4"/>
        <v>0</v>
      </c>
      <c r="AP30" s="295">
        <f t="shared" si="4"/>
        <v>8000</v>
      </c>
      <c r="AQ30" s="295">
        <f t="shared" si="4"/>
        <v>0</v>
      </c>
      <c r="AR30" s="295">
        <f t="shared" si="4"/>
        <v>0</v>
      </c>
      <c r="AS30" s="295">
        <f t="shared" si="4"/>
        <v>0</v>
      </c>
      <c r="AT30" s="295">
        <f t="shared" si="4"/>
        <v>0</v>
      </c>
      <c r="AU30" s="295">
        <f t="shared" si="4"/>
        <v>0</v>
      </c>
      <c r="AV30" s="295">
        <f t="shared" si="4"/>
        <v>0</v>
      </c>
      <c r="AW30" s="295">
        <f t="shared" si="4"/>
        <v>0</v>
      </c>
      <c r="AX30" s="295">
        <f t="shared" si="4"/>
        <v>0</v>
      </c>
      <c r="AY30" s="295">
        <f t="shared" si="4"/>
        <v>0</v>
      </c>
      <c r="AZ30" s="295">
        <f t="shared" si="4"/>
        <v>0</v>
      </c>
      <c r="BA30" s="295">
        <f t="shared" si="4"/>
        <v>0</v>
      </c>
      <c r="BB30" s="295">
        <f t="shared" si="4"/>
        <v>0</v>
      </c>
      <c r="BD30" s="294"/>
    </row>
    <row r="31" spans="1:56" x14ac:dyDescent="0.25">
      <c r="A31" s="290" t="s">
        <v>136</v>
      </c>
      <c r="B31" s="249" t="str">
        <f>VLOOKUP(A31,'DFP-Com'!$A$16:$B$50,2,1)</f>
        <v xml:space="preserve">     3.1.a  Student Assessment</v>
      </c>
      <c r="C31" s="290" t="s">
        <v>221</v>
      </c>
      <c r="D31" s="229">
        <v>72000</v>
      </c>
      <c r="E31" s="290" t="s">
        <v>164</v>
      </c>
      <c r="H31" s="310">
        <v>8.3333333333333301E-2</v>
      </c>
      <c r="I31" s="293">
        <v>8.3333333333333301E-2</v>
      </c>
      <c r="J31" s="293">
        <v>8.3333333333333301E-2</v>
      </c>
      <c r="K31" s="293">
        <v>8.3333333333333301E-2</v>
      </c>
      <c r="L31" s="293">
        <v>8.3333333333333301E-2</v>
      </c>
      <c r="M31" s="293">
        <v>8.3333333333333301E-2</v>
      </c>
      <c r="N31" s="293">
        <v>8.3333333333333301E-2</v>
      </c>
      <c r="O31" s="293">
        <v>8.3333333333333301E-2</v>
      </c>
      <c r="P31" s="293">
        <v>8.3333333333333301E-2</v>
      </c>
      <c r="Q31" s="293">
        <v>8.3333333333333301E-2</v>
      </c>
      <c r="R31" s="293">
        <v>8.3333333333333301E-2</v>
      </c>
      <c r="S31" s="293">
        <v>8.3333333333333301E-2</v>
      </c>
      <c r="T31" s="293"/>
      <c r="U31" s="293">
        <f t="shared" si="0"/>
        <v>0.99999999999999944</v>
      </c>
      <c r="X31" s="295">
        <f t="shared" si="5"/>
        <v>0</v>
      </c>
      <c r="Y31" s="295">
        <f t="shared" si="5"/>
        <v>0</v>
      </c>
      <c r="Z31" s="295">
        <f t="shared" si="5"/>
        <v>5999.9999999999973</v>
      </c>
      <c r="AA31" s="295">
        <f t="shared" si="5"/>
        <v>5999.9999999999973</v>
      </c>
      <c r="AB31" s="295">
        <f t="shared" si="5"/>
        <v>5999.9999999999973</v>
      </c>
      <c r="AC31" s="295">
        <f t="shared" si="5"/>
        <v>5999.9999999999973</v>
      </c>
      <c r="AD31" s="295">
        <f t="shared" si="5"/>
        <v>5999.9999999999973</v>
      </c>
      <c r="AE31" s="295">
        <f t="shared" si="5"/>
        <v>5999.9999999999973</v>
      </c>
      <c r="AF31" s="295">
        <f t="shared" si="5"/>
        <v>5999.9999999999973</v>
      </c>
      <c r="AG31" s="295">
        <f t="shared" si="5"/>
        <v>5999.9999999999973</v>
      </c>
      <c r="AH31" s="295">
        <f t="shared" si="5"/>
        <v>5999.9999999999973</v>
      </c>
      <c r="AI31" s="295">
        <f t="shared" si="5"/>
        <v>5999.9999999999973</v>
      </c>
      <c r="AJ31" s="295">
        <f t="shared" si="5"/>
        <v>5999.9999999999973</v>
      </c>
      <c r="AK31" s="295">
        <f t="shared" si="5"/>
        <v>5999.9999999999973</v>
      </c>
      <c r="AL31" s="295">
        <f t="shared" si="5"/>
        <v>0</v>
      </c>
      <c r="AM31" s="234"/>
      <c r="AN31" s="295">
        <f t="shared" si="4"/>
        <v>0</v>
      </c>
      <c r="AO31" s="295">
        <f t="shared" si="4"/>
        <v>0</v>
      </c>
      <c r="AP31" s="295">
        <f t="shared" si="4"/>
        <v>72000</v>
      </c>
      <c r="AQ31" s="295">
        <f t="shared" si="4"/>
        <v>0</v>
      </c>
      <c r="AR31" s="295">
        <f t="shared" si="4"/>
        <v>0</v>
      </c>
      <c r="AS31" s="295">
        <f t="shared" si="4"/>
        <v>0</v>
      </c>
      <c r="AT31" s="295">
        <f t="shared" si="4"/>
        <v>0</v>
      </c>
      <c r="AU31" s="295">
        <f t="shared" si="4"/>
        <v>0</v>
      </c>
      <c r="AV31" s="295">
        <f t="shared" si="4"/>
        <v>0</v>
      </c>
      <c r="AW31" s="295">
        <f t="shared" si="4"/>
        <v>0</v>
      </c>
      <c r="AX31" s="295">
        <f t="shared" si="4"/>
        <v>0</v>
      </c>
      <c r="AY31" s="295">
        <f t="shared" si="4"/>
        <v>0</v>
      </c>
      <c r="AZ31" s="295">
        <f t="shared" si="4"/>
        <v>0</v>
      </c>
      <c r="BA31" s="295">
        <f t="shared" si="4"/>
        <v>0</v>
      </c>
      <c r="BB31" s="295">
        <f t="shared" si="4"/>
        <v>0</v>
      </c>
      <c r="BD31" s="294"/>
    </row>
    <row r="32" spans="1:56" x14ac:dyDescent="0.25">
      <c r="A32" s="290" t="s">
        <v>137</v>
      </c>
      <c r="B32" s="249" t="str">
        <f>VLOOKUP(A32,'DFP-Com'!$A$16:$B$50,2,1)</f>
        <v xml:space="preserve">     3.1.b  Teacher Evaluations</v>
      </c>
      <c r="C32" s="240" t="s">
        <v>207</v>
      </c>
      <c r="D32" s="229">
        <v>100000</v>
      </c>
      <c r="E32" s="290" t="s">
        <v>196</v>
      </c>
      <c r="I32" s="293">
        <v>0.25</v>
      </c>
      <c r="J32" s="293">
        <v>0.25</v>
      </c>
      <c r="K32" s="293">
        <v>0.25</v>
      </c>
      <c r="L32" s="293">
        <v>0.25</v>
      </c>
      <c r="U32" s="293">
        <f t="shared" si="0"/>
        <v>1</v>
      </c>
      <c r="X32" s="295">
        <f t="shared" si="5"/>
        <v>0</v>
      </c>
      <c r="Y32" s="295">
        <f t="shared" si="5"/>
        <v>0</v>
      </c>
      <c r="Z32" s="295">
        <f t="shared" si="5"/>
        <v>0</v>
      </c>
      <c r="AA32" s="295">
        <f t="shared" si="5"/>
        <v>25000</v>
      </c>
      <c r="AB32" s="295">
        <f t="shared" si="5"/>
        <v>25000</v>
      </c>
      <c r="AC32" s="295">
        <f t="shared" si="5"/>
        <v>25000</v>
      </c>
      <c r="AD32" s="295">
        <f t="shared" si="5"/>
        <v>25000</v>
      </c>
      <c r="AE32" s="295">
        <f t="shared" si="5"/>
        <v>0</v>
      </c>
      <c r="AF32" s="295">
        <f t="shared" si="5"/>
        <v>0</v>
      </c>
      <c r="AG32" s="295">
        <f t="shared" si="5"/>
        <v>0</v>
      </c>
      <c r="AH32" s="295">
        <f t="shared" si="5"/>
        <v>0</v>
      </c>
      <c r="AI32" s="295">
        <f t="shared" si="5"/>
        <v>0</v>
      </c>
      <c r="AJ32" s="295">
        <f t="shared" si="5"/>
        <v>0</v>
      </c>
      <c r="AK32" s="295">
        <f t="shared" si="5"/>
        <v>0</v>
      </c>
      <c r="AL32" s="295">
        <f t="shared" si="5"/>
        <v>0</v>
      </c>
      <c r="AM32" s="234"/>
      <c r="AN32" s="295">
        <f t="shared" si="4"/>
        <v>0</v>
      </c>
      <c r="AO32" s="295">
        <f t="shared" si="4"/>
        <v>0</v>
      </c>
      <c r="AP32" s="295">
        <f t="shared" si="4"/>
        <v>0</v>
      </c>
      <c r="AQ32" s="295">
        <f t="shared" si="4"/>
        <v>100000</v>
      </c>
      <c r="AR32" s="295">
        <f t="shared" si="4"/>
        <v>0</v>
      </c>
      <c r="AS32" s="295">
        <f t="shared" si="4"/>
        <v>0</v>
      </c>
      <c r="AT32" s="295">
        <f t="shared" si="4"/>
        <v>0</v>
      </c>
      <c r="AU32" s="295">
        <f t="shared" si="4"/>
        <v>0</v>
      </c>
      <c r="AV32" s="295">
        <f t="shared" si="4"/>
        <v>0</v>
      </c>
      <c r="AW32" s="295">
        <f t="shared" si="4"/>
        <v>0</v>
      </c>
      <c r="AX32" s="295">
        <f t="shared" si="4"/>
        <v>0</v>
      </c>
      <c r="AY32" s="295">
        <f t="shared" si="4"/>
        <v>0</v>
      </c>
      <c r="AZ32" s="295">
        <f t="shared" si="4"/>
        <v>0</v>
      </c>
      <c r="BA32" s="295">
        <f t="shared" si="4"/>
        <v>0</v>
      </c>
      <c r="BB32" s="295">
        <f t="shared" si="4"/>
        <v>0</v>
      </c>
      <c r="BD32" s="294">
        <f t="shared" ref="BD32:BD38" si="6">SUM(X32:AL32)-SUM(AN32:BB32)</f>
        <v>0</v>
      </c>
    </row>
    <row r="33" spans="1:56" x14ac:dyDescent="0.25">
      <c r="A33" s="290" t="s">
        <v>137</v>
      </c>
      <c r="B33" s="249" t="str">
        <f>VLOOKUP(A33,'DFP-Com'!$A$16:$B$50,2,1)</f>
        <v xml:space="preserve">     3.1.b  Teacher Evaluations</v>
      </c>
      <c r="C33" s="240" t="s">
        <v>207</v>
      </c>
      <c r="D33" s="229">
        <v>200000</v>
      </c>
      <c r="E33" s="290" t="s">
        <v>208</v>
      </c>
      <c r="Q33" s="293">
        <v>0.25</v>
      </c>
      <c r="R33" s="293">
        <v>0.25</v>
      </c>
      <c r="S33" s="293">
        <v>0.25</v>
      </c>
      <c r="T33" s="293">
        <v>0.25</v>
      </c>
      <c r="U33" s="293">
        <f t="shared" si="0"/>
        <v>1</v>
      </c>
      <c r="X33" s="295">
        <f t="shared" si="5"/>
        <v>0</v>
      </c>
      <c r="Y33" s="295">
        <f t="shared" si="5"/>
        <v>0</v>
      </c>
      <c r="Z33" s="295">
        <f t="shared" si="5"/>
        <v>0</v>
      </c>
      <c r="AA33" s="295">
        <f t="shared" si="5"/>
        <v>0</v>
      </c>
      <c r="AB33" s="295">
        <f t="shared" si="5"/>
        <v>0</v>
      </c>
      <c r="AC33" s="295">
        <f t="shared" si="5"/>
        <v>0</v>
      </c>
      <c r="AD33" s="295">
        <f t="shared" si="5"/>
        <v>0</v>
      </c>
      <c r="AE33" s="295">
        <f t="shared" si="5"/>
        <v>0</v>
      </c>
      <c r="AF33" s="295">
        <f t="shared" si="5"/>
        <v>0</v>
      </c>
      <c r="AG33" s="295">
        <f t="shared" si="5"/>
        <v>0</v>
      </c>
      <c r="AH33" s="295">
        <f t="shared" si="5"/>
        <v>0</v>
      </c>
      <c r="AI33" s="295">
        <f t="shared" si="5"/>
        <v>50000</v>
      </c>
      <c r="AJ33" s="295">
        <f t="shared" si="5"/>
        <v>50000</v>
      </c>
      <c r="AK33" s="295">
        <f t="shared" si="5"/>
        <v>50000</v>
      </c>
      <c r="AL33" s="295">
        <f t="shared" si="5"/>
        <v>50000</v>
      </c>
      <c r="AM33" s="234"/>
      <c r="AN33" s="295">
        <f t="shared" si="4"/>
        <v>0</v>
      </c>
      <c r="AO33" s="295">
        <f t="shared" si="4"/>
        <v>0</v>
      </c>
      <c r="AP33" s="295">
        <f t="shared" si="4"/>
        <v>0</v>
      </c>
      <c r="AQ33" s="295">
        <f t="shared" si="4"/>
        <v>0</v>
      </c>
      <c r="AR33" s="295">
        <f t="shared" si="4"/>
        <v>0</v>
      </c>
      <c r="AS33" s="295">
        <f t="shared" si="4"/>
        <v>0</v>
      </c>
      <c r="AT33" s="295">
        <f t="shared" si="4"/>
        <v>0</v>
      </c>
      <c r="AU33" s="295">
        <f t="shared" si="4"/>
        <v>0</v>
      </c>
      <c r="AV33" s="295">
        <f t="shared" si="4"/>
        <v>0</v>
      </c>
      <c r="AW33" s="295">
        <f t="shared" si="4"/>
        <v>0</v>
      </c>
      <c r="AX33" s="295">
        <f t="shared" si="4"/>
        <v>0</v>
      </c>
      <c r="AY33" s="295">
        <f t="shared" si="4"/>
        <v>0</v>
      </c>
      <c r="AZ33" s="295">
        <f t="shared" si="4"/>
        <v>0</v>
      </c>
      <c r="BA33" s="295">
        <f t="shared" si="4"/>
        <v>0</v>
      </c>
      <c r="BB33" s="295">
        <f t="shared" si="4"/>
        <v>200000</v>
      </c>
      <c r="BD33" s="294">
        <f t="shared" si="6"/>
        <v>0</v>
      </c>
    </row>
    <row r="34" spans="1:56" x14ac:dyDescent="0.25">
      <c r="A34" s="290" t="s">
        <v>138</v>
      </c>
      <c r="B34" s="249" t="str">
        <f>VLOOKUP(A34,'DFP-Com'!$A$16:$B$50,2,1)</f>
        <v xml:space="preserve">     3.1.c  Voc Ed Tracer Studies</v>
      </c>
      <c r="C34" s="240" t="s">
        <v>207</v>
      </c>
      <c r="D34" s="229">
        <v>100000</v>
      </c>
      <c r="E34" s="290" t="s">
        <v>178</v>
      </c>
      <c r="L34" s="293">
        <v>0.25</v>
      </c>
      <c r="M34" s="293">
        <v>0.25</v>
      </c>
      <c r="N34" s="293">
        <v>0.25</v>
      </c>
      <c r="O34" s="293">
        <v>0.25</v>
      </c>
      <c r="U34" s="293">
        <f t="shared" si="0"/>
        <v>1</v>
      </c>
      <c r="X34" s="295">
        <f t="shared" si="5"/>
        <v>0</v>
      </c>
      <c r="Y34" s="295">
        <f t="shared" si="5"/>
        <v>0</v>
      </c>
      <c r="Z34" s="295">
        <f t="shared" si="5"/>
        <v>0</v>
      </c>
      <c r="AA34" s="295">
        <f t="shared" si="5"/>
        <v>0</v>
      </c>
      <c r="AB34" s="295">
        <f t="shared" si="5"/>
        <v>0</v>
      </c>
      <c r="AC34" s="295">
        <f t="shared" si="5"/>
        <v>0</v>
      </c>
      <c r="AD34" s="295">
        <f t="shared" si="5"/>
        <v>25000</v>
      </c>
      <c r="AE34" s="295">
        <f t="shared" si="5"/>
        <v>25000</v>
      </c>
      <c r="AF34" s="295">
        <f t="shared" si="5"/>
        <v>25000</v>
      </c>
      <c r="AG34" s="295">
        <f t="shared" si="5"/>
        <v>25000</v>
      </c>
      <c r="AH34" s="295">
        <f t="shared" si="5"/>
        <v>0</v>
      </c>
      <c r="AI34" s="295">
        <f t="shared" si="5"/>
        <v>0</v>
      </c>
      <c r="AJ34" s="295">
        <f t="shared" si="5"/>
        <v>0</v>
      </c>
      <c r="AK34" s="295">
        <f t="shared" si="5"/>
        <v>0</v>
      </c>
      <c r="AL34" s="295">
        <f t="shared" si="5"/>
        <v>0</v>
      </c>
      <c r="AM34" s="234"/>
      <c r="AN34" s="295">
        <f t="shared" si="4"/>
        <v>0</v>
      </c>
      <c r="AO34" s="295">
        <f t="shared" si="4"/>
        <v>0</v>
      </c>
      <c r="AP34" s="295">
        <f t="shared" si="4"/>
        <v>0</v>
      </c>
      <c r="AQ34" s="295">
        <f t="shared" si="4"/>
        <v>0</v>
      </c>
      <c r="AR34" s="295">
        <f t="shared" si="4"/>
        <v>0</v>
      </c>
      <c r="AS34" s="295">
        <f t="shared" si="4"/>
        <v>0</v>
      </c>
      <c r="AT34" s="295">
        <f t="shared" si="4"/>
        <v>100000</v>
      </c>
      <c r="AU34" s="295">
        <f t="shared" si="4"/>
        <v>0</v>
      </c>
      <c r="AV34" s="295">
        <f t="shared" si="4"/>
        <v>0</v>
      </c>
      <c r="AW34" s="295">
        <f t="shared" si="4"/>
        <v>0</v>
      </c>
      <c r="AX34" s="295">
        <f t="shared" si="4"/>
        <v>0</v>
      </c>
      <c r="AY34" s="295">
        <f t="shared" si="4"/>
        <v>0</v>
      </c>
      <c r="AZ34" s="295">
        <f t="shared" si="4"/>
        <v>0</v>
      </c>
      <c r="BA34" s="295">
        <f t="shared" si="4"/>
        <v>0</v>
      </c>
      <c r="BB34" s="295">
        <f t="shared" si="4"/>
        <v>0</v>
      </c>
      <c r="BD34" s="294">
        <f t="shared" si="6"/>
        <v>0</v>
      </c>
    </row>
    <row r="35" spans="1:56" x14ac:dyDescent="0.25">
      <c r="A35" s="290" t="s">
        <v>138</v>
      </c>
      <c r="B35" s="249" t="str">
        <f>VLOOKUP(A35,'DFP-Com'!$A$16:$B$50,2,1)</f>
        <v xml:space="preserve">     3.1.c  Voc Ed Tracer Studies</v>
      </c>
      <c r="C35" s="240" t="s">
        <v>207</v>
      </c>
      <c r="D35" s="229">
        <v>200000</v>
      </c>
      <c r="E35" s="290" t="s">
        <v>208</v>
      </c>
      <c r="Q35" s="293">
        <v>0.25</v>
      </c>
      <c r="R35" s="293">
        <v>0.25</v>
      </c>
      <c r="S35" s="293">
        <v>0.25</v>
      </c>
      <c r="T35" s="293">
        <v>0.25</v>
      </c>
      <c r="U35" s="293">
        <f t="shared" si="0"/>
        <v>1</v>
      </c>
      <c r="X35" s="295">
        <f t="shared" si="5"/>
        <v>0</v>
      </c>
      <c r="Y35" s="295">
        <f t="shared" si="5"/>
        <v>0</v>
      </c>
      <c r="Z35" s="295">
        <f t="shared" si="5"/>
        <v>0</v>
      </c>
      <c r="AA35" s="295">
        <f t="shared" si="5"/>
        <v>0</v>
      </c>
      <c r="AB35" s="295">
        <f t="shared" si="5"/>
        <v>0</v>
      </c>
      <c r="AC35" s="295">
        <f t="shared" si="5"/>
        <v>0</v>
      </c>
      <c r="AD35" s="295">
        <f t="shared" si="5"/>
        <v>0</v>
      </c>
      <c r="AE35" s="295">
        <f t="shared" si="5"/>
        <v>0</v>
      </c>
      <c r="AF35" s="295">
        <f t="shared" si="5"/>
        <v>0</v>
      </c>
      <c r="AG35" s="295">
        <f t="shared" si="5"/>
        <v>0</v>
      </c>
      <c r="AH35" s="295">
        <f t="shared" si="5"/>
        <v>0</v>
      </c>
      <c r="AI35" s="295">
        <f t="shared" si="5"/>
        <v>50000</v>
      </c>
      <c r="AJ35" s="295">
        <f t="shared" si="5"/>
        <v>50000</v>
      </c>
      <c r="AK35" s="295">
        <f t="shared" si="5"/>
        <v>50000</v>
      </c>
      <c r="AL35" s="295">
        <f t="shared" si="5"/>
        <v>50000</v>
      </c>
      <c r="AM35" s="234"/>
      <c r="AN35" s="295">
        <f t="shared" si="4"/>
        <v>0</v>
      </c>
      <c r="AO35" s="295">
        <f t="shared" si="4"/>
        <v>0</v>
      </c>
      <c r="AP35" s="295">
        <f t="shared" si="4"/>
        <v>0</v>
      </c>
      <c r="AQ35" s="295">
        <f t="shared" si="4"/>
        <v>0</v>
      </c>
      <c r="AR35" s="295">
        <f t="shared" si="4"/>
        <v>0</v>
      </c>
      <c r="AS35" s="295">
        <f t="shared" si="4"/>
        <v>0</v>
      </c>
      <c r="AT35" s="295">
        <f t="shared" si="4"/>
        <v>0</v>
      </c>
      <c r="AU35" s="295">
        <f t="shared" si="4"/>
        <v>0</v>
      </c>
      <c r="AV35" s="295">
        <f t="shared" si="4"/>
        <v>0</v>
      </c>
      <c r="AW35" s="295">
        <f t="shared" si="4"/>
        <v>0</v>
      </c>
      <c r="AX35" s="295">
        <f t="shared" si="4"/>
        <v>0</v>
      </c>
      <c r="AY35" s="295">
        <f t="shared" si="4"/>
        <v>0</v>
      </c>
      <c r="AZ35" s="295">
        <f t="shared" si="4"/>
        <v>0</v>
      </c>
      <c r="BA35" s="295">
        <f t="shared" si="4"/>
        <v>0</v>
      </c>
      <c r="BB35" s="295">
        <f t="shared" si="4"/>
        <v>200000</v>
      </c>
      <c r="BD35" s="294">
        <f t="shared" si="6"/>
        <v>0</v>
      </c>
    </row>
    <row r="36" spans="1:56" x14ac:dyDescent="0.25">
      <c r="A36" s="290" t="s">
        <v>139</v>
      </c>
      <c r="B36" s="249" t="str">
        <f>VLOOKUP(A36,'DFP-Com'!$A$16:$B$50,2,1)</f>
        <v xml:space="preserve">     3.1 d Other</v>
      </c>
      <c r="C36" s="240" t="s">
        <v>207</v>
      </c>
      <c r="D36" s="229">
        <v>200000</v>
      </c>
      <c r="E36" s="290" t="s">
        <v>208</v>
      </c>
      <c r="Q36" s="293">
        <v>0.25</v>
      </c>
      <c r="R36" s="293">
        <v>0.25</v>
      </c>
      <c r="S36" s="293">
        <v>0.25</v>
      </c>
      <c r="T36" s="293">
        <v>0.25</v>
      </c>
      <c r="U36" s="293">
        <f t="shared" si="0"/>
        <v>1</v>
      </c>
      <c r="X36" s="295">
        <f t="shared" si="5"/>
        <v>0</v>
      </c>
      <c r="Y36" s="295">
        <f t="shared" si="5"/>
        <v>0</v>
      </c>
      <c r="Z36" s="295">
        <f t="shared" si="5"/>
        <v>0</v>
      </c>
      <c r="AA36" s="295">
        <f t="shared" si="5"/>
        <v>0</v>
      </c>
      <c r="AB36" s="295">
        <f t="shared" si="5"/>
        <v>0</v>
      </c>
      <c r="AC36" s="295">
        <f t="shared" si="5"/>
        <v>0</v>
      </c>
      <c r="AD36" s="295">
        <f t="shared" si="5"/>
        <v>0</v>
      </c>
      <c r="AE36" s="295">
        <f t="shared" si="5"/>
        <v>0</v>
      </c>
      <c r="AF36" s="295">
        <f t="shared" si="5"/>
        <v>0</v>
      </c>
      <c r="AG36" s="295">
        <f t="shared" si="5"/>
        <v>0</v>
      </c>
      <c r="AH36" s="295">
        <f t="shared" si="5"/>
        <v>0</v>
      </c>
      <c r="AI36" s="295">
        <f t="shared" si="5"/>
        <v>50000</v>
      </c>
      <c r="AJ36" s="295">
        <f t="shared" si="5"/>
        <v>50000</v>
      </c>
      <c r="AK36" s="295">
        <f t="shared" si="5"/>
        <v>50000</v>
      </c>
      <c r="AL36" s="295">
        <f t="shared" si="5"/>
        <v>50000</v>
      </c>
      <c r="AM36" s="234"/>
      <c r="AN36" s="295">
        <f t="shared" ref="AN36:BB38" si="7">IF(AN$3=$E36,$D36,0)</f>
        <v>0</v>
      </c>
      <c r="AO36" s="295">
        <f t="shared" si="7"/>
        <v>0</v>
      </c>
      <c r="AP36" s="295">
        <f t="shared" si="7"/>
        <v>0</v>
      </c>
      <c r="AQ36" s="295">
        <f t="shared" si="7"/>
        <v>0</v>
      </c>
      <c r="AR36" s="295">
        <f t="shared" si="7"/>
        <v>0</v>
      </c>
      <c r="AS36" s="295">
        <f t="shared" si="7"/>
        <v>0</v>
      </c>
      <c r="AT36" s="295">
        <f t="shared" si="7"/>
        <v>0</v>
      </c>
      <c r="AU36" s="295">
        <f t="shared" si="7"/>
        <v>0</v>
      </c>
      <c r="AV36" s="295">
        <f t="shared" si="7"/>
        <v>0</v>
      </c>
      <c r="AW36" s="295">
        <f t="shared" si="7"/>
        <v>0</v>
      </c>
      <c r="AX36" s="295">
        <f t="shared" si="7"/>
        <v>0</v>
      </c>
      <c r="AY36" s="295">
        <f t="shared" si="7"/>
        <v>0</v>
      </c>
      <c r="AZ36" s="295">
        <f t="shared" si="7"/>
        <v>0</v>
      </c>
      <c r="BA36" s="295">
        <f t="shared" si="7"/>
        <v>0</v>
      </c>
      <c r="BB36" s="295">
        <f t="shared" si="7"/>
        <v>200000</v>
      </c>
      <c r="BD36" s="294">
        <f t="shared" si="6"/>
        <v>0</v>
      </c>
    </row>
    <row r="37" spans="1:56" x14ac:dyDescent="0.25">
      <c r="A37" s="290" t="s">
        <v>142</v>
      </c>
      <c r="B37" s="249" t="str">
        <f>VLOOKUP(A37,'DFP-Com'!$A$16:$B$50,2,1)</f>
        <v xml:space="preserve">     4.1.c  Audit</v>
      </c>
      <c r="C37" s="240" t="s">
        <v>180</v>
      </c>
      <c r="D37" s="316">
        <v>90000</v>
      </c>
      <c r="E37" s="290" t="s">
        <v>193</v>
      </c>
      <c r="K37" s="232"/>
      <c r="L37" s="232">
        <f>1/6</f>
        <v>0.16666666666666666</v>
      </c>
      <c r="M37" s="232">
        <f>1/6</f>
        <v>0.16666666666666666</v>
      </c>
      <c r="P37" s="232">
        <f>1/6</f>
        <v>0.16666666666666666</v>
      </c>
      <c r="Q37" s="232">
        <f>1/6</f>
        <v>0.16666666666666666</v>
      </c>
      <c r="T37" s="232">
        <f>1/3</f>
        <v>0.33333333333333331</v>
      </c>
      <c r="U37" s="293">
        <f t="shared" si="0"/>
        <v>1</v>
      </c>
      <c r="X37" s="295">
        <f t="shared" si="5"/>
        <v>0</v>
      </c>
      <c r="Y37" s="295">
        <f t="shared" si="5"/>
        <v>0</v>
      </c>
      <c r="Z37" s="295">
        <f t="shared" si="5"/>
        <v>0</v>
      </c>
      <c r="AA37" s="295">
        <f t="shared" si="5"/>
        <v>0</v>
      </c>
      <c r="AB37" s="295">
        <f t="shared" si="5"/>
        <v>0</v>
      </c>
      <c r="AC37" s="295">
        <f t="shared" si="5"/>
        <v>0</v>
      </c>
      <c r="AD37" s="295">
        <f t="shared" si="5"/>
        <v>15000</v>
      </c>
      <c r="AE37" s="295">
        <f t="shared" si="5"/>
        <v>15000</v>
      </c>
      <c r="AF37" s="295">
        <f t="shared" si="5"/>
        <v>0</v>
      </c>
      <c r="AG37" s="295">
        <f t="shared" si="5"/>
        <v>0</v>
      </c>
      <c r="AH37" s="295">
        <f t="shared" si="5"/>
        <v>15000</v>
      </c>
      <c r="AI37" s="295">
        <f t="shared" si="5"/>
        <v>15000</v>
      </c>
      <c r="AJ37" s="295">
        <f t="shared" si="5"/>
        <v>0</v>
      </c>
      <c r="AK37" s="295">
        <f t="shared" si="5"/>
        <v>0</v>
      </c>
      <c r="AL37" s="295">
        <f t="shared" si="5"/>
        <v>30000</v>
      </c>
      <c r="AM37" s="234"/>
      <c r="AN37" s="295">
        <f t="shared" si="7"/>
        <v>0</v>
      </c>
      <c r="AO37" s="295">
        <f t="shared" si="7"/>
        <v>0</v>
      </c>
      <c r="AP37" s="295">
        <f t="shared" si="7"/>
        <v>0</v>
      </c>
      <c r="AQ37" s="295">
        <f t="shared" si="7"/>
        <v>0</v>
      </c>
      <c r="AR37" s="295">
        <f t="shared" si="7"/>
        <v>90000</v>
      </c>
      <c r="AS37" s="295">
        <f t="shared" si="7"/>
        <v>0</v>
      </c>
      <c r="AT37" s="295">
        <f t="shared" si="7"/>
        <v>0</v>
      </c>
      <c r="AU37" s="295">
        <f t="shared" si="7"/>
        <v>0</v>
      </c>
      <c r="AV37" s="295">
        <f t="shared" si="7"/>
        <v>0</v>
      </c>
      <c r="AW37" s="295">
        <f t="shared" si="7"/>
        <v>0</v>
      </c>
      <c r="AX37" s="295">
        <f t="shared" si="7"/>
        <v>0</v>
      </c>
      <c r="AY37" s="295">
        <f t="shared" si="7"/>
        <v>0</v>
      </c>
      <c r="AZ37" s="295">
        <f t="shared" si="7"/>
        <v>0</v>
      </c>
      <c r="BA37" s="295">
        <f t="shared" si="7"/>
        <v>0</v>
      </c>
      <c r="BB37" s="295">
        <f t="shared" si="7"/>
        <v>0</v>
      </c>
      <c r="BD37" s="294">
        <f t="shared" si="6"/>
        <v>0</v>
      </c>
    </row>
    <row r="38" spans="1:56" x14ac:dyDescent="0.25">
      <c r="A38" s="290" t="s">
        <v>143</v>
      </c>
      <c r="B38" s="249" t="str">
        <f>VLOOKUP(A38,'DFP-Com'!$A$16:$B$50,2,1)</f>
        <v xml:space="preserve">     4.1.d  Other</v>
      </c>
      <c r="C38" s="240" t="s">
        <v>181</v>
      </c>
      <c r="D38" s="306">
        <v>11500</v>
      </c>
      <c r="E38" s="290" t="s">
        <v>192</v>
      </c>
      <c r="G38" s="305">
        <v>0.67</v>
      </c>
      <c r="H38" s="311">
        <v>0.33</v>
      </c>
      <c r="U38" s="293">
        <f t="shared" si="0"/>
        <v>1</v>
      </c>
      <c r="X38" s="295">
        <f t="shared" ref="X38:AL38" si="8">F38*$D38</f>
        <v>0</v>
      </c>
      <c r="Y38" s="295">
        <f t="shared" si="8"/>
        <v>7705.0000000000009</v>
      </c>
      <c r="Z38" s="295">
        <f t="shared" si="8"/>
        <v>3795</v>
      </c>
      <c r="AA38" s="295">
        <f t="shared" si="8"/>
        <v>0</v>
      </c>
      <c r="AB38" s="295">
        <f t="shared" si="8"/>
        <v>0</v>
      </c>
      <c r="AC38" s="295">
        <f t="shared" si="8"/>
        <v>0</v>
      </c>
      <c r="AD38" s="295">
        <f t="shared" si="8"/>
        <v>0</v>
      </c>
      <c r="AE38" s="295">
        <f t="shared" si="8"/>
        <v>0</v>
      </c>
      <c r="AF38" s="295">
        <f t="shared" si="8"/>
        <v>0</v>
      </c>
      <c r="AG38" s="295">
        <f t="shared" si="8"/>
        <v>0</v>
      </c>
      <c r="AH38" s="295">
        <f t="shared" si="8"/>
        <v>0</v>
      </c>
      <c r="AI38" s="295">
        <f t="shared" si="8"/>
        <v>0</v>
      </c>
      <c r="AJ38" s="295">
        <f t="shared" si="8"/>
        <v>0</v>
      </c>
      <c r="AK38" s="295">
        <f t="shared" si="8"/>
        <v>0</v>
      </c>
      <c r="AL38" s="295">
        <f t="shared" si="8"/>
        <v>0</v>
      </c>
      <c r="AM38" s="234"/>
      <c r="AN38" s="295">
        <f t="shared" si="7"/>
        <v>0</v>
      </c>
      <c r="AO38" s="295">
        <f t="shared" si="7"/>
        <v>11500</v>
      </c>
      <c r="AP38" s="295">
        <f t="shared" si="7"/>
        <v>0</v>
      </c>
      <c r="AQ38" s="295">
        <f t="shared" si="7"/>
        <v>0</v>
      </c>
      <c r="AR38" s="295">
        <f t="shared" si="7"/>
        <v>0</v>
      </c>
      <c r="AS38" s="295">
        <f t="shared" si="7"/>
        <v>0</v>
      </c>
      <c r="AT38" s="295">
        <f t="shared" si="7"/>
        <v>0</v>
      </c>
      <c r="AU38" s="295">
        <f t="shared" si="7"/>
        <v>0</v>
      </c>
      <c r="AV38" s="295">
        <f t="shared" si="7"/>
        <v>0</v>
      </c>
      <c r="AW38" s="295">
        <f t="shared" si="7"/>
        <v>0</v>
      </c>
      <c r="AX38" s="295">
        <f t="shared" si="7"/>
        <v>0</v>
      </c>
      <c r="AY38" s="295">
        <f t="shared" si="7"/>
        <v>0</v>
      </c>
      <c r="AZ38" s="295">
        <f t="shared" si="7"/>
        <v>0</v>
      </c>
      <c r="BA38" s="295">
        <f t="shared" si="7"/>
        <v>0</v>
      </c>
      <c r="BB38" s="295">
        <f t="shared" si="7"/>
        <v>0</v>
      </c>
      <c r="BD38" s="294">
        <f t="shared" si="6"/>
        <v>0</v>
      </c>
    </row>
    <row r="39" spans="1:56" x14ac:dyDescent="0.25">
      <c r="B39" s="249"/>
      <c r="C39" s="240"/>
      <c r="D39" s="229"/>
      <c r="Q39" s="293"/>
      <c r="R39" s="293"/>
      <c r="S39" s="293"/>
      <c r="T39" s="293"/>
      <c r="U39" s="293"/>
      <c r="X39" s="295"/>
      <c r="Y39" s="295"/>
      <c r="Z39" s="295"/>
      <c r="AA39" s="295"/>
      <c r="AB39" s="295"/>
      <c r="AC39" s="295"/>
      <c r="AD39" s="295"/>
      <c r="AE39" s="295"/>
      <c r="AF39" s="295"/>
      <c r="AG39" s="295"/>
      <c r="AH39" s="295"/>
      <c r="AI39" s="295"/>
      <c r="AJ39" s="295"/>
      <c r="AK39" s="295"/>
      <c r="AL39" s="295"/>
      <c r="AM39" s="234"/>
      <c r="AN39" s="295"/>
      <c r="AO39" s="295"/>
      <c r="AP39" s="295"/>
      <c r="AQ39" s="295"/>
      <c r="AR39" s="295"/>
      <c r="AS39" s="295"/>
      <c r="AT39" s="295"/>
      <c r="AU39" s="295"/>
      <c r="AV39" s="295"/>
      <c r="AW39" s="295"/>
      <c r="AX39" s="295"/>
      <c r="AY39" s="295"/>
      <c r="AZ39" s="295"/>
      <c r="BA39" s="295"/>
      <c r="BB39" s="295"/>
      <c r="BD39" s="294"/>
    </row>
    <row r="40" spans="1:56" x14ac:dyDescent="0.25">
      <c r="B40" s="231" t="e">
        <f>VLOOKUP(A40,'DFP-Com'!$A$16:$B$50,2,1)</f>
        <v>#N/A</v>
      </c>
      <c r="C40" s="290" t="s">
        <v>197</v>
      </c>
      <c r="D40" s="229"/>
      <c r="X40" s="295">
        <f t="shared" ref="X40:AL40" si="9">F40*$D40</f>
        <v>0</v>
      </c>
      <c r="Y40" s="295">
        <f t="shared" si="9"/>
        <v>0</v>
      </c>
      <c r="Z40" s="295">
        <f t="shared" si="9"/>
        <v>0</v>
      </c>
      <c r="AA40" s="295">
        <f t="shared" si="9"/>
        <v>0</v>
      </c>
      <c r="AB40" s="295">
        <f t="shared" si="9"/>
        <v>0</v>
      </c>
      <c r="AC40" s="295">
        <f t="shared" si="9"/>
        <v>0</v>
      </c>
      <c r="AD40" s="295">
        <f t="shared" si="9"/>
        <v>0</v>
      </c>
      <c r="AE40" s="295">
        <f t="shared" si="9"/>
        <v>0</v>
      </c>
      <c r="AF40" s="295">
        <f t="shared" si="9"/>
        <v>0</v>
      </c>
      <c r="AG40" s="295">
        <f t="shared" si="9"/>
        <v>0</v>
      </c>
      <c r="AH40" s="295">
        <f t="shared" si="9"/>
        <v>0</v>
      </c>
      <c r="AI40" s="295">
        <f t="shared" si="9"/>
        <v>0</v>
      </c>
      <c r="AJ40" s="295">
        <f t="shared" si="9"/>
        <v>0</v>
      </c>
      <c r="AK40" s="295">
        <f t="shared" si="9"/>
        <v>0</v>
      </c>
      <c r="AL40" s="295">
        <f t="shared" si="9"/>
        <v>0</v>
      </c>
      <c r="AM40" s="234"/>
      <c r="AN40" s="295">
        <f t="shared" ref="AN40:BB40" si="10">IF(AN$3=$E40,$D40,0)</f>
        <v>0</v>
      </c>
      <c r="AO40" s="295">
        <f t="shared" si="10"/>
        <v>0</v>
      </c>
      <c r="AP40" s="295">
        <f t="shared" si="10"/>
        <v>0</v>
      </c>
      <c r="AQ40" s="295">
        <f t="shared" si="10"/>
        <v>0</v>
      </c>
      <c r="AR40" s="295">
        <f t="shared" si="10"/>
        <v>0</v>
      </c>
      <c r="AS40" s="295">
        <f t="shared" si="10"/>
        <v>0</v>
      </c>
      <c r="AT40" s="295">
        <f t="shared" si="10"/>
        <v>0</v>
      </c>
      <c r="AU40" s="295">
        <f t="shared" si="10"/>
        <v>0</v>
      </c>
      <c r="AV40" s="295">
        <f t="shared" si="10"/>
        <v>0</v>
      </c>
      <c r="AW40" s="295">
        <f t="shared" si="10"/>
        <v>0</v>
      </c>
      <c r="AX40" s="295">
        <f t="shared" si="10"/>
        <v>0</v>
      </c>
      <c r="AY40" s="295">
        <f t="shared" si="10"/>
        <v>0</v>
      </c>
      <c r="AZ40" s="295">
        <f t="shared" si="10"/>
        <v>0</v>
      </c>
      <c r="BA40" s="295">
        <f t="shared" si="10"/>
        <v>0</v>
      </c>
      <c r="BB40" s="295">
        <f t="shared" si="10"/>
        <v>0</v>
      </c>
      <c r="BD40" s="294">
        <f t="shared" ref="BD40:BD55" si="11">SUM(X40:AL40)-SUM(AN40:BB40)</f>
        <v>0</v>
      </c>
    </row>
    <row r="41" spans="1:56" x14ac:dyDescent="0.25">
      <c r="D41" s="290" t="s">
        <v>162</v>
      </c>
      <c r="F41" s="290" t="s">
        <v>145</v>
      </c>
      <c r="G41" s="290" t="s">
        <v>149</v>
      </c>
      <c r="H41" s="307" t="s">
        <v>150</v>
      </c>
      <c r="I41" s="290" t="s">
        <v>151</v>
      </c>
      <c r="J41" s="290" t="s">
        <v>152</v>
      </c>
      <c r="K41" s="290" t="s">
        <v>153</v>
      </c>
      <c r="L41" s="290" t="s">
        <v>154</v>
      </c>
      <c r="M41" s="290" t="s">
        <v>155</v>
      </c>
      <c r="N41" s="290" t="s">
        <v>156</v>
      </c>
      <c r="O41" s="290" t="s">
        <v>157</v>
      </c>
      <c r="P41" s="290" t="s">
        <v>158</v>
      </c>
      <c r="Q41" s="290" t="s">
        <v>159</v>
      </c>
      <c r="R41" s="290" t="s">
        <v>160</v>
      </c>
      <c r="S41" s="290" t="s">
        <v>161</v>
      </c>
      <c r="T41" s="290" t="s">
        <v>163</v>
      </c>
      <c r="U41" s="290" t="s">
        <v>162</v>
      </c>
      <c r="X41" s="295"/>
      <c r="Y41" s="295"/>
      <c r="Z41" s="295"/>
      <c r="AA41" s="295"/>
      <c r="AB41" s="295"/>
      <c r="AC41" s="295"/>
      <c r="AD41" s="295"/>
      <c r="AE41" s="295"/>
      <c r="AF41" s="295"/>
      <c r="AG41" s="295"/>
      <c r="AH41" s="295"/>
      <c r="AI41" s="295"/>
      <c r="AJ41" s="295"/>
      <c r="AK41" s="295"/>
      <c r="AL41" s="295"/>
      <c r="AM41" s="234"/>
      <c r="AN41" s="234"/>
      <c r="AO41" s="234"/>
      <c r="AP41" s="234"/>
      <c r="AQ41" s="234"/>
      <c r="AR41" s="234"/>
      <c r="AS41" s="234"/>
      <c r="AT41" s="234"/>
      <c r="AU41" s="234"/>
      <c r="AV41" s="234"/>
      <c r="AW41" s="234"/>
      <c r="AX41" s="234"/>
      <c r="AY41" s="234"/>
      <c r="AZ41" s="234"/>
      <c r="BA41" s="234"/>
      <c r="BB41" s="234"/>
      <c r="BD41" s="294">
        <f t="shared" si="11"/>
        <v>0</v>
      </c>
    </row>
    <row r="42" spans="1:56" x14ac:dyDescent="0.25">
      <c r="A42" s="230" t="s">
        <v>189</v>
      </c>
      <c r="B42" s="230"/>
      <c r="D42" s="229"/>
      <c r="X42" s="244"/>
      <c r="Y42" s="295"/>
      <c r="Z42" s="295"/>
      <c r="AA42" s="295"/>
      <c r="AB42" s="295"/>
      <c r="AC42" s="295"/>
      <c r="AD42" s="295"/>
      <c r="AE42" s="295"/>
      <c r="AF42" s="295"/>
      <c r="AG42" s="295"/>
      <c r="AH42" s="295"/>
      <c r="AI42" s="295"/>
      <c r="AJ42" s="295"/>
      <c r="AK42" s="295"/>
      <c r="AL42" s="295"/>
      <c r="AM42" s="234"/>
      <c r="AN42" s="233" t="s">
        <v>145</v>
      </c>
      <c r="AO42" s="233" t="s">
        <v>149</v>
      </c>
      <c r="AP42" s="233" t="s">
        <v>150</v>
      </c>
      <c r="AQ42" s="233" t="s">
        <v>151</v>
      </c>
      <c r="AR42" s="233" t="s">
        <v>145</v>
      </c>
      <c r="AS42" s="233" t="s">
        <v>149</v>
      </c>
      <c r="AT42" s="233" t="s">
        <v>150</v>
      </c>
      <c r="AU42" s="233" t="s">
        <v>151</v>
      </c>
      <c r="AV42" s="233" t="s">
        <v>145</v>
      </c>
      <c r="AW42" s="233" t="s">
        <v>149</v>
      </c>
      <c r="AX42" s="233" t="s">
        <v>150</v>
      </c>
      <c r="AY42" s="233" t="s">
        <v>151</v>
      </c>
      <c r="AZ42" s="233" t="s">
        <v>145</v>
      </c>
      <c r="BA42" s="233" t="s">
        <v>149</v>
      </c>
      <c r="BB42" s="233" t="s">
        <v>150</v>
      </c>
      <c r="BD42" s="294">
        <f t="shared" si="11"/>
        <v>0</v>
      </c>
    </row>
    <row r="43" spans="1:56" x14ac:dyDescent="0.25">
      <c r="A43" s="290" t="s">
        <v>130</v>
      </c>
      <c r="B43" s="238" t="str">
        <f>VLOOKUP(A43,'DFP-Com'!$A$16:$B$50,2,1)</f>
        <v xml:space="preserve">     1.3.b  Education Project Coordination team*</v>
      </c>
      <c r="C43" s="290" t="s">
        <v>168</v>
      </c>
      <c r="D43" s="229">
        <f t="shared" ref="D43:D49" si="12">SUM(F43:T43)</f>
        <v>121400</v>
      </c>
      <c r="E43" s="290" t="s">
        <v>192</v>
      </c>
      <c r="G43" s="297">
        <v>4400</v>
      </c>
      <c r="H43" s="312">
        <v>9000</v>
      </c>
      <c r="I43" s="297">
        <v>9000</v>
      </c>
      <c r="J43" s="297">
        <v>9000</v>
      </c>
      <c r="K43" s="297">
        <v>9000</v>
      </c>
      <c r="L43" s="297">
        <v>9000</v>
      </c>
      <c r="M43" s="297">
        <v>9000</v>
      </c>
      <c r="N43" s="297">
        <v>9000</v>
      </c>
      <c r="O43" s="297">
        <v>9000</v>
      </c>
      <c r="P43" s="297">
        <v>9000</v>
      </c>
      <c r="Q43" s="297">
        <v>9000</v>
      </c>
      <c r="R43" s="297">
        <v>9000</v>
      </c>
      <c r="S43" s="297">
        <v>9000</v>
      </c>
      <c r="T43" s="297">
        <v>9000</v>
      </c>
      <c r="U43" s="297">
        <f>SUM(F43:T43)</f>
        <v>121400</v>
      </c>
      <c r="X43" s="244">
        <f t="shared" ref="X43:AL51" si="13">F43</f>
        <v>0</v>
      </c>
      <c r="Y43" s="295">
        <f t="shared" si="13"/>
        <v>4400</v>
      </c>
      <c r="Z43" s="295">
        <f t="shared" si="13"/>
        <v>9000</v>
      </c>
      <c r="AA43" s="295">
        <f t="shared" si="13"/>
        <v>9000</v>
      </c>
      <c r="AB43" s="295">
        <f t="shared" si="13"/>
        <v>9000</v>
      </c>
      <c r="AC43" s="295">
        <f t="shared" si="13"/>
        <v>9000</v>
      </c>
      <c r="AD43" s="295">
        <f t="shared" si="13"/>
        <v>9000</v>
      </c>
      <c r="AE43" s="295">
        <f t="shared" si="13"/>
        <v>9000</v>
      </c>
      <c r="AF43" s="295">
        <f t="shared" si="13"/>
        <v>9000</v>
      </c>
      <c r="AG43" s="295">
        <f t="shared" si="13"/>
        <v>9000</v>
      </c>
      <c r="AH43" s="295">
        <f t="shared" si="13"/>
        <v>9000</v>
      </c>
      <c r="AI43" s="295">
        <f t="shared" si="13"/>
        <v>9000</v>
      </c>
      <c r="AJ43" s="295">
        <f t="shared" si="13"/>
        <v>9000</v>
      </c>
      <c r="AK43" s="295">
        <f t="shared" si="13"/>
        <v>9000</v>
      </c>
      <c r="AL43" s="295">
        <f t="shared" si="13"/>
        <v>9000</v>
      </c>
      <c r="AM43" s="234"/>
      <c r="AN43" s="295">
        <f>IF(AN$42=$E43,SUM(X43:AA43),0)</f>
        <v>0</v>
      </c>
      <c r="AO43" s="295">
        <f t="shared" ref="AO43:AY51" si="14">IF(AO$42=$E43,SUM(Y43:AB43),0)</f>
        <v>31400</v>
      </c>
      <c r="AP43" s="295">
        <f t="shared" si="14"/>
        <v>0</v>
      </c>
      <c r="AQ43" s="295">
        <f t="shared" si="14"/>
        <v>0</v>
      </c>
      <c r="AR43" s="295">
        <f t="shared" si="14"/>
        <v>0</v>
      </c>
      <c r="AS43" s="295">
        <f t="shared" si="14"/>
        <v>36000</v>
      </c>
      <c r="AT43" s="295">
        <f t="shared" si="14"/>
        <v>0</v>
      </c>
      <c r="AU43" s="295">
        <f t="shared" si="14"/>
        <v>0</v>
      </c>
      <c r="AV43" s="295">
        <f t="shared" si="14"/>
        <v>0</v>
      </c>
      <c r="AW43" s="295">
        <f t="shared" si="14"/>
        <v>36000</v>
      </c>
      <c r="AX43" s="295">
        <f t="shared" si="14"/>
        <v>0</v>
      </c>
      <c r="AY43" s="295">
        <f t="shared" si="14"/>
        <v>0</v>
      </c>
      <c r="AZ43" s="295">
        <f>IF(AZ$42=$E43,SUM(AJ43:$AL43),0)</f>
        <v>0</v>
      </c>
      <c r="BA43" s="295">
        <f>IF(BA$42=$E43,SUM(AK43:$AL43),0)</f>
        <v>18000</v>
      </c>
      <c r="BB43" s="295">
        <f>IF(BB$42=$E43,SUM(AL43:$AL43),0)</f>
        <v>0</v>
      </c>
      <c r="BD43" s="294">
        <f t="shared" si="11"/>
        <v>0</v>
      </c>
    </row>
    <row r="44" spans="1:56" x14ac:dyDescent="0.25">
      <c r="A44" s="290" t="s">
        <v>130</v>
      </c>
      <c r="B44" s="238" t="str">
        <f>VLOOKUP(A44,'DFP-Com'!$A$16:$B$50,2,1)</f>
        <v xml:space="preserve">     1.3.b  Education Project Coordination team*</v>
      </c>
      <c r="C44" s="290" t="s">
        <v>187</v>
      </c>
      <c r="D44" s="229">
        <f t="shared" si="12"/>
        <v>57000</v>
      </c>
      <c r="E44" s="290" t="s">
        <v>164</v>
      </c>
      <c r="G44" s="290">
        <v>0</v>
      </c>
      <c r="H44" s="312">
        <v>3000</v>
      </c>
      <c r="I44" s="297">
        <v>4500</v>
      </c>
      <c r="J44" s="297">
        <v>4500</v>
      </c>
      <c r="K44" s="297">
        <v>4500</v>
      </c>
      <c r="L44" s="297">
        <v>4500</v>
      </c>
      <c r="M44" s="297">
        <v>4500</v>
      </c>
      <c r="N44" s="297">
        <v>4500</v>
      </c>
      <c r="O44" s="297">
        <v>4500</v>
      </c>
      <c r="P44" s="297">
        <v>4500</v>
      </c>
      <c r="Q44" s="297">
        <v>4500</v>
      </c>
      <c r="R44" s="297">
        <v>4500</v>
      </c>
      <c r="S44" s="297">
        <v>4500</v>
      </c>
      <c r="T44" s="297">
        <v>4500</v>
      </c>
      <c r="U44" s="297">
        <f t="shared" ref="U44:U55" si="15">SUM(F44:T44)</f>
        <v>57000</v>
      </c>
      <c r="X44" s="244">
        <f t="shared" si="13"/>
        <v>0</v>
      </c>
      <c r="Y44" s="295">
        <f t="shared" si="13"/>
        <v>0</v>
      </c>
      <c r="Z44" s="295">
        <f t="shared" si="13"/>
        <v>3000</v>
      </c>
      <c r="AA44" s="295">
        <f t="shared" si="13"/>
        <v>4500</v>
      </c>
      <c r="AB44" s="295">
        <f t="shared" si="13"/>
        <v>4500</v>
      </c>
      <c r="AC44" s="295">
        <f t="shared" si="13"/>
        <v>4500</v>
      </c>
      <c r="AD44" s="295">
        <f t="shared" si="13"/>
        <v>4500</v>
      </c>
      <c r="AE44" s="295">
        <f t="shared" si="13"/>
        <v>4500</v>
      </c>
      <c r="AF44" s="295">
        <f t="shared" si="13"/>
        <v>4500</v>
      </c>
      <c r="AG44" s="295">
        <f t="shared" si="13"/>
        <v>4500</v>
      </c>
      <c r="AH44" s="295">
        <f t="shared" si="13"/>
        <v>4500</v>
      </c>
      <c r="AI44" s="295">
        <f t="shared" si="13"/>
        <v>4500</v>
      </c>
      <c r="AJ44" s="295">
        <f t="shared" si="13"/>
        <v>4500</v>
      </c>
      <c r="AK44" s="295">
        <f t="shared" si="13"/>
        <v>4500</v>
      </c>
      <c r="AL44" s="295">
        <f t="shared" si="13"/>
        <v>4500</v>
      </c>
      <c r="AM44" s="234"/>
      <c r="AN44" s="295">
        <f t="shared" ref="AN44:AN51" si="16">IF(AN$42=$E44,SUM(X44:AA44),0)</f>
        <v>0</v>
      </c>
      <c r="AO44" s="295">
        <f t="shared" si="14"/>
        <v>0</v>
      </c>
      <c r="AP44" s="295">
        <f t="shared" si="14"/>
        <v>16500</v>
      </c>
      <c r="AQ44" s="295">
        <f t="shared" si="14"/>
        <v>0</v>
      </c>
      <c r="AR44" s="295">
        <f t="shared" si="14"/>
        <v>0</v>
      </c>
      <c r="AS44" s="295">
        <f t="shared" si="14"/>
        <v>0</v>
      </c>
      <c r="AT44" s="295">
        <f t="shared" si="14"/>
        <v>18000</v>
      </c>
      <c r="AU44" s="295">
        <f t="shared" si="14"/>
        <v>0</v>
      </c>
      <c r="AV44" s="295">
        <f t="shared" si="14"/>
        <v>0</v>
      </c>
      <c r="AW44" s="295">
        <f t="shared" si="14"/>
        <v>0</v>
      </c>
      <c r="AX44" s="295">
        <f t="shared" si="14"/>
        <v>18000</v>
      </c>
      <c r="AY44" s="295">
        <f t="shared" si="14"/>
        <v>0</v>
      </c>
      <c r="AZ44" s="295">
        <f>IF(AZ$42=$E44,SUM(AJ44:$AL44),0)</f>
        <v>0</v>
      </c>
      <c r="BA44" s="295">
        <f>IF(BA$42=$E44,SUM(AK44:$AL44),0)</f>
        <v>0</v>
      </c>
      <c r="BB44" s="295">
        <f>IF(BB$42=$E44,SUM(AL44:$AL44),0)</f>
        <v>4500</v>
      </c>
      <c r="BD44" s="294">
        <f t="shared" si="11"/>
        <v>0</v>
      </c>
    </row>
    <row r="45" spans="1:56" x14ac:dyDescent="0.25">
      <c r="A45" s="290" t="s">
        <v>140</v>
      </c>
      <c r="B45" s="249" t="str">
        <f>VLOOKUP(A45,'DFP-Com'!$A$16:$B$50,2,1)</f>
        <v xml:space="preserve">     4.1.a  Staff Compensation*</v>
      </c>
      <c r="C45" s="290" t="s">
        <v>179</v>
      </c>
      <c r="D45" s="229">
        <f t="shared" si="12"/>
        <v>181000</v>
      </c>
      <c r="E45" s="290" t="s">
        <v>194</v>
      </c>
      <c r="F45" s="297">
        <v>10000</v>
      </c>
      <c r="G45" s="297">
        <f>15000</f>
        <v>15000</v>
      </c>
      <c r="H45" s="312">
        <v>12000</v>
      </c>
      <c r="I45" s="297">
        <v>12000</v>
      </c>
      <c r="J45" s="297">
        <v>12000</v>
      </c>
      <c r="K45" s="297">
        <v>12000</v>
      </c>
      <c r="L45" s="297">
        <v>12000</v>
      </c>
      <c r="M45" s="297">
        <v>12000</v>
      </c>
      <c r="N45" s="297">
        <v>12000</v>
      </c>
      <c r="O45" s="297">
        <v>12000</v>
      </c>
      <c r="P45" s="297">
        <v>12000</v>
      </c>
      <c r="Q45" s="297">
        <v>12000</v>
      </c>
      <c r="R45" s="297">
        <v>12000</v>
      </c>
      <c r="S45" s="297">
        <v>12000</v>
      </c>
      <c r="T45" s="297">
        <v>12000</v>
      </c>
      <c r="U45" s="297">
        <f t="shared" si="15"/>
        <v>181000</v>
      </c>
      <c r="X45" s="244">
        <f t="shared" si="13"/>
        <v>10000</v>
      </c>
      <c r="Y45" s="295">
        <f t="shared" si="13"/>
        <v>15000</v>
      </c>
      <c r="Z45" s="295">
        <f t="shared" si="13"/>
        <v>12000</v>
      </c>
      <c r="AA45" s="295">
        <f t="shared" si="13"/>
        <v>12000</v>
      </c>
      <c r="AB45" s="295">
        <f t="shared" si="13"/>
        <v>12000</v>
      </c>
      <c r="AC45" s="295">
        <f t="shared" si="13"/>
        <v>12000</v>
      </c>
      <c r="AD45" s="295">
        <f t="shared" si="13"/>
        <v>12000</v>
      </c>
      <c r="AE45" s="295">
        <f t="shared" si="13"/>
        <v>12000</v>
      </c>
      <c r="AF45" s="295">
        <f t="shared" si="13"/>
        <v>12000</v>
      </c>
      <c r="AG45" s="295">
        <f t="shared" si="13"/>
        <v>12000</v>
      </c>
      <c r="AH45" s="295">
        <f t="shared" si="13"/>
        <v>12000</v>
      </c>
      <c r="AI45" s="295">
        <f t="shared" si="13"/>
        <v>12000</v>
      </c>
      <c r="AJ45" s="295">
        <f t="shared" si="13"/>
        <v>12000</v>
      </c>
      <c r="AK45" s="295">
        <f t="shared" si="13"/>
        <v>12000</v>
      </c>
      <c r="AL45" s="295">
        <f t="shared" si="13"/>
        <v>12000</v>
      </c>
      <c r="AM45" s="234"/>
      <c r="AN45" s="295">
        <f t="shared" si="16"/>
        <v>49000</v>
      </c>
      <c r="AO45" s="295">
        <f t="shared" si="14"/>
        <v>0</v>
      </c>
      <c r="AP45" s="295">
        <f t="shared" si="14"/>
        <v>0</v>
      </c>
      <c r="AQ45" s="295">
        <f t="shared" si="14"/>
        <v>0</v>
      </c>
      <c r="AR45" s="295">
        <f t="shared" si="14"/>
        <v>48000</v>
      </c>
      <c r="AS45" s="295">
        <f t="shared" si="14"/>
        <v>0</v>
      </c>
      <c r="AT45" s="295">
        <f t="shared" si="14"/>
        <v>0</v>
      </c>
      <c r="AU45" s="295">
        <f t="shared" si="14"/>
        <v>0</v>
      </c>
      <c r="AV45" s="295">
        <f t="shared" si="14"/>
        <v>48000</v>
      </c>
      <c r="AW45" s="295">
        <f t="shared" si="14"/>
        <v>0</v>
      </c>
      <c r="AX45" s="295">
        <f t="shared" si="14"/>
        <v>0</v>
      </c>
      <c r="AY45" s="295">
        <f t="shared" si="14"/>
        <v>0</v>
      </c>
      <c r="AZ45" s="295">
        <f>IF(AZ$42=$E45,SUM(AJ45:$AL45),0)</f>
        <v>36000</v>
      </c>
      <c r="BA45" s="295">
        <f>IF(BA$42=$E45,SUM(AK45:$AL45),0)</f>
        <v>0</v>
      </c>
      <c r="BB45" s="295">
        <f>IF(BB$42=$E45,SUM(AL45:$AL45),0)</f>
        <v>0</v>
      </c>
      <c r="BD45" s="294">
        <f t="shared" si="11"/>
        <v>0</v>
      </c>
    </row>
    <row r="46" spans="1:56" x14ac:dyDescent="0.25">
      <c r="A46" s="290" t="s">
        <v>140</v>
      </c>
      <c r="B46" s="249" t="str">
        <f>VLOOKUP(A46,'DFP-Com'!$A$16:$B$50,2,1)</f>
        <v xml:space="preserve">     4.1.a  Staff Compensation*</v>
      </c>
      <c r="C46" s="290" t="s">
        <v>227</v>
      </c>
      <c r="D46" s="229">
        <f t="shared" si="12"/>
        <v>57000</v>
      </c>
      <c r="E46" s="290" t="s">
        <v>164</v>
      </c>
      <c r="G46" s="297">
        <v>0</v>
      </c>
      <c r="H46" s="312">
        <f>3000</f>
        <v>3000</v>
      </c>
      <c r="I46" s="297">
        <v>4500</v>
      </c>
      <c r="J46" s="297">
        <v>4500</v>
      </c>
      <c r="K46" s="297">
        <v>4500</v>
      </c>
      <c r="L46" s="297">
        <v>4500</v>
      </c>
      <c r="M46" s="297">
        <v>4500</v>
      </c>
      <c r="N46" s="297">
        <v>4500</v>
      </c>
      <c r="O46" s="297">
        <v>4500</v>
      </c>
      <c r="P46" s="297">
        <v>4500</v>
      </c>
      <c r="Q46" s="297">
        <v>4500</v>
      </c>
      <c r="R46" s="297">
        <v>4500</v>
      </c>
      <c r="S46" s="297">
        <v>4500</v>
      </c>
      <c r="T46" s="297">
        <v>4500</v>
      </c>
      <c r="U46" s="297">
        <f t="shared" si="15"/>
        <v>57000</v>
      </c>
      <c r="X46" s="244">
        <f t="shared" si="13"/>
        <v>0</v>
      </c>
      <c r="Y46" s="295">
        <f t="shared" si="13"/>
        <v>0</v>
      </c>
      <c r="Z46" s="295">
        <f t="shared" si="13"/>
        <v>3000</v>
      </c>
      <c r="AA46" s="295">
        <f t="shared" si="13"/>
        <v>4500</v>
      </c>
      <c r="AB46" s="295">
        <f t="shared" si="13"/>
        <v>4500</v>
      </c>
      <c r="AC46" s="295">
        <f t="shared" si="13"/>
        <v>4500</v>
      </c>
      <c r="AD46" s="295">
        <f t="shared" si="13"/>
        <v>4500</v>
      </c>
      <c r="AE46" s="295">
        <f t="shared" si="13"/>
        <v>4500</v>
      </c>
      <c r="AF46" s="295">
        <f t="shared" si="13"/>
        <v>4500</v>
      </c>
      <c r="AG46" s="295">
        <f t="shared" si="13"/>
        <v>4500</v>
      </c>
      <c r="AH46" s="295">
        <f t="shared" si="13"/>
        <v>4500</v>
      </c>
      <c r="AI46" s="295">
        <f t="shared" si="13"/>
        <v>4500</v>
      </c>
      <c r="AJ46" s="295">
        <f t="shared" si="13"/>
        <v>4500</v>
      </c>
      <c r="AK46" s="295">
        <f t="shared" si="13"/>
        <v>4500</v>
      </c>
      <c r="AL46" s="295">
        <f t="shared" si="13"/>
        <v>4500</v>
      </c>
      <c r="AM46" s="234"/>
      <c r="AN46" s="295">
        <f t="shared" si="16"/>
        <v>0</v>
      </c>
      <c r="AO46" s="295">
        <f t="shared" si="14"/>
        <v>0</v>
      </c>
      <c r="AP46" s="295">
        <f>IF(AP$42=$E46,SUM(Z46:AC46),0)</f>
        <v>16500</v>
      </c>
      <c r="AQ46" s="295">
        <f t="shared" si="14"/>
        <v>0</v>
      </c>
      <c r="AR46" s="295">
        <f t="shared" si="14"/>
        <v>0</v>
      </c>
      <c r="AS46" s="295">
        <f t="shared" si="14"/>
        <v>0</v>
      </c>
      <c r="AT46" s="295">
        <f t="shared" si="14"/>
        <v>18000</v>
      </c>
      <c r="AU46" s="295">
        <f t="shared" si="14"/>
        <v>0</v>
      </c>
      <c r="AV46" s="295">
        <f t="shared" si="14"/>
        <v>0</v>
      </c>
      <c r="AW46" s="295">
        <f t="shared" si="14"/>
        <v>0</v>
      </c>
      <c r="AX46" s="295">
        <f t="shared" si="14"/>
        <v>18000</v>
      </c>
      <c r="AY46" s="295">
        <f t="shared" si="14"/>
        <v>0</v>
      </c>
      <c r="AZ46" s="295">
        <f>IF(AZ$42=$E46,SUM(AJ46:$AL46),0)</f>
        <v>0</v>
      </c>
      <c r="BA46" s="295">
        <f>IF(BA$42=$E46,SUM(AK46:$AL46),0)</f>
        <v>0</v>
      </c>
      <c r="BB46" s="295">
        <f>IF(BB$42=$E46,SUM(AL46:$AL46),0)</f>
        <v>4500</v>
      </c>
      <c r="BD46" s="294">
        <f t="shared" si="11"/>
        <v>0</v>
      </c>
    </row>
    <row r="47" spans="1:56" x14ac:dyDescent="0.25">
      <c r="A47" s="290" t="s">
        <v>140</v>
      </c>
      <c r="B47" s="249" t="str">
        <f>VLOOKUP(A47,'DFP-Com'!$A$16:$B$50,2,1)</f>
        <v xml:space="preserve">     4.1.a  Staff Compensation*</v>
      </c>
      <c r="C47" s="290" t="s">
        <v>184</v>
      </c>
      <c r="D47" s="229">
        <f t="shared" si="12"/>
        <v>147000</v>
      </c>
      <c r="E47" s="290" t="s">
        <v>192</v>
      </c>
      <c r="G47" s="297">
        <v>10500</v>
      </c>
      <c r="H47" s="312">
        <f>3500*3</f>
        <v>10500</v>
      </c>
      <c r="I47" s="297">
        <v>10500</v>
      </c>
      <c r="J47" s="297">
        <v>10500</v>
      </c>
      <c r="K47" s="297">
        <v>10500</v>
      </c>
      <c r="L47" s="297">
        <v>10500</v>
      </c>
      <c r="M47" s="297">
        <v>10500</v>
      </c>
      <c r="N47" s="297">
        <v>10500</v>
      </c>
      <c r="O47" s="297">
        <v>10500</v>
      </c>
      <c r="P47" s="297">
        <v>10500</v>
      </c>
      <c r="Q47" s="297">
        <v>10500</v>
      </c>
      <c r="R47" s="297">
        <v>10500</v>
      </c>
      <c r="S47" s="297">
        <v>10500</v>
      </c>
      <c r="T47" s="297">
        <v>10500</v>
      </c>
      <c r="U47" s="297">
        <f t="shared" si="15"/>
        <v>147000</v>
      </c>
      <c r="X47" s="244">
        <f t="shared" si="13"/>
        <v>0</v>
      </c>
      <c r="Y47" s="295">
        <f t="shared" si="13"/>
        <v>10500</v>
      </c>
      <c r="Z47" s="295">
        <f t="shared" si="13"/>
        <v>10500</v>
      </c>
      <c r="AA47" s="295">
        <f t="shared" si="13"/>
        <v>10500</v>
      </c>
      <c r="AB47" s="295">
        <f t="shared" si="13"/>
        <v>10500</v>
      </c>
      <c r="AC47" s="295">
        <f t="shared" si="13"/>
        <v>10500</v>
      </c>
      <c r="AD47" s="295">
        <f t="shared" si="13"/>
        <v>10500</v>
      </c>
      <c r="AE47" s="295">
        <f t="shared" si="13"/>
        <v>10500</v>
      </c>
      <c r="AF47" s="295">
        <f t="shared" si="13"/>
        <v>10500</v>
      </c>
      <c r="AG47" s="295">
        <f t="shared" si="13"/>
        <v>10500</v>
      </c>
      <c r="AH47" s="295">
        <f t="shared" si="13"/>
        <v>10500</v>
      </c>
      <c r="AI47" s="295">
        <f t="shared" si="13"/>
        <v>10500</v>
      </c>
      <c r="AJ47" s="295">
        <f t="shared" si="13"/>
        <v>10500</v>
      </c>
      <c r="AK47" s="295">
        <f t="shared" si="13"/>
        <v>10500</v>
      </c>
      <c r="AL47" s="295">
        <f t="shared" si="13"/>
        <v>10500</v>
      </c>
      <c r="AM47" s="234"/>
      <c r="AN47" s="295">
        <f t="shared" si="16"/>
        <v>0</v>
      </c>
      <c r="AO47" s="295">
        <f t="shared" si="14"/>
        <v>42000</v>
      </c>
      <c r="AP47" s="295">
        <f t="shared" si="14"/>
        <v>0</v>
      </c>
      <c r="AQ47" s="295">
        <f t="shared" si="14"/>
        <v>0</v>
      </c>
      <c r="AR47" s="295">
        <f t="shared" si="14"/>
        <v>0</v>
      </c>
      <c r="AS47" s="295">
        <f t="shared" si="14"/>
        <v>42000</v>
      </c>
      <c r="AT47" s="295">
        <f t="shared" si="14"/>
        <v>0</v>
      </c>
      <c r="AU47" s="295">
        <f t="shared" si="14"/>
        <v>0</v>
      </c>
      <c r="AV47" s="295">
        <f t="shared" si="14"/>
        <v>0</v>
      </c>
      <c r="AW47" s="295">
        <f t="shared" si="14"/>
        <v>42000</v>
      </c>
      <c r="AX47" s="295">
        <f t="shared" si="14"/>
        <v>0</v>
      </c>
      <c r="AY47" s="295">
        <f t="shared" si="14"/>
        <v>0</v>
      </c>
      <c r="AZ47" s="295">
        <f>IF(AZ$42=$E47,SUM(AJ47:$AL47),0)</f>
        <v>0</v>
      </c>
      <c r="BA47" s="295">
        <f>IF(BA$42=$E47,SUM(AK47:$AL47),0)</f>
        <v>21000</v>
      </c>
      <c r="BB47" s="295">
        <f>IF(BB$42=$E47,SUM(AL47:$AL47),0)</f>
        <v>0</v>
      </c>
      <c r="BD47" s="294">
        <f t="shared" si="11"/>
        <v>0</v>
      </c>
    </row>
    <row r="48" spans="1:56" x14ac:dyDescent="0.25">
      <c r="A48" s="290" t="s">
        <v>140</v>
      </c>
      <c r="B48" s="249" t="str">
        <f>VLOOKUP(A48,'DFP-Com'!$A$16:$B$50,2,1)</f>
        <v xml:space="preserve">     4.1.a  Staff Compensation*</v>
      </c>
      <c r="C48" s="290" t="s">
        <v>185</v>
      </c>
      <c r="D48" s="229">
        <f t="shared" si="12"/>
        <v>89760</v>
      </c>
      <c r="E48" s="290" t="s">
        <v>192</v>
      </c>
      <c r="G48" s="297">
        <v>3960</v>
      </c>
      <c r="H48" s="312">
        <f>2200*3</f>
        <v>6600</v>
      </c>
      <c r="I48" s="297">
        <f t="shared" ref="I48:T49" si="17">2200*3</f>
        <v>6600</v>
      </c>
      <c r="J48" s="297">
        <f t="shared" si="17"/>
        <v>6600</v>
      </c>
      <c r="K48" s="297">
        <f t="shared" si="17"/>
        <v>6600</v>
      </c>
      <c r="L48" s="297">
        <f t="shared" si="17"/>
        <v>6600</v>
      </c>
      <c r="M48" s="297">
        <f t="shared" si="17"/>
        <v>6600</v>
      </c>
      <c r="N48" s="297">
        <f t="shared" si="17"/>
        <v>6600</v>
      </c>
      <c r="O48" s="297">
        <f t="shared" si="17"/>
        <v>6600</v>
      </c>
      <c r="P48" s="297">
        <f t="shared" si="17"/>
        <v>6600</v>
      </c>
      <c r="Q48" s="297">
        <f t="shared" si="17"/>
        <v>6600</v>
      </c>
      <c r="R48" s="297">
        <f t="shared" si="17"/>
        <v>6600</v>
      </c>
      <c r="S48" s="297">
        <f t="shared" si="17"/>
        <v>6600</v>
      </c>
      <c r="T48" s="297">
        <f t="shared" si="17"/>
        <v>6600</v>
      </c>
      <c r="U48" s="297">
        <f t="shared" si="15"/>
        <v>89760</v>
      </c>
      <c r="X48" s="244">
        <f t="shared" si="13"/>
        <v>0</v>
      </c>
      <c r="Y48" s="295">
        <f t="shared" si="13"/>
        <v>3960</v>
      </c>
      <c r="Z48" s="295">
        <f t="shared" si="13"/>
        <v>6600</v>
      </c>
      <c r="AA48" s="295">
        <f t="shared" si="13"/>
        <v>6600</v>
      </c>
      <c r="AB48" s="295">
        <f t="shared" si="13"/>
        <v>6600</v>
      </c>
      <c r="AC48" s="295">
        <f t="shared" si="13"/>
        <v>6600</v>
      </c>
      <c r="AD48" s="295">
        <f t="shared" si="13"/>
        <v>6600</v>
      </c>
      <c r="AE48" s="295">
        <f t="shared" si="13"/>
        <v>6600</v>
      </c>
      <c r="AF48" s="295">
        <f t="shared" si="13"/>
        <v>6600</v>
      </c>
      <c r="AG48" s="295">
        <f t="shared" si="13"/>
        <v>6600</v>
      </c>
      <c r="AH48" s="295">
        <f t="shared" si="13"/>
        <v>6600</v>
      </c>
      <c r="AI48" s="295">
        <f t="shared" si="13"/>
        <v>6600</v>
      </c>
      <c r="AJ48" s="295">
        <f t="shared" si="13"/>
        <v>6600</v>
      </c>
      <c r="AK48" s="295">
        <f t="shared" si="13"/>
        <v>6600</v>
      </c>
      <c r="AL48" s="295">
        <f t="shared" si="13"/>
        <v>6600</v>
      </c>
      <c r="AM48" s="234"/>
      <c r="AN48" s="295">
        <f t="shared" si="16"/>
        <v>0</v>
      </c>
      <c r="AO48" s="295">
        <f t="shared" si="14"/>
        <v>23760</v>
      </c>
      <c r="AP48" s="295">
        <f t="shared" si="14"/>
        <v>0</v>
      </c>
      <c r="AQ48" s="295">
        <f t="shared" si="14"/>
        <v>0</v>
      </c>
      <c r="AR48" s="295">
        <f t="shared" si="14"/>
        <v>0</v>
      </c>
      <c r="AS48" s="295">
        <f t="shared" si="14"/>
        <v>26400</v>
      </c>
      <c r="AT48" s="295">
        <f t="shared" si="14"/>
        <v>0</v>
      </c>
      <c r="AU48" s="295">
        <f t="shared" si="14"/>
        <v>0</v>
      </c>
      <c r="AV48" s="295">
        <f t="shared" si="14"/>
        <v>0</v>
      </c>
      <c r="AW48" s="295">
        <f t="shared" si="14"/>
        <v>26400</v>
      </c>
      <c r="AX48" s="295">
        <f t="shared" si="14"/>
        <v>0</v>
      </c>
      <c r="AY48" s="295">
        <f t="shared" si="14"/>
        <v>0</v>
      </c>
      <c r="AZ48" s="295">
        <f>IF(AZ$42=$E48,SUM(AJ48:$AL48),0)</f>
        <v>0</v>
      </c>
      <c r="BA48" s="295">
        <f>IF(BA$42=$E48,SUM(AK48:$AL48),0)</f>
        <v>13200</v>
      </c>
      <c r="BB48" s="295">
        <f>IF(BB$42=$E48,SUM(AL48:$AL48),0)</f>
        <v>0</v>
      </c>
      <c r="BD48" s="294">
        <f t="shared" si="11"/>
        <v>0</v>
      </c>
    </row>
    <row r="49" spans="1:56" x14ac:dyDescent="0.25">
      <c r="A49" s="290" t="s">
        <v>140</v>
      </c>
      <c r="B49" s="249" t="str">
        <f>VLOOKUP(A49,'DFP-Com'!$A$16:$B$50,2,1)</f>
        <v xml:space="preserve">     4.1.a  Staff Compensation*</v>
      </c>
      <c r="C49" s="290" t="s">
        <v>186</v>
      </c>
      <c r="D49" s="229">
        <f t="shared" si="12"/>
        <v>89760</v>
      </c>
      <c r="E49" s="290" t="s">
        <v>192</v>
      </c>
      <c r="G49" s="297">
        <v>3960</v>
      </c>
      <c r="H49" s="312">
        <f>2200*3</f>
        <v>6600</v>
      </c>
      <c r="I49" s="297">
        <f t="shared" si="17"/>
        <v>6600</v>
      </c>
      <c r="J49" s="297">
        <f t="shared" si="17"/>
        <v>6600</v>
      </c>
      <c r="K49" s="297">
        <f t="shared" si="17"/>
        <v>6600</v>
      </c>
      <c r="L49" s="297">
        <f t="shared" si="17"/>
        <v>6600</v>
      </c>
      <c r="M49" s="297">
        <f t="shared" si="17"/>
        <v>6600</v>
      </c>
      <c r="N49" s="297">
        <f t="shared" si="17"/>
        <v>6600</v>
      </c>
      <c r="O49" s="297">
        <f t="shared" si="17"/>
        <v>6600</v>
      </c>
      <c r="P49" s="297">
        <f t="shared" si="17"/>
        <v>6600</v>
      </c>
      <c r="Q49" s="297">
        <f t="shared" si="17"/>
        <v>6600</v>
      </c>
      <c r="R49" s="297">
        <f t="shared" si="17"/>
        <v>6600</v>
      </c>
      <c r="S49" s="297">
        <f t="shared" si="17"/>
        <v>6600</v>
      </c>
      <c r="T49" s="297">
        <f t="shared" si="17"/>
        <v>6600</v>
      </c>
      <c r="U49" s="297">
        <f t="shared" si="15"/>
        <v>89760</v>
      </c>
      <c r="X49" s="244">
        <f t="shared" si="13"/>
        <v>0</v>
      </c>
      <c r="Y49" s="295">
        <f t="shared" si="13"/>
        <v>3960</v>
      </c>
      <c r="Z49" s="295">
        <f t="shared" si="13"/>
        <v>6600</v>
      </c>
      <c r="AA49" s="295">
        <f t="shared" si="13"/>
        <v>6600</v>
      </c>
      <c r="AB49" s="295">
        <f t="shared" si="13"/>
        <v>6600</v>
      </c>
      <c r="AC49" s="295">
        <f t="shared" si="13"/>
        <v>6600</v>
      </c>
      <c r="AD49" s="295">
        <f t="shared" si="13"/>
        <v>6600</v>
      </c>
      <c r="AE49" s="295">
        <f t="shared" si="13"/>
        <v>6600</v>
      </c>
      <c r="AF49" s="295">
        <f t="shared" si="13"/>
        <v>6600</v>
      </c>
      <c r="AG49" s="295">
        <f t="shared" si="13"/>
        <v>6600</v>
      </c>
      <c r="AH49" s="295">
        <f t="shared" si="13"/>
        <v>6600</v>
      </c>
      <c r="AI49" s="295">
        <f t="shared" si="13"/>
        <v>6600</v>
      </c>
      <c r="AJ49" s="295">
        <f t="shared" si="13"/>
        <v>6600</v>
      </c>
      <c r="AK49" s="295">
        <f t="shared" si="13"/>
        <v>6600</v>
      </c>
      <c r="AL49" s="295">
        <f t="shared" si="13"/>
        <v>6600</v>
      </c>
      <c r="AM49" s="234"/>
      <c r="AN49" s="295">
        <f t="shared" si="16"/>
        <v>0</v>
      </c>
      <c r="AO49" s="295">
        <f t="shared" si="14"/>
        <v>23760</v>
      </c>
      <c r="AP49" s="295">
        <f t="shared" si="14"/>
        <v>0</v>
      </c>
      <c r="AQ49" s="295">
        <f t="shared" si="14"/>
        <v>0</v>
      </c>
      <c r="AR49" s="295">
        <f t="shared" si="14"/>
        <v>0</v>
      </c>
      <c r="AS49" s="295">
        <f t="shared" si="14"/>
        <v>26400</v>
      </c>
      <c r="AT49" s="295">
        <f t="shared" si="14"/>
        <v>0</v>
      </c>
      <c r="AU49" s="295">
        <f t="shared" si="14"/>
        <v>0</v>
      </c>
      <c r="AV49" s="295">
        <f t="shared" si="14"/>
        <v>0</v>
      </c>
      <c r="AW49" s="295">
        <f t="shared" si="14"/>
        <v>26400</v>
      </c>
      <c r="AX49" s="295">
        <f t="shared" si="14"/>
        <v>0</v>
      </c>
      <c r="AY49" s="295">
        <f t="shared" si="14"/>
        <v>0</v>
      </c>
      <c r="AZ49" s="295">
        <f>IF(AZ$42=$E49,SUM(AJ49:$AL49),0)</f>
        <v>0</v>
      </c>
      <c r="BA49" s="295">
        <f>IF(BA$42=$E49,SUM(AK49:$AL49),0)</f>
        <v>13200</v>
      </c>
      <c r="BB49" s="295">
        <f>IF(BB$42=$E49,SUM(AL49:$AL49),0)</f>
        <v>0</v>
      </c>
      <c r="BD49" s="294">
        <f t="shared" si="11"/>
        <v>0</v>
      </c>
    </row>
    <row r="50" spans="1:56" x14ac:dyDescent="0.25">
      <c r="A50" s="290" t="s">
        <v>140</v>
      </c>
      <c r="B50" s="249" t="str">
        <f>VLOOKUP(A50,'DFP-Com'!$A$16:$B$50,2,1)</f>
        <v xml:space="preserve">     4.1.a  Staff Compensation*</v>
      </c>
      <c r="C50" s="290" t="s">
        <v>229</v>
      </c>
      <c r="D50" s="229">
        <f>3000*24</f>
        <v>72000</v>
      </c>
      <c r="E50" s="290" t="s">
        <v>196</v>
      </c>
      <c r="G50" s="297"/>
      <c r="H50" s="312"/>
      <c r="I50" s="297">
        <f>3000*3</f>
        <v>9000</v>
      </c>
      <c r="J50" s="297">
        <f t="shared" ref="J50:P50" si="18">3000*3</f>
        <v>9000</v>
      </c>
      <c r="K50" s="297">
        <f t="shared" si="18"/>
        <v>9000</v>
      </c>
      <c r="L50" s="297">
        <f t="shared" si="18"/>
        <v>9000</v>
      </c>
      <c r="M50" s="297">
        <f t="shared" si="18"/>
        <v>9000</v>
      </c>
      <c r="N50" s="297">
        <f t="shared" si="18"/>
        <v>9000</v>
      </c>
      <c r="O50" s="297">
        <f t="shared" si="18"/>
        <v>9000</v>
      </c>
      <c r="P50" s="297">
        <f t="shared" si="18"/>
        <v>9000</v>
      </c>
      <c r="Q50" s="297"/>
      <c r="R50" s="297"/>
      <c r="S50" s="297"/>
      <c r="T50" s="297"/>
      <c r="U50" s="297">
        <f t="shared" si="15"/>
        <v>72000</v>
      </c>
      <c r="X50" s="244"/>
      <c r="Y50" s="295"/>
      <c r="Z50" s="295"/>
      <c r="AA50" s="295"/>
      <c r="AB50" s="295"/>
      <c r="AC50" s="295"/>
      <c r="AD50" s="295"/>
      <c r="AE50" s="295"/>
      <c r="AF50" s="295"/>
      <c r="AG50" s="295"/>
      <c r="AH50" s="295"/>
      <c r="AI50" s="295"/>
      <c r="AJ50" s="295"/>
      <c r="AK50" s="295"/>
      <c r="AL50" s="295"/>
      <c r="AM50" s="234"/>
      <c r="AN50" s="295"/>
      <c r="AO50" s="295"/>
      <c r="AP50" s="295"/>
      <c r="AQ50" s="295"/>
      <c r="AR50" s="295"/>
      <c r="AS50" s="295"/>
      <c r="AT50" s="295"/>
      <c r="AU50" s="295"/>
      <c r="AV50" s="295"/>
      <c r="AW50" s="295"/>
      <c r="AX50" s="295"/>
      <c r="AY50" s="295"/>
      <c r="AZ50" s="295"/>
      <c r="BA50" s="295"/>
      <c r="BB50" s="295"/>
      <c r="BD50" s="294"/>
    </row>
    <row r="51" spans="1:56" x14ac:dyDescent="0.25">
      <c r="A51" s="290" t="s">
        <v>128</v>
      </c>
      <c r="B51" s="238" t="str">
        <f>VLOOKUP(A51,'DFP-Com'!$A$16:$B$50,2,1)</f>
        <v xml:space="preserve">     1.2.a  TVET</v>
      </c>
      <c r="C51" s="290" t="s">
        <v>201</v>
      </c>
      <c r="D51" s="229">
        <f t="shared" ref="D51" si="19">SUM(F51:T51)</f>
        <v>144000</v>
      </c>
      <c r="E51" s="290" t="s">
        <v>196</v>
      </c>
      <c r="G51" s="297"/>
      <c r="H51" s="312">
        <v>0</v>
      </c>
      <c r="I51" s="297">
        <v>12000</v>
      </c>
      <c r="J51" s="297">
        <v>12000</v>
      </c>
      <c r="K51" s="297">
        <v>12000</v>
      </c>
      <c r="L51" s="297">
        <v>12000</v>
      </c>
      <c r="M51" s="297">
        <v>12000</v>
      </c>
      <c r="N51" s="297">
        <v>12000</v>
      </c>
      <c r="O51" s="297">
        <v>12000</v>
      </c>
      <c r="P51" s="297">
        <v>12000</v>
      </c>
      <c r="Q51" s="297">
        <v>12000</v>
      </c>
      <c r="R51" s="297">
        <v>12000</v>
      </c>
      <c r="S51" s="297">
        <v>12000</v>
      </c>
      <c r="T51" s="297">
        <v>12000</v>
      </c>
      <c r="U51" s="297">
        <f t="shared" si="15"/>
        <v>144000</v>
      </c>
      <c r="X51" s="244">
        <f t="shared" si="13"/>
        <v>0</v>
      </c>
      <c r="Y51" s="295">
        <f t="shared" si="13"/>
        <v>0</v>
      </c>
      <c r="Z51" s="295">
        <f t="shared" si="13"/>
        <v>0</v>
      </c>
      <c r="AA51" s="295">
        <f t="shared" si="13"/>
        <v>12000</v>
      </c>
      <c r="AB51" s="295">
        <f t="shared" si="13"/>
        <v>12000</v>
      </c>
      <c r="AC51" s="295">
        <f t="shared" si="13"/>
        <v>12000</v>
      </c>
      <c r="AD51" s="295">
        <f t="shared" si="13"/>
        <v>12000</v>
      </c>
      <c r="AE51" s="295">
        <f t="shared" si="13"/>
        <v>12000</v>
      </c>
      <c r="AF51" s="295">
        <f t="shared" si="13"/>
        <v>12000</v>
      </c>
      <c r="AG51" s="295">
        <f t="shared" si="13"/>
        <v>12000</v>
      </c>
      <c r="AH51" s="295">
        <f t="shared" si="13"/>
        <v>12000</v>
      </c>
      <c r="AI51" s="295">
        <f t="shared" si="13"/>
        <v>12000</v>
      </c>
      <c r="AJ51" s="295">
        <f t="shared" si="13"/>
        <v>12000</v>
      </c>
      <c r="AK51" s="295">
        <f t="shared" si="13"/>
        <v>12000</v>
      </c>
      <c r="AL51" s="295">
        <f t="shared" si="13"/>
        <v>12000</v>
      </c>
      <c r="AM51" s="234"/>
      <c r="AN51" s="295">
        <f t="shared" si="16"/>
        <v>0</v>
      </c>
      <c r="AO51" s="295">
        <f t="shared" si="14"/>
        <v>0</v>
      </c>
      <c r="AP51" s="295">
        <f t="shared" si="14"/>
        <v>0</v>
      </c>
      <c r="AQ51" s="295">
        <f t="shared" si="14"/>
        <v>48000</v>
      </c>
      <c r="AR51" s="295">
        <f t="shared" si="14"/>
        <v>0</v>
      </c>
      <c r="AS51" s="295">
        <f t="shared" si="14"/>
        <v>0</v>
      </c>
      <c r="AT51" s="295">
        <f t="shared" si="14"/>
        <v>0</v>
      </c>
      <c r="AU51" s="295">
        <f t="shared" si="14"/>
        <v>48000</v>
      </c>
      <c r="AV51" s="295">
        <f t="shared" si="14"/>
        <v>0</v>
      </c>
      <c r="AW51" s="295">
        <f t="shared" si="14"/>
        <v>0</v>
      </c>
      <c r="AX51" s="295">
        <f t="shared" si="14"/>
        <v>0</v>
      </c>
      <c r="AY51" s="295">
        <f t="shared" si="14"/>
        <v>48000</v>
      </c>
      <c r="AZ51" s="295">
        <f>IF(AZ$42=$E51,SUM(AJ51:$AL51),0)</f>
        <v>0</v>
      </c>
      <c r="BA51" s="295">
        <f>IF(BA$42=$E51,SUM(AK51:$AL51),0)</f>
        <v>0</v>
      </c>
      <c r="BB51" s="295">
        <f>IF(BB$42=$E51,SUM(AL51:$AL51),0)</f>
        <v>0</v>
      </c>
      <c r="BD51" s="294">
        <f t="shared" si="11"/>
        <v>0</v>
      </c>
    </row>
    <row r="52" spans="1:56" x14ac:dyDescent="0.25">
      <c r="G52" s="297"/>
      <c r="H52" s="312"/>
      <c r="I52" s="297"/>
      <c r="J52" s="297"/>
      <c r="K52" s="297"/>
      <c r="L52" s="297"/>
      <c r="M52" s="297"/>
      <c r="N52" s="297"/>
      <c r="O52" s="297"/>
      <c r="P52" s="297"/>
      <c r="Q52" s="297"/>
      <c r="R52" s="297"/>
      <c r="S52" s="297"/>
      <c r="T52" s="297"/>
      <c r="U52" s="297"/>
      <c r="X52" s="233"/>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D52" s="294">
        <f t="shared" si="11"/>
        <v>0</v>
      </c>
    </row>
    <row r="53" spans="1:56" x14ac:dyDescent="0.25">
      <c r="A53" s="230" t="s">
        <v>188</v>
      </c>
      <c r="B53" s="230"/>
      <c r="C53" s="230"/>
      <c r="D53" s="230"/>
      <c r="E53" s="230"/>
      <c r="G53" s="297"/>
      <c r="H53" s="312"/>
      <c r="I53" s="297"/>
      <c r="J53" s="297"/>
      <c r="K53" s="297"/>
      <c r="L53" s="297"/>
      <c r="M53" s="297"/>
      <c r="N53" s="297"/>
      <c r="O53" s="297"/>
      <c r="P53" s="297"/>
      <c r="Q53" s="297"/>
      <c r="R53" s="297"/>
      <c r="S53" s="297"/>
      <c r="T53" s="297"/>
      <c r="U53" s="297"/>
      <c r="X53" s="233"/>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D53" s="294">
        <f t="shared" si="11"/>
        <v>0</v>
      </c>
    </row>
    <row r="54" spans="1:56" x14ac:dyDescent="0.25">
      <c r="A54" s="290" t="s">
        <v>143</v>
      </c>
      <c r="B54" s="249" t="str">
        <f>VLOOKUP(A54,'DFP-Com'!$A$16:$B$50,2,1)</f>
        <v xml:space="preserve">     4.1.d  Other</v>
      </c>
      <c r="C54" s="290" t="s">
        <v>182</v>
      </c>
      <c r="D54" s="229">
        <v>20000</v>
      </c>
      <c r="G54" s="297">
        <v>1267.82</v>
      </c>
      <c r="H54" s="312">
        <v>2000</v>
      </c>
      <c r="I54" s="297">
        <v>1400</v>
      </c>
      <c r="J54" s="297">
        <v>1400</v>
      </c>
      <c r="K54" s="297">
        <v>1400</v>
      </c>
      <c r="L54" s="297">
        <v>1400</v>
      </c>
      <c r="M54" s="297">
        <v>1400</v>
      </c>
      <c r="N54" s="297">
        <v>1400</v>
      </c>
      <c r="O54" s="297">
        <v>1400</v>
      </c>
      <c r="P54" s="297">
        <v>1400</v>
      </c>
      <c r="Q54" s="297">
        <v>1400</v>
      </c>
      <c r="R54" s="297">
        <v>1400</v>
      </c>
      <c r="S54" s="297">
        <v>1400</v>
      </c>
      <c r="T54" s="297">
        <f>1400-68</f>
        <v>1332</v>
      </c>
      <c r="U54" s="297">
        <f t="shared" si="15"/>
        <v>19999.82</v>
      </c>
      <c r="X54" s="244">
        <f t="shared" ref="X54:AL55" si="20">F54</f>
        <v>0</v>
      </c>
      <c r="Y54" s="295">
        <f t="shared" si="20"/>
        <v>1267.82</v>
      </c>
      <c r="Z54" s="295">
        <f t="shared" si="20"/>
        <v>2000</v>
      </c>
      <c r="AA54" s="295">
        <f t="shared" si="20"/>
        <v>1400</v>
      </c>
      <c r="AB54" s="295">
        <f t="shared" si="20"/>
        <v>1400</v>
      </c>
      <c r="AC54" s="295">
        <f t="shared" si="20"/>
        <v>1400</v>
      </c>
      <c r="AD54" s="295">
        <f t="shared" si="20"/>
        <v>1400</v>
      </c>
      <c r="AE54" s="295">
        <f t="shared" si="20"/>
        <v>1400</v>
      </c>
      <c r="AF54" s="295">
        <f t="shared" si="20"/>
        <v>1400</v>
      </c>
      <c r="AG54" s="295">
        <f t="shared" si="20"/>
        <v>1400</v>
      </c>
      <c r="AH54" s="295">
        <f t="shared" si="20"/>
        <v>1400</v>
      </c>
      <c r="AI54" s="295">
        <f t="shared" si="20"/>
        <v>1400</v>
      </c>
      <c r="AJ54" s="295">
        <f t="shared" si="20"/>
        <v>1400</v>
      </c>
      <c r="AK54" s="295">
        <f t="shared" si="20"/>
        <v>1400</v>
      </c>
      <c r="AL54" s="295">
        <f t="shared" si="20"/>
        <v>1332</v>
      </c>
      <c r="AM54" s="234"/>
      <c r="AN54" s="295">
        <f>X54</f>
        <v>0</v>
      </c>
      <c r="AO54" s="295">
        <f t="shared" ref="AO54:BB55" si="21">Y54</f>
        <v>1267.82</v>
      </c>
      <c r="AP54" s="295">
        <f t="shared" si="21"/>
        <v>2000</v>
      </c>
      <c r="AQ54" s="295">
        <f t="shared" si="21"/>
        <v>1400</v>
      </c>
      <c r="AR54" s="295">
        <f t="shared" si="21"/>
        <v>1400</v>
      </c>
      <c r="AS54" s="295">
        <f t="shared" si="21"/>
        <v>1400</v>
      </c>
      <c r="AT54" s="295">
        <f t="shared" si="21"/>
        <v>1400</v>
      </c>
      <c r="AU54" s="295">
        <f t="shared" si="21"/>
        <v>1400</v>
      </c>
      <c r="AV54" s="295">
        <f t="shared" si="21"/>
        <v>1400</v>
      </c>
      <c r="AW54" s="295">
        <f t="shared" si="21"/>
        <v>1400</v>
      </c>
      <c r="AX54" s="295">
        <f t="shared" si="21"/>
        <v>1400</v>
      </c>
      <c r="AY54" s="295">
        <f t="shared" si="21"/>
        <v>1400</v>
      </c>
      <c r="AZ54" s="295">
        <f t="shared" si="21"/>
        <v>1400</v>
      </c>
      <c r="BA54" s="295">
        <f t="shared" si="21"/>
        <v>1400</v>
      </c>
      <c r="BB54" s="295">
        <f t="shared" si="21"/>
        <v>1332</v>
      </c>
      <c r="BD54" s="294">
        <f t="shared" si="11"/>
        <v>0</v>
      </c>
    </row>
    <row r="55" spans="1:56" x14ac:dyDescent="0.25">
      <c r="A55" s="290" t="s">
        <v>141</v>
      </c>
      <c r="B55" s="249" t="str">
        <f>VLOOKUP(A55,'DFP-Com'!$A$16:$B$50,2,1)</f>
        <v xml:space="preserve">     4.1.b  Travel*</v>
      </c>
      <c r="C55" s="290" t="s">
        <v>183</v>
      </c>
      <c r="D55" s="229">
        <v>35000</v>
      </c>
      <c r="G55" s="297">
        <v>0</v>
      </c>
      <c r="H55" s="312">
        <v>4000</v>
      </c>
      <c r="I55" s="297">
        <v>2500</v>
      </c>
      <c r="J55" s="297">
        <v>2500</v>
      </c>
      <c r="K55" s="297">
        <v>2500</v>
      </c>
      <c r="L55" s="297">
        <v>3500</v>
      </c>
      <c r="M55" s="297">
        <v>2500</v>
      </c>
      <c r="N55" s="297">
        <v>2500</v>
      </c>
      <c r="O55" s="297">
        <v>2500</v>
      </c>
      <c r="P55" s="297">
        <v>2500</v>
      </c>
      <c r="Q55" s="297">
        <v>2500</v>
      </c>
      <c r="R55" s="297">
        <v>2500</v>
      </c>
      <c r="S55" s="297">
        <v>2500</v>
      </c>
      <c r="T55" s="297">
        <v>2500</v>
      </c>
      <c r="U55" s="297">
        <f t="shared" si="15"/>
        <v>35000</v>
      </c>
      <c r="X55" s="244">
        <f t="shared" si="20"/>
        <v>0</v>
      </c>
      <c r="Y55" s="295">
        <f t="shared" si="20"/>
        <v>0</v>
      </c>
      <c r="Z55" s="295">
        <f t="shared" si="20"/>
        <v>4000</v>
      </c>
      <c r="AA55" s="295">
        <f t="shared" si="20"/>
        <v>2500</v>
      </c>
      <c r="AB55" s="295">
        <f t="shared" si="20"/>
        <v>2500</v>
      </c>
      <c r="AC55" s="295">
        <f t="shared" si="20"/>
        <v>2500</v>
      </c>
      <c r="AD55" s="295">
        <f t="shared" si="20"/>
        <v>3500</v>
      </c>
      <c r="AE55" s="295">
        <f t="shared" si="20"/>
        <v>2500</v>
      </c>
      <c r="AF55" s="295">
        <f t="shared" si="20"/>
        <v>2500</v>
      </c>
      <c r="AG55" s="295">
        <f t="shared" si="20"/>
        <v>2500</v>
      </c>
      <c r="AH55" s="295">
        <f t="shared" si="20"/>
        <v>2500</v>
      </c>
      <c r="AI55" s="295">
        <f t="shared" si="20"/>
        <v>2500</v>
      </c>
      <c r="AJ55" s="295">
        <f t="shared" si="20"/>
        <v>2500</v>
      </c>
      <c r="AK55" s="295">
        <f t="shared" si="20"/>
        <v>2500</v>
      </c>
      <c r="AL55" s="295">
        <f t="shared" si="20"/>
        <v>2500</v>
      </c>
      <c r="AM55" s="234"/>
      <c r="AN55" s="295">
        <f>X55</f>
        <v>0</v>
      </c>
      <c r="AO55" s="295">
        <f t="shared" si="21"/>
        <v>0</v>
      </c>
      <c r="AP55" s="295">
        <f t="shared" si="21"/>
        <v>4000</v>
      </c>
      <c r="AQ55" s="295">
        <f t="shared" si="21"/>
        <v>2500</v>
      </c>
      <c r="AR55" s="295">
        <f t="shared" si="21"/>
        <v>2500</v>
      </c>
      <c r="AS55" s="295">
        <f t="shared" si="21"/>
        <v>2500</v>
      </c>
      <c r="AT55" s="295">
        <f t="shared" si="21"/>
        <v>3500</v>
      </c>
      <c r="AU55" s="295">
        <f t="shared" si="21"/>
        <v>2500</v>
      </c>
      <c r="AV55" s="295">
        <f t="shared" si="21"/>
        <v>2500</v>
      </c>
      <c r="AW55" s="295">
        <f t="shared" si="21"/>
        <v>2500</v>
      </c>
      <c r="AX55" s="295">
        <f t="shared" si="21"/>
        <v>2500</v>
      </c>
      <c r="AY55" s="295">
        <f t="shared" si="21"/>
        <v>2500</v>
      </c>
      <c r="AZ55" s="295">
        <f t="shared" si="21"/>
        <v>2500</v>
      </c>
      <c r="BA55" s="295">
        <f t="shared" si="21"/>
        <v>2500</v>
      </c>
      <c r="BB55" s="295">
        <f t="shared" si="21"/>
        <v>2500</v>
      </c>
      <c r="BD55" s="294">
        <f t="shared" si="11"/>
        <v>0</v>
      </c>
    </row>
    <row r="56" spans="1:56" s="240" customFormat="1" x14ac:dyDescent="0.25">
      <c r="A56" s="241"/>
      <c r="D56" s="242"/>
      <c r="H56" s="313"/>
      <c r="U56" s="243"/>
      <c r="V56" s="290"/>
      <c r="W56" s="290"/>
      <c r="X56" s="237"/>
      <c r="Y56" s="237"/>
      <c r="Z56" s="237"/>
      <c r="AA56" s="237"/>
      <c r="AB56" s="237"/>
      <c r="AC56" s="237"/>
      <c r="AD56" s="237"/>
      <c r="AE56" s="237"/>
      <c r="AF56" s="237"/>
      <c r="AG56" s="237"/>
      <c r="AH56" s="237"/>
      <c r="AI56" s="237"/>
      <c r="AJ56" s="237"/>
      <c r="AK56" s="237"/>
      <c r="AL56" s="237"/>
    </row>
    <row r="57" spans="1:56" x14ac:dyDescent="0.25">
      <c r="B57" s="233" t="s">
        <v>205</v>
      </c>
      <c r="D57" s="244">
        <f>SUM(D4:D55)</f>
        <v>23584570</v>
      </c>
      <c r="E57" s="233"/>
      <c r="F57" s="233"/>
      <c r="G57" s="233"/>
      <c r="H57" s="314"/>
      <c r="I57" s="233"/>
      <c r="J57" s="233"/>
      <c r="K57" s="233"/>
      <c r="L57" s="233"/>
      <c r="M57" s="233"/>
      <c r="N57" s="233"/>
      <c r="O57" s="233"/>
      <c r="P57" s="233"/>
      <c r="Q57" s="233"/>
      <c r="R57" s="233"/>
      <c r="T57" s="233"/>
      <c r="U57" s="233"/>
      <c r="X57" s="294" t="s">
        <v>101</v>
      </c>
    </row>
    <row r="58" spans="1:56" x14ac:dyDescent="0.25">
      <c r="D58" s="247"/>
      <c r="E58" s="248"/>
      <c r="F58" s="248"/>
      <c r="G58" s="248"/>
      <c r="H58" s="313"/>
      <c r="I58" s="248"/>
      <c r="J58" s="248"/>
      <c r="K58" s="248"/>
      <c r="L58" s="248"/>
      <c r="M58" s="248"/>
      <c r="N58" s="248"/>
      <c r="O58" s="248"/>
      <c r="P58" s="248"/>
      <c r="Q58" s="248"/>
      <c r="R58" s="248"/>
      <c r="S58" s="248"/>
      <c r="T58" s="248"/>
      <c r="U58" s="248"/>
      <c r="X58" s="294"/>
    </row>
    <row r="59" spans="1:56" x14ac:dyDescent="0.25">
      <c r="A59" s="290" t="s">
        <v>125</v>
      </c>
      <c r="B59" s="514" t="str">
        <f>VLOOKUP(A59,'DFP-Com'!$A$16:$B$50,2,1)</f>
        <v xml:space="preserve">     1.1.a  Education Project Implementation Contract</v>
      </c>
      <c r="C59" s="514"/>
      <c r="D59" s="229">
        <f>SUMIF($A$4:$A$56,"="&amp;A59,$D$4:$D$56)</f>
        <v>8700000</v>
      </c>
    </row>
    <row r="60" spans="1:56" x14ac:dyDescent="0.25">
      <c r="A60" s="290" t="s">
        <v>126</v>
      </c>
      <c r="B60" s="514" t="str">
        <f>VLOOKUP(A60,'DFP-Com'!$A$16:$B$50,2,1)</f>
        <v xml:space="preserve">     1.1.b  Grants to Universities for Teacher Training (Diplomados)</v>
      </c>
      <c r="C60" s="514"/>
      <c r="D60" s="229">
        <f>SUMIF($A$4:$A$56,"="&amp;A60,$D$4:$D$56)</f>
        <v>3000000</v>
      </c>
    </row>
    <row r="61" spans="1:56" x14ac:dyDescent="0.25">
      <c r="A61" s="290" t="s">
        <v>128</v>
      </c>
      <c r="B61" s="514" t="str">
        <f>VLOOKUP(A61,'DFP-Com'!$A$16:$B$50,2,1)</f>
        <v xml:space="preserve">     1.2.a  TVET</v>
      </c>
      <c r="C61" s="514"/>
      <c r="D61" s="229">
        <f>SUMIF($A$4:$A$56,"="&amp;A61,$D$4:$D$56)</f>
        <v>4144000</v>
      </c>
    </row>
    <row r="62" spans="1:56" x14ac:dyDescent="0.25">
      <c r="A62" s="290" t="s">
        <v>129</v>
      </c>
      <c r="B62" s="514" t="str">
        <f>VLOOKUP(A62,'DFP-Com'!$A$16:$B$50,2,1)</f>
        <v xml:space="preserve">     1.3.a  Education Project Implementation Contract</v>
      </c>
      <c r="C62" s="514"/>
      <c r="D62" s="229">
        <f>SUMIF($A$4:$A$56,"="&amp;A62,$D$4:$D$56)</f>
        <v>2500000</v>
      </c>
    </row>
    <row r="63" spans="1:56" x14ac:dyDescent="0.25">
      <c r="A63" s="290" t="s">
        <v>130</v>
      </c>
      <c r="B63" s="514" t="str">
        <f>VLOOKUP(A63,'DFP-Com'!$A$16:$B$50,2,1)</f>
        <v xml:space="preserve">     1.3.b  Education Project Coordination team*</v>
      </c>
      <c r="C63" s="514"/>
      <c r="D63" s="229">
        <f>SUMIF($A$4:$A$56,"="&amp;A63,$D$4:$D$56)</f>
        <v>178400</v>
      </c>
    </row>
    <row r="64" spans="1:56" x14ac:dyDescent="0.25">
      <c r="B64" s="299" t="s">
        <v>222</v>
      </c>
      <c r="C64" s="299"/>
      <c r="D64" s="300">
        <f>SUM(D59:D63)</f>
        <v>18522400</v>
      </c>
      <c r="E64" s="236">
        <f>'QFR - B'!I14</f>
        <v>19398100</v>
      </c>
      <c r="F64" s="294">
        <f>E64-D64</f>
        <v>875700</v>
      </c>
    </row>
    <row r="65" spans="1:6" x14ac:dyDescent="0.25">
      <c r="A65" s="290" t="s">
        <v>132</v>
      </c>
      <c r="B65" s="514" t="str">
        <f>VLOOKUP(A65,'DFP-Com'!$A$16:$B$50,2,1)</f>
        <v xml:space="preserve">     2.1.a  Tax and Customs</v>
      </c>
      <c r="C65" s="514"/>
      <c r="D65" s="229">
        <f>SUMIF($A$4:$A$56,"="&amp;A65,$D$4:$D$56)</f>
        <v>384000</v>
      </c>
    </row>
    <row r="66" spans="1:6" x14ac:dyDescent="0.25">
      <c r="B66" s="299" t="s">
        <v>223</v>
      </c>
      <c r="C66" s="299"/>
      <c r="D66" s="301">
        <f>D65</f>
        <v>384000</v>
      </c>
      <c r="E66" s="236">
        <f>'QFR - B'!I20</f>
        <v>800000</v>
      </c>
      <c r="F66" s="294">
        <f>E66-D66</f>
        <v>416000</v>
      </c>
    </row>
    <row r="67" spans="1:6" x14ac:dyDescent="0.25">
      <c r="A67" s="290" t="s">
        <v>133</v>
      </c>
      <c r="B67" s="514" t="str">
        <f>VLOOKUP(A67,'DFP-Com'!$A$16:$B$50,2,1)</f>
        <v xml:space="preserve">     2.2.a  Advisors</v>
      </c>
      <c r="C67" s="514"/>
      <c r="D67" s="229">
        <f>SUMIF($A$4:$A$56,"="&amp;A67,$D$4:$D$56)</f>
        <v>728750</v>
      </c>
    </row>
    <row r="68" spans="1:6" x14ac:dyDescent="0.25">
      <c r="A68" s="290" t="s">
        <v>134</v>
      </c>
      <c r="B68" s="514" t="str">
        <f>VLOOKUP(A68,'DFP-Com'!$A$16:$B$50,2,1)</f>
        <v xml:space="preserve">     2.2.b  Feasiblity Studies/  Transaction Advisory Services</v>
      </c>
      <c r="C68" s="514"/>
      <c r="D68" s="229">
        <f>SUMIF($A$4:$A$56,"="&amp;A68,$D$4:$D$56)</f>
        <v>1650000</v>
      </c>
    </row>
    <row r="69" spans="1:6" x14ac:dyDescent="0.25">
      <c r="B69" s="299" t="s">
        <v>224</v>
      </c>
      <c r="C69" s="299"/>
      <c r="D69" s="301">
        <f>SUM(D67:D68)</f>
        <v>2378750</v>
      </c>
      <c r="E69" s="236">
        <f>'QFR - B'!I21</f>
        <v>3307400</v>
      </c>
      <c r="F69" s="294">
        <f>E69-D69</f>
        <v>928650</v>
      </c>
    </row>
    <row r="70" spans="1:6" x14ac:dyDescent="0.25">
      <c r="A70" s="290" t="s">
        <v>136</v>
      </c>
      <c r="B70" s="514" t="str">
        <f>VLOOKUP(A70,'DFP-Com'!$A$16:$B$50,2,1)</f>
        <v xml:space="preserve">     3.1.a  Student Assessment</v>
      </c>
      <c r="C70" s="514"/>
      <c r="D70" s="229">
        <f>SUMIF($A$4:$A$56,"="&amp;A70,$D$4:$D$56)</f>
        <v>706400</v>
      </c>
    </row>
    <row r="71" spans="1:6" x14ac:dyDescent="0.25">
      <c r="A71" s="290" t="s">
        <v>137</v>
      </c>
      <c r="B71" s="514" t="str">
        <f>VLOOKUP(A71,'DFP-Com'!$A$16:$B$50,2,1)</f>
        <v xml:space="preserve">     3.1.b  Teacher Evaluations</v>
      </c>
      <c r="C71" s="514"/>
      <c r="D71" s="229">
        <f>SUMIF($A$4:$A$56,"="&amp;A71,$D$4:$D$56)</f>
        <v>300000</v>
      </c>
    </row>
    <row r="72" spans="1:6" x14ac:dyDescent="0.25">
      <c r="A72" s="290" t="s">
        <v>138</v>
      </c>
      <c r="B72" s="514" t="str">
        <f>VLOOKUP(A72,'DFP-Com'!$A$16:$B$50,2,1)</f>
        <v xml:space="preserve">     3.1.c  Voc Ed Tracer Studies</v>
      </c>
      <c r="C72" s="514"/>
      <c r="D72" s="229">
        <f>SUMIF($A$4:$A$56,"="&amp;A72,$D$4:$D$56)</f>
        <v>300000</v>
      </c>
    </row>
    <row r="73" spans="1:6" x14ac:dyDescent="0.25">
      <c r="A73" s="290" t="s">
        <v>139</v>
      </c>
      <c r="B73" s="514" t="str">
        <f>VLOOKUP(A73,'DFP-Com'!$A$16:$B$50,2,1)</f>
        <v xml:space="preserve">     3.1 d Other</v>
      </c>
      <c r="C73" s="514"/>
      <c r="D73" s="229">
        <f>SUMIF($A$4:$A$56,"="&amp;A73,$D$4:$D$56)</f>
        <v>200000</v>
      </c>
    </row>
    <row r="74" spans="1:6" x14ac:dyDescent="0.25">
      <c r="B74" s="299" t="s">
        <v>204</v>
      </c>
      <c r="C74" s="299"/>
      <c r="D74" s="301">
        <f>SUM(D70:D73)</f>
        <v>1506400</v>
      </c>
      <c r="E74" s="236">
        <f>'QFR - B'!I24</f>
        <v>1431000</v>
      </c>
      <c r="F74" s="294">
        <f>E74-D74</f>
        <v>-75400</v>
      </c>
    </row>
    <row r="75" spans="1:6" x14ac:dyDescent="0.25">
      <c r="A75" s="290" t="s">
        <v>140</v>
      </c>
      <c r="B75" s="514" t="str">
        <f>VLOOKUP(A75,'DFP-Com'!$A$16:$B$50,2,1)</f>
        <v xml:space="preserve">     4.1.a  Staff Compensation*</v>
      </c>
      <c r="C75" s="514"/>
      <c r="D75" s="229">
        <f>SUMIF($A$4:$A$56,"="&amp;A75,$D$4:$D$56)</f>
        <v>636520</v>
      </c>
    </row>
    <row r="76" spans="1:6" x14ac:dyDescent="0.25">
      <c r="A76" s="290" t="s">
        <v>141</v>
      </c>
      <c r="B76" s="514" t="str">
        <f>VLOOKUP(A76,'DFP-Com'!$A$16:$B$50,2,1)</f>
        <v xml:space="preserve">     4.1.b  Travel*</v>
      </c>
      <c r="C76" s="514"/>
      <c r="D76" s="229">
        <f>SUMIF($A$4:$A$56,"="&amp;A76,$D$4:$D$56)</f>
        <v>35000</v>
      </c>
    </row>
    <row r="77" spans="1:6" x14ac:dyDescent="0.25">
      <c r="A77" s="290" t="s">
        <v>142</v>
      </c>
      <c r="B77" s="514" t="str">
        <f>VLOOKUP(A77,'DFP-Com'!$A$16:$B$50,2,1)</f>
        <v xml:space="preserve">     4.1.c  Audit</v>
      </c>
      <c r="C77" s="514"/>
      <c r="D77" s="229">
        <f>SUMIF($A$4:$A$56,"="&amp;A77,$D$4:$D$56)</f>
        <v>90000</v>
      </c>
    </row>
    <row r="78" spans="1:6" x14ac:dyDescent="0.25">
      <c r="A78" s="290" t="s">
        <v>143</v>
      </c>
      <c r="B78" s="514" t="str">
        <f>VLOOKUP(A78,'DFP-Com'!$A$16:$B$50,2,1)</f>
        <v xml:space="preserve">     4.1.d  Other</v>
      </c>
      <c r="C78" s="514"/>
      <c r="D78" s="229">
        <f>SUMIF($A$4:$A$56,"="&amp;A78,$D$4:$D$56)</f>
        <v>31500</v>
      </c>
    </row>
    <row r="79" spans="1:6" x14ac:dyDescent="0.25">
      <c r="B79" s="299" t="s">
        <v>225</v>
      </c>
      <c r="C79" s="299"/>
      <c r="D79" s="301">
        <f>SUM(D75:D78)</f>
        <v>793020</v>
      </c>
      <c r="E79" s="236">
        <f>'QFR - B'!I27</f>
        <v>1261000</v>
      </c>
      <c r="F79" s="294">
        <f>E79-D79</f>
        <v>467980</v>
      </c>
    </row>
  </sheetData>
  <autoFilter ref="A3:BD38"/>
  <mergeCells count="16">
    <mergeCell ref="B75:C75"/>
    <mergeCell ref="B76:C76"/>
    <mergeCell ref="B77:C77"/>
    <mergeCell ref="B78:C78"/>
    <mergeCell ref="B67:C67"/>
    <mergeCell ref="B68:C68"/>
    <mergeCell ref="B70:C70"/>
    <mergeCell ref="B71:C71"/>
    <mergeCell ref="B72:C72"/>
    <mergeCell ref="B73:C73"/>
    <mergeCell ref="B65:C65"/>
    <mergeCell ref="B59:C59"/>
    <mergeCell ref="B60:C60"/>
    <mergeCell ref="B61:C61"/>
    <mergeCell ref="B62:C62"/>
    <mergeCell ref="B63:C6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hresholdDocs" ma:contentTypeID="0x01010060F0C3B9C1A6634EB9ABC54E876D711E003DCEA2CA0D72C4489A479CA46ABC2FD4" ma:contentTypeVersion="11" ma:contentTypeDescription="" ma:contentTypeScope="" ma:versionID="4fea394353aa98332856157fb3b026c7">
  <xsd:schema xmlns:xsd="http://www.w3.org/2001/XMLSchema" xmlns:xs="http://www.w3.org/2001/XMLSchema" xmlns:p="http://schemas.microsoft.com/office/2006/metadata/properties" xmlns:ns2="133de3ae-5bb8-4cbb-9752-c1040d721e37" xmlns:ns3="c6aa829a-de30-4eeb-a917-5f1e16f11f75" xmlns:ns4="d3b91ed5-3f36-4885-8f16-366304d6a523" targetNamespace="http://schemas.microsoft.com/office/2006/metadata/properties" ma:root="true" ma:fieldsID="3d40a0d8e27d163d789eaf5eece8350e" ns2:_="" ns3:_="" ns4:_="">
    <xsd:import namespace="133de3ae-5bb8-4cbb-9752-c1040d721e37"/>
    <xsd:import namespace="c6aa829a-de30-4eeb-a917-5f1e16f11f75"/>
    <xsd:import namespace="d3b91ed5-3f36-4885-8f16-366304d6a523"/>
    <xsd:element name="properties">
      <xsd:complexType>
        <xsd:sequence>
          <xsd:element name="documentManagement">
            <xsd:complexType>
              <xsd:all>
                <xsd:element ref="ns2:Country1" minOccurs="0"/>
                <xsd:element ref="ns3:Phase" minOccurs="0"/>
                <xsd:element ref="ns3:SubPhase" minOccurs="0"/>
                <xsd:element ref="ns2:FY" minOccurs="0"/>
                <xsd:element ref="ns2:ReviewType" minOccurs="0"/>
                <xsd:element ref="ns2:DocumentStatus" minOccurs="0"/>
                <xsd:element ref="ns3:Project" minOccurs="0"/>
                <xsd:element ref="ns3:Activity" minOccurs="0"/>
                <xsd:element ref="ns3:DocType" minOccurs="0"/>
                <xsd:element ref="ns3:SubDocType" minOccurs="0"/>
                <xsd:element ref="ns2:PracticeUnit" minOccurs="0"/>
                <xsd:element ref="ns2:SendTo" minOccurs="0"/>
                <xsd:element ref="ns2:Aggregated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de3ae-5bb8-4cbb-9752-c1040d721e37" elementFormDefault="qualified">
    <xsd:import namespace="http://schemas.microsoft.com/office/2006/documentManagement/types"/>
    <xsd:import namespace="http://schemas.microsoft.com/office/infopath/2007/PartnerControls"/>
    <xsd:element name="Country1" ma:index="1" nillable="true" ma:displayName="Country" ma:default="Guatemala" ma:format="Dropdown" ma:internalName="Country1">
      <xsd:simpleType>
        <xsd:restriction base="dms:Choice">
          <xsd:enumeration value="Guatemala"/>
          <xsd:enumeration value="Honduras"/>
        </xsd:restriction>
      </xsd:simpleType>
    </xsd:element>
    <xsd:element name="FY" ma:index="4" nillable="true" ma:displayName="FY" ma:default="2017" ma:format="Dropdown" ma:internalName="FY">
      <xsd:simpleType>
        <xsd:restriction base="dms:Choice">
          <xsd:enumeration value="2014"/>
          <xsd:enumeration value="2015"/>
          <xsd:enumeration value="2016"/>
          <xsd:enumeration value="2017"/>
          <xsd:enumeration value="2018"/>
          <xsd:enumeration value="2019"/>
          <xsd:enumeration value="2020"/>
          <xsd:enumeration value="2021"/>
          <xsd:enumeration value="2022"/>
        </xsd:restriction>
      </xsd:simpleType>
    </xsd:element>
    <xsd:element name="ReviewType" ma:index="5" nillable="true" ma:displayName="ReviewType" ma:format="Dropdown" ma:internalName="ReviewType">
      <xsd:simpleType>
        <xsd:restriction base="dms:Choice">
          <xsd:enumeration value="No Objection"/>
          <xsd:enumeration value="Technical Review"/>
        </xsd:restriction>
      </xsd:simpleType>
    </xsd:element>
    <xsd:element name="DocumentStatus" ma:index="6" nillable="true" ma:displayName="DocumentStatus" ma:default="Pending" ma:format="Dropdown" ma:internalName="DocumentStatus">
      <xsd:simpleType>
        <xsd:restriction base="dms:Choice">
          <xsd:enumeration value="Pending"/>
          <xsd:enumeration value="Clear"/>
          <xsd:enumeration value="Object"/>
          <xsd:enumeration value="Reviewed"/>
          <xsd:enumeration value="Deferred"/>
        </xsd:restriction>
      </xsd:simpleType>
    </xsd:element>
    <xsd:element name="PracticeUnit" ma:index="11" nillable="true" ma:displayName="PracticeUnit" ma:internalName="PracticeUnit">
      <xsd:complexType>
        <xsd:complexContent>
          <xsd:extension base="dms:MultiChoice">
            <xsd:sequence>
              <xsd:element name="Value" maxOccurs="unbounded" minOccurs="0" nillable="true">
                <xsd:simpleType>
                  <xsd:restriction base="dms:Choice">
                    <xsd:enumeration value="ADMN"/>
                    <xsd:enumeration value="AG"/>
                    <xsd:enumeration value="COMMS"/>
                    <xsd:enumeration value="ECON"/>
                    <xsd:enumeration value="EPG"/>
                    <xsd:enumeration value="ESP"/>
                    <xsd:enumeration value="FA"/>
                    <xsd:enumeration value="FIT"/>
                    <xsd:enumeration value="GSI"/>
                    <xsd:enumeration value="HCD"/>
                    <xsd:enumeration value="M&amp;E"/>
                    <xsd:enumeration value="OGC"/>
                    <xsd:enumeration value="PEPFAR"/>
                    <xsd:enumeration value="PRLP"/>
                    <xsd:enumeration value="PROC"/>
                    <xsd:enumeration value="TVS"/>
                    <xsd:enumeration value="WSI"/>
                    <xsd:enumeration value="ALL"/>
                    <xsd:enumeration value="NONE"/>
                  </xsd:restriction>
                </xsd:simpleType>
              </xsd:element>
            </xsd:sequence>
          </xsd:extension>
        </xsd:complexContent>
      </xsd:complexType>
    </xsd:element>
    <xsd:element name="SendTo" ma:index="12" nillable="true" ma:displayName="SendTo" ma:default="--Choose One--" ma:format="Dropdown" ma:internalName="SendTo">
      <xsd:simpleType>
        <xsd:restriction base="dms:Choice">
          <xsd:enumeration value="--Choose One--"/>
          <xsd:enumeration value="Program Ops"/>
          <xsd:enumeration value="Threshold Docs"/>
        </xsd:restriction>
      </xsd:simpleType>
    </xsd:element>
    <xsd:element name="AggregatedComments" ma:index="13" nillable="true" ma:displayName="AggregatedComments" ma:internalName="Aggregated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aa829a-de30-4eeb-a917-5f1e16f11f75" elementFormDefault="qualified">
    <xsd:import namespace="http://schemas.microsoft.com/office/2006/documentManagement/types"/>
    <xsd:import namespace="http://schemas.microsoft.com/office/infopath/2007/PartnerControls"/>
    <xsd:element name="Phase" ma:index="2" nillable="true" ma:displayName="Phase" ma:list="{40D30680-88E6-4E2D-B67E-CD876C42E85B}" ma:internalName="Phase" ma:showField="Title" ma:web="67c557b8-b921-471e-9697-a5b1256e8d40">
      <xsd:simpleType>
        <xsd:restriction base="dms:Lookup"/>
      </xsd:simpleType>
    </xsd:element>
    <xsd:element name="SubPhase" ma:index="3" nillable="true" ma:displayName="SubPhase" ma:list="{22140E0E-36AA-4C33-9A36-330CFCE54E87}" ma:internalName="SubPhase" ma:showField="Level1" ma:web="67c557b8-b921-471e-9697-a5b1256e8d40">
      <xsd:simpleType>
        <xsd:restriction base="dms:Lookup"/>
      </xsd:simpleType>
    </xsd:element>
    <xsd:element name="Project" ma:index="7" nillable="true" ma:displayName="Project" ma:list="{40D30680-88E6-4E2D-B67E-CD876C42E85B}" ma:internalName="Project" ma:showField="Title" ma:web="67c557b8-b921-471e-9697-a5b1256e8d40">
      <xsd:simpleType>
        <xsd:restriction base="dms:Lookup"/>
      </xsd:simpleType>
    </xsd:element>
    <xsd:element name="Activity" ma:index="8" nillable="true" ma:displayName="Activity" ma:list="{22140E0E-36AA-4C33-9A36-330CFCE54E87}" ma:internalName="Activity" ma:showField="Level1" ma:web="67c557b8-b921-471e-9697-a5b1256e8d40">
      <xsd:simpleType>
        <xsd:restriction base="dms:Lookup"/>
      </xsd:simpleType>
    </xsd:element>
    <xsd:element name="DocType" ma:index="9" nillable="true" ma:displayName="DocType" ma:list="{40D30680-88E6-4E2D-B67E-CD876C42E85B}" ma:internalName="DocType" ma:showField="Title" ma:web="67c557b8-b921-471e-9697-a5b1256e8d40">
      <xsd:simpleType>
        <xsd:restriction base="dms:Lookup"/>
      </xsd:simpleType>
    </xsd:element>
    <xsd:element name="SubDocType" ma:index="10" nillable="true" ma:displayName="SubDocType" ma:list="{22140E0E-36AA-4C33-9A36-330CFCE54E87}" ma:internalName="SubDocType" ma:showField="Level1" ma:web="67c557b8-b921-471e-9697-a5b1256e8d4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3b91ed5-3f36-4885-8f16-366304d6a523"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gregatedComments xmlns="133de3ae-5bb8-4cbb-9752-c1040d721e37">&lt;div&gt;&lt;/div&gt;</AggregatedComments>
    <Country1 xmlns="133de3ae-5bb8-4cbb-9752-c1040d721e37">Guatemala</Country1>
    <PracticeUnit xmlns="133de3ae-5bb8-4cbb-9752-c1040d721e37">
      <Value>FA</Value>
    </PracticeUnit>
    <ReviewType xmlns="133de3ae-5bb8-4cbb-9752-c1040d721e37">Technical Review</ReviewType>
    <FY xmlns="133de3ae-5bb8-4cbb-9752-c1040d721e37">2017</FY>
    <DocumentStatus xmlns="133de3ae-5bb8-4cbb-9752-c1040d721e37">Pending</DocumentStatus>
    <_dlc_DocId xmlns="d3b91ed5-3f36-4885-8f16-366304d6a523">ZNSTWXDCAFYN-217-4</_dlc_DocId>
    <_dlc_DocIdUrl xmlns="d3b91ed5-3f36-4885-8f16-366304d6a523">
      <Url>http://intranet.mcc.gov/department/DPE/Team/POL_CPI/guatemala1/_layouts/DocIdRedir.aspx?ID=ZNSTWXDCAFYN-217-4</Url>
      <Description>ZNSTWXDCAFYN-217-4</Description>
    </_dlc_DocIdUrl>
    <SubDocType xmlns="c6aa829a-de30-4eeb-a917-5f1e16f11f75" xsi:nil="true"/>
    <Activity xmlns="c6aa829a-de30-4eeb-a917-5f1e16f11f75" xsi:nil="true"/>
    <DocType xmlns="c6aa829a-de30-4eeb-a917-5f1e16f11f75" xsi:nil="true"/>
    <Phase xmlns="c6aa829a-de30-4eeb-a917-5f1e16f11f75" xsi:nil="true"/>
    <Project xmlns="c6aa829a-de30-4eeb-a917-5f1e16f11f75" xsi:nil="true"/>
    <SubPhase xmlns="c6aa829a-de30-4eeb-a917-5f1e16f11f75" xsi:nil="true"/>
    <SendTo xmlns="133de3ae-5bb8-4cbb-9752-c1040d721e37">--Choose One--</SendTo>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7308B3-4904-454B-9FE5-211FFF23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de3ae-5bb8-4cbb-9752-c1040d721e37"/>
    <ds:schemaRef ds:uri="c6aa829a-de30-4eeb-a917-5f1e16f11f75"/>
    <ds:schemaRef ds:uri="d3b91ed5-3f36-4885-8f16-366304d6a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C046C-33C0-43F6-B7B3-4A615857768F}">
  <ds:schemaRefs>
    <ds:schemaRef ds:uri="http://schemas.microsoft.com/office/2006/documentManagement/types"/>
    <ds:schemaRef ds:uri="http://schemas.microsoft.com/office/infopath/2007/PartnerControls"/>
    <ds:schemaRef ds:uri="http://www.w3.org/XML/1998/namespace"/>
    <ds:schemaRef ds:uri="133de3ae-5bb8-4cbb-9752-c1040d721e37"/>
    <ds:schemaRef ds:uri="http://purl.org/dc/elements/1.1/"/>
    <ds:schemaRef ds:uri="http://purl.org/dc/dcmitype/"/>
    <ds:schemaRef ds:uri="http://schemas.openxmlformats.org/package/2006/metadata/core-properties"/>
    <ds:schemaRef ds:uri="c6aa829a-de30-4eeb-a917-5f1e16f11f75"/>
    <ds:schemaRef ds:uri="d3b91ed5-3f36-4885-8f16-366304d6a52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38D9C3E-8C92-4208-8A5B-5D97F1107407}">
  <ds:schemaRefs>
    <ds:schemaRef ds:uri="http://schemas.microsoft.com/sharepoint/events"/>
  </ds:schemaRefs>
</ds:datastoreItem>
</file>

<file path=customXml/itemProps4.xml><?xml version="1.0" encoding="utf-8"?>
<ds:datastoreItem xmlns:ds="http://schemas.openxmlformats.org/officeDocument/2006/customXml" ds:itemID="{66C1C87B-2292-46AA-AF9B-7AA0FD922D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Error checks</vt:lpstr>
      <vt:lpstr>Historico</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2020-04-02T15:47:13Z</cp:lastPrinted>
  <dcterms:created xsi:type="dcterms:W3CDTF">2016-05-12T16:21:20Z</dcterms:created>
  <dcterms:modified xsi:type="dcterms:W3CDTF">2021-12-21T04:07:58Z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082eae01-d6a2-4991-94c0-3e83e35649f4</vt:lpwstr>
  </property>
  <property fmtid="{D5CDD505-2E9C-101B-9397-08002B2CF9AE}" pid="3" name="ContentTypeId">
    <vt:lpwstr>0x01010060F0C3B9C1A6634EB9ABC54E876D711E003DCEA2CA0D72C4489A479CA46ABC2FD4</vt:lpwstr>
  </property>
</Properties>
</file>