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sué Ricart\Desktop\Información Página Web\10. Requerimientos de Desembolso e informes requeridos por MCC relacionados\15 desembolso\"/>
    </mc:Choice>
  </mc:AlternateContent>
  <bookViews>
    <workbookView xWindow="0" yWindow="0" windowWidth="2010" windowHeight="0" activeTab="1"/>
  </bookViews>
  <sheets>
    <sheet name="DFP-Com" sheetId="1" r:id="rId1"/>
    <sheet name="DFP-CASH" sheetId="2" r:id="rId2"/>
    <sheet name="QFR - A" sheetId="3" r:id="rId3"/>
    <sheet name="QFR - B" sheetId="4" r:id="rId4"/>
    <sheet name="THP DR" sheetId="5" r:id="rId5"/>
    <sheet name="Contract level" sheetId="6" r:id="rId6"/>
    <sheet name="Error checks" sheetId="7" r:id="rId7"/>
    <sheet name="Historico" sheetId="9" state="hidden" r:id="rId8"/>
  </sheets>
  <externalReferences>
    <externalReference r:id="rId9"/>
  </externalReferences>
  <definedNames>
    <definedName name="_xlnm._FilterDatabase" localSheetId="5" hidden="1">'Contract level'!$A$3:$BR$169</definedName>
    <definedName name="_xlnm._FilterDatabase" localSheetId="1" hidden="1">'DFP-CASH'!$C$1:$E$85</definedName>
    <definedName name="_xlnm._FilterDatabase" localSheetId="7" hidden="1">Historico!$A$3:$BD$38</definedName>
    <definedName name="_xlnm.Print_Area" localSheetId="1">'DFP-CASH'!$B$11:$P$54</definedName>
    <definedName name="_xlnm.Print_Area" localSheetId="0">'DFP-Com'!$B$9:$P$52</definedName>
    <definedName name="ScheduleA" localSheetId="7">#REF!</definedName>
    <definedName name="ScheduleA">#REF!</definedName>
    <definedName name="ScheduleB" localSheetId="7">#REF!</definedName>
    <definedName name="ScheduleB">#REF!</definedName>
    <definedName name="ScheduleF" localSheetId="7">#REF!</definedName>
    <definedName name="ScheduleF">#REF!</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51" i="2" l="1"/>
  <c r="BQ105" i="6"/>
  <c r="BP105" i="6"/>
  <c r="BO105" i="6"/>
  <c r="BN105" i="6"/>
  <c r="BM105" i="6"/>
  <c r="BL105" i="6"/>
  <c r="BK105" i="6"/>
  <c r="BJ105" i="6"/>
  <c r="BI105" i="6"/>
  <c r="BH105" i="6"/>
  <c r="BG105" i="6"/>
  <c r="BF105" i="6"/>
  <c r="BE105" i="6"/>
  <c r="BD105" i="6"/>
  <c r="BC105" i="6"/>
  <c r="BB105" i="6"/>
  <c r="BA105" i="6"/>
  <c r="AZ105" i="6"/>
  <c r="AY105" i="6"/>
  <c r="AX105" i="6"/>
  <c r="AV105" i="6"/>
  <c r="AU105" i="6"/>
  <c r="AT105" i="6"/>
  <c r="AS105" i="6"/>
  <c r="AR105" i="6"/>
  <c r="AQ105" i="6"/>
  <c r="AP105" i="6"/>
  <c r="AO105" i="6"/>
  <c r="AN105" i="6"/>
  <c r="AM105" i="6"/>
  <c r="AL105" i="6"/>
  <c r="AK105" i="6"/>
  <c r="AJ105" i="6"/>
  <c r="AI105" i="6"/>
  <c r="AH105" i="6"/>
  <c r="AG105" i="6"/>
  <c r="AF105" i="6"/>
  <c r="AE105" i="6"/>
  <c r="AD105" i="6"/>
  <c r="AC105" i="6"/>
  <c r="Z105" i="6"/>
  <c r="Z145" i="6"/>
  <c r="U140" i="6"/>
  <c r="T140" i="6"/>
  <c r="AQ140" i="6" s="1"/>
  <c r="BR105" i="6" l="1"/>
  <c r="V22" i="6" l="1"/>
  <c r="AO145" i="6" l="1"/>
  <c r="AP145" i="6"/>
  <c r="AL145" i="6"/>
  <c r="BK145" i="6"/>
  <c r="D19" i="7" l="1"/>
  <c r="E19" i="7"/>
  <c r="F19" i="7"/>
  <c r="G19" i="7"/>
  <c r="W21" i="6"/>
  <c r="W14" i="6"/>
  <c r="V16" i="6"/>
  <c r="AN140" i="6"/>
  <c r="BQ20" i="6"/>
  <c r="BP20" i="6"/>
  <c r="BO20" i="6"/>
  <c r="BN20" i="6"/>
  <c r="BM20" i="6"/>
  <c r="BL20" i="6"/>
  <c r="BK20" i="6"/>
  <c r="BJ20" i="6"/>
  <c r="BI20" i="6"/>
  <c r="BH20" i="6"/>
  <c r="BG20" i="6"/>
  <c r="BF20" i="6"/>
  <c r="BE20" i="6"/>
  <c r="BD20" i="6"/>
  <c r="BC20" i="6"/>
  <c r="BB20" i="6"/>
  <c r="BA20" i="6"/>
  <c r="AZ20" i="6"/>
  <c r="AY20" i="6"/>
  <c r="AX20" i="6"/>
  <c r="AU20" i="6"/>
  <c r="AT20" i="6"/>
  <c r="AS20" i="6"/>
  <c r="AR20" i="6"/>
  <c r="AQ20" i="6"/>
  <c r="AP20" i="6"/>
  <c r="AO20" i="6"/>
  <c r="AN20" i="6"/>
  <c r="AM20" i="6"/>
  <c r="AL20" i="6"/>
  <c r="AK20" i="6"/>
  <c r="AJ20" i="6"/>
  <c r="AI20" i="6"/>
  <c r="AH20" i="6"/>
  <c r="AG20" i="6"/>
  <c r="AF20" i="6"/>
  <c r="AE20" i="6"/>
  <c r="AD20" i="6"/>
  <c r="AC20" i="6"/>
  <c r="Z20" i="6"/>
  <c r="BR20" i="6" l="1"/>
  <c r="C26" i="2" l="1"/>
  <c r="C25" i="2"/>
  <c r="Z121" i="6" l="1"/>
  <c r="AC121" i="6"/>
  <c r="AD121" i="6"/>
  <c r="AE121" i="6"/>
  <c r="AF121" i="6"/>
  <c r="AG121" i="6"/>
  <c r="AH121" i="6"/>
  <c r="AI121" i="6"/>
  <c r="AJ121" i="6"/>
  <c r="AK121" i="6"/>
  <c r="AL121" i="6"/>
  <c r="AM121" i="6"/>
  <c r="AN121" i="6"/>
  <c r="AO121" i="6"/>
  <c r="AP121" i="6"/>
  <c r="AQ121" i="6"/>
  <c r="AR121" i="6"/>
  <c r="AS121" i="6"/>
  <c r="AT121" i="6"/>
  <c r="AU121" i="6"/>
  <c r="AV121" i="6"/>
  <c r="AX121" i="6"/>
  <c r="AY121" i="6"/>
  <c r="AZ121" i="6"/>
  <c r="BA121" i="6"/>
  <c r="BB121" i="6"/>
  <c r="BC121" i="6"/>
  <c r="BD121" i="6"/>
  <c r="BE121" i="6"/>
  <c r="BF121" i="6"/>
  <c r="BG121" i="6"/>
  <c r="BH121" i="6"/>
  <c r="BI121" i="6"/>
  <c r="BJ121" i="6"/>
  <c r="BK121" i="6"/>
  <c r="BL121" i="6"/>
  <c r="BM121" i="6"/>
  <c r="BN121" i="6"/>
  <c r="BO121" i="6"/>
  <c r="BP121" i="6"/>
  <c r="BQ121" i="6"/>
  <c r="K114" i="6"/>
  <c r="R118" i="6"/>
  <c r="Z132" i="6"/>
  <c r="BR121" i="6" l="1"/>
  <c r="BK129" i="6"/>
  <c r="X45" i="6"/>
  <c r="Z45" i="6" s="1"/>
  <c r="X44" i="6"/>
  <c r="AU44" i="6" s="1"/>
  <c r="AP129" i="6"/>
  <c r="AQ129" i="6"/>
  <c r="X42" i="6"/>
  <c r="AC45" i="6"/>
  <c r="AD45" i="6"/>
  <c r="AE45" i="6"/>
  <c r="AF45" i="6"/>
  <c r="AG45" i="6"/>
  <c r="AH45" i="6"/>
  <c r="AI45" i="6"/>
  <c r="AJ45" i="6"/>
  <c r="AK45" i="6"/>
  <c r="AL45" i="6"/>
  <c r="AM45" i="6"/>
  <c r="AN45" i="6"/>
  <c r="AO45" i="6"/>
  <c r="AP45" i="6"/>
  <c r="AQ45" i="6"/>
  <c r="AR45" i="6"/>
  <c r="AS45" i="6"/>
  <c r="AT45" i="6"/>
  <c r="AX45" i="6"/>
  <c r="AY45" i="6"/>
  <c r="AZ45" i="6"/>
  <c r="BA45" i="6"/>
  <c r="BB45" i="6"/>
  <c r="BC45" i="6"/>
  <c r="BD45" i="6"/>
  <c r="BE45" i="6"/>
  <c r="BF45" i="6"/>
  <c r="BG45" i="6"/>
  <c r="BH45" i="6"/>
  <c r="BI45" i="6"/>
  <c r="BJ45" i="6"/>
  <c r="BK45" i="6"/>
  <c r="BL45" i="6"/>
  <c r="BM45" i="6"/>
  <c r="BN45" i="6"/>
  <c r="BO45" i="6"/>
  <c r="BP45" i="6"/>
  <c r="BQ45" i="6"/>
  <c r="Z46" i="6"/>
  <c r="AC46" i="6"/>
  <c r="AD46" i="6"/>
  <c r="AE46" i="6"/>
  <c r="AF46" i="6"/>
  <c r="AG46" i="6"/>
  <c r="AH46" i="6"/>
  <c r="AI46" i="6"/>
  <c r="AJ46" i="6"/>
  <c r="AK46" i="6"/>
  <c r="AL46" i="6"/>
  <c r="AM46" i="6"/>
  <c r="AN46" i="6"/>
  <c r="AO46" i="6"/>
  <c r="AP46" i="6"/>
  <c r="AQ46" i="6"/>
  <c r="AR46" i="6"/>
  <c r="AS46" i="6"/>
  <c r="AT46" i="6"/>
  <c r="AU46" i="6"/>
  <c r="AX46" i="6"/>
  <c r="AY46" i="6"/>
  <c r="AZ46" i="6"/>
  <c r="BA46" i="6"/>
  <c r="BB46" i="6"/>
  <c r="BC46" i="6"/>
  <c r="BD46" i="6"/>
  <c r="BE46" i="6"/>
  <c r="BF46" i="6"/>
  <c r="BG46" i="6"/>
  <c r="BH46" i="6"/>
  <c r="BI46" i="6"/>
  <c r="BJ46" i="6"/>
  <c r="BK46" i="6"/>
  <c r="BL46" i="6"/>
  <c r="BM46" i="6"/>
  <c r="BN46" i="6"/>
  <c r="BO46" i="6"/>
  <c r="BP46" i="6"/>
  <c r="BQ46" i="6"/>
  <c r="BQ44" i="6"/>
  <c r="BP44" i="6"/>
  <c r="BO44" i="6"/>
  <c r="BN44" i="6"/>
  <c r="BM44" i="6"/>
  <c r="BL44" i="6"/>
  <c r="BK44" i="6"/>
  <c r="BJ44" i="6"/>
  <c r="BI44" i="6"/>
  <c r="BH44" i="6"/>
  <c r="BG44" i="6"/>
  <c r="BF44" i="6"/>
  <c r="BE44" i="6"/>
  <c r="BD44" i="6"/>
  <c r="BC44" i="6"/>
  <c r="BB44" i="6"/>
  <c r="BA44" i="6"/>
  <c r="AZ44" i="6"/>
  <c r="AY44" i="6"/>
  <c r="AX44" i="6"/>
  <c r="AT44" i="6"/>
  <c r="AS44" i="6"/>
  <c r="AR44" i="6"/>
  <c r="AQ44" i="6"/>
  <c r="AP44" i="6"/>
  <c r="AO44" i="6"/>
  <c r="AN44" i="6"/>
  <c r="AM44" i="6"/>
  <c r="AL44" i="6"/>
  <c r="AK44" i="6"/>
  <c r="AJ44" i="6"/>
  <c r="AI44" i="6"/>
  <c r="AH44" i="6"/>
  <c r="AG44" i="6"/>
  <c r="AF44" i="6"/>
  <c r="AE44" i="6"/>
  <c r="AD44" i="6"/>
  <c r="AC44" i="6"/>
  <c r="Z44" i="6" l="1"/>
  <c r="AU45" i="6"/>
  <c r="BR45" i="6" s="1"/>
  <c r="BR46" i="6"/>
  <c r="BR44" i="6"/>
  <c r="Z92" i="6" l="1"/>
  <c r="AC92" i="6"/>
  <c r="AD92" i="6"/>
  <c r="AE92" i="6"/>
  <c r="AF92" i="6"/>
  <c r="AG92" i="6"/>
  <c r="AH92" i="6"/>
  <c r="AI92" i="6"/>
  <c r="AJ92" i="6"/>
  <c r="AK92" i="6"/>
  <c r="AL92" i="6"/>
  <c r="AM92" i="6"/>
  <c r="AN92" i="6"/>
  <c r="AO92" i="6"/>
  <c r="AP92" i="6"/>
  <c r="AQ92" i="6"/>
  <c r="AR92" i="6"/>
  <c r="AS92" i="6"/>
  <c r="AT92" i="6"/>
  <c r="AU92" i="6"/>
  <c r="AX92" i="6"/>
  <c r="AY92" i="6"/>
  <c r="AZ92" i="6"/>
  <c r="BA92" i="6"/>
  <c r="BB92" i="6"/>
  <c r="BC92" i="6"/>
  <c r="BD92" i="6"/>
  <c r="BE92" i="6"/>
  <c r="BF92" i="6"/>
  <c r="BG92" i="6"/>
  <c r="BH92" i="6"/>
  <c r="BI92" i="6"/>
  <c r="BJ92" i="6"/>
  <c r="BK92" i="6"/>
  <c r="BL92" i="6"/>
  <c r="BM92" i="6"/>
  <c r="BN92" i="6"/>
  <c r="BO92" i="6"/>
  <c r="BP92" i="6"/>
  <c r="BQ92" i="6"/>
  <c r="W93" i="6"/>
  <c r="Z100" i="6"/>
  <c r="AC100" i="6"/>
  <c r="AD100" i="6"/>
  <c r="AE100" i="6"/>
  <c r="AF100" i="6"/>
  <c r="AG100" i="6"/>
  <c r="AH100" i="6"/>
  <c r="AI100" i="6"/>
  <c r="AJ100" i="6"/>
  <c r="AK100" i="6"/>
  <c r="AL100" i="6"/>
  <c r="AM100" i="6"/>
  <c r="AN100" i="6"/>
  <c r="AO100" i="6"/>
  <c r="AP100" i="6"/>
  <c r="AQ100" i="6"/>
  <c r="AR100" i="6"/>
  <c r="AS100" i="6"/>
  <c r="AT100" i="6"/>
  <c r="AU100" i="6"/>
  <c r="AX100" i="6"/>
  <c r="AY100" i="6"/>
  <c r="AZ100" i="6"/>
  <c r="BA100" i="6"/>
  <c r="BB100" i="6"/>
  <c r="BC100" i="6"/>
  <c r="BD100" i="6"/>
  <c r="BE100" i="6"/>
  <c r="BF100" i="6"/>
  <c r="BG100" i="6"/>
  <c r="BH100" i="6"/>
  <c r="BI100" i="6"/>
  <c r="BJ100" i="6"/>
  <c r="BK100" i="6"/>
  <c r="BL100" i="6"/>
  <c r="BM100" i="6"/>
  <c r="BN100" i="6"/>
  <c r="BO100" i="6"/>
  <c r="BP100" i="6"/>
  <c r="BQ100" i="6"/>
  <c r="V83" i="6"/>
  <c r="V79" i="6"/>
  <c r="BR92" i="6" l="1"/>
  <c r="BR100" i="6"/>
  <c r="X81" i="6" l="1"/>
  <c r="E39" i="2" l="1"/>
  <c r="M39" i="1" l="1"/>
  <c r="M40" i="1"/>
  <c r="M18" i="2"/>
  <c r="M19" i="2"/>
  <c r="M20" i="2"/>
  <c r="M24" i="2"/>
  <c r="M26" i="2"/>
  <c r="M31" i="2"/>
  <c r="M30" i="2" s="1"/>
  <c r="M33" i="2"/>
  <c r="M34" i="2"/>
  <c r="M35" i="2"/>
  <c r="M40" i="2"/>
  <c r="M41" i="2"/>
  <c r="M42" i="2"/>
  <c r="M43" i="2"/>
  <c r="M49" i="2"/>
  <c r="M32" i="2" l="1"/>
  <c r="M36" i="2" s="1"/>
  <c r="M39" i="2"/>
  <c r="M44" i="2" s="1"/>
  <c r="M17" i="2"/>
  <c r="H28" i="7" l="1"/>
  <c r="H29" i="7"/>
  <c r="H37" i="7"/>
  <c r="H38" i="7"/>
  <c r="H45" i="7"/>
  <c r="H46" i="7"/>
  <c r="H53" i="7"/>
  <c r="Z21" i="6" l="1"/>
  <c r="AC21" i="6"/>
  <c r="AD21" i="6"/>
  <c r="AE21" i="6"/>
  <c r="AF21" i="6"/>
  <c r="AG21" i="6"/>
  <c r="AH21" i="6"/>
  <c r="AI21" i="6"/>
  <c r="AJ21" i="6"/>
  <c r="AK21" i="6"/>
  <c r="AL21" i="6"/>
  <c r="AM21" i="6"/>
  <c r="AN21" i="6"/>
  <c r="AO21" i="6"/>
  <c r="AP21" i="6"/>
  <c r="AQ21" i="6"/>
  <c r="AR21" i="6"/>
  <c r="AS21" i="6"/>
  <c r="AT21" i="6"/>
  <c r="AU21" i="6"/>
  <c r="AX21" i="6"/>
  <c r="AY21" i="6"/>
  <c r="AZ21" i="6"/>
  <c r="BA21" i="6"/>
  <c r="BB21" i="6"/>
  <c r="BC21" i="6"/>
  <c r="BD21" i="6"/>
  <c r="BE21" i="6"/>
  <c r="BF21" i="6"/>
  <c r="BG21" i="6"/>
  <c r="BH21" i="6"/>
  <c r="BI21" i="6"/>
  <c r="BJ21" i="6"/>
  <c r="BK21" i="6"/>
  <c r="BL21" i="6"/>
  <c r="BM21" i="6"/>
  <c r="BN21" i="6"/>
  <c r="BO21" i="6"/>
  <c r="BP21" i="6"/>
  <c r="BQ21" i="6"/>
  <c r="BR21" i="6" l="1"/>
  <c r="Z96" i="6" l="1"/>
  <c r="AC96" i="6"/>
  <c r="AD96" i="6"/>
  <c r="AE96" i="6"/>
  <c r="AF96" i="6"/>
  <c r="AG96" i="6"/>
  <c r="AH96" i="6"/>
  <c r="AI96" i="6"/>
  <c r="AJ96" i="6"/>
  <c r="AK96" i="6"/>
  <c r="AL96" i="6"/>
  <c r="AM96" i="6"/>
  <c r="AN96" i="6"/>
  <c r="AO96" i="6"/>
  <c r="AP96" i="6"/>
  <c r="AQ96" i="6"/>
  <c r="AR96" i="6"/>
  <c r="AS96" i="6"/>
  <c r="AT96" i="6"/>
  <c r="AU96" i="6"/>
  <c r="AX96" i="6"/>
  <c r="AY96" i="6"/>
  <c r="AZ96" i="6"/>
  <c r="BA96" i="6"/>
  <c r="BB96" i="6"/>
  <c r="BC96" i="6"/>
  <c r="BD96" i="6"/>
  <c r="BE96" i="6"/>
  <c r="BF96" i="6"/>
  <c r="BG96" i="6"/>
  <c r="BH96" i="6"/>
  <c r="BI96" i="6"/>
  <c r="BJ96" i="6"/>
  <c r="BK96" i="6"/>
  <c r="BL96" i="6"/>
  <c r="BM96" i="6"/>
  <c r="BN96" i="6"/>
  <c r="BO96" i="6"/>
  <c r="BP96" i="6"/>
  <c r="BQ96" i="6"/>
  <c r="Z93" i="6"/>
  <c r="Z89" i="6"/>
  <c r="Z82" i="6"/>
  <c r="AC89" i="6"/>
  <c r="AD89" i="6"/>
  <c r="AE89" i="6"/>
  <c r="AF89" i="6"/>
  <c r="AG89" i="6"/>
  <c r="AH89" i="6"/>
  <c r="AI89" i="6"/>
  <c r="AJ89" i="6"/>
  <c r="AK89" i="6"/>
  <c r="AL89" i="6"/>
  <c r="AM89" i="6"/>
  <c r="AN89" i="6"/>
  <c r="AO89" i="6"/>
  <c r="AP89" i="6"/>
  <c r="AQ89" i="6"/>
  <c r="AR89" i="6"/>
  <c r="AS89" i="6"/>
  <c r="AT89" i="6"/>
  <c r="AU89" i="6"/>
  <c r="AX89" i="6"/>
  <c r="AY89" i="6"/>
  <c r="AZ89" i="6"/>
  <c r="BA89" i="6"/>
  <c r="BB89" i="6"/>
  <c r="BC89" i="6"/>
  <c r="BD89" i="6"/>
  <c r="BE89" i="6"/>
  <c r="BF89" i="6"/>
  <c r="BG89" i="6"/>
  <c r="BH89" i="6"/>
  <c r="BI89" i="6"/>
  <c r="BJ89" i="6"/>
  <c r="BK89" i="6"/>
  <c r="BL89" i="6"/>
  <c r="BM89" i="6"/>
  <c r="BN89" i="6"/>
  <c r="BO89" i="6"/>
  <c r="BP89" i="6"/>
  <c r="BQ89" i="6"/>
  <c r="BR96" i="6" l="1"/>
  <c r="BR89" i="6"/>
  <c r="F42" i="7" l="1"/>
  <c r="F43" i="7"/>
  <c r="E43" i="7"/>
  <c r="AE130" i="6" l="1"/>
  <c r="AF130" i="6"/>
  <c r="AG130" i="6"/>
  <c r="AH130" i="6"/>
  <c r="AI130" i="6"/>
  <c r="AJ130" i="6"/>
  <c r="AK130" i="6"/>
  <c r="AL130" i="6"/>
  <c r="AM130" i="6"/>
  <c r="AN130" i="6"/>
  <c r="AD130" i="6"/>
  <c r="AC130" i="6"/>
  <c r="D130" i="6"/>
  <c r="D131" i="6"/>
  <c r="D136" i="6"/>
  <c r="D132" i="6"/>
  <c r="BQ144" i="6"/>
  <c r="BP144" i="6"/>
  <c r="BO144" i="6"/>
  <c r="BN144" i="6"/>
  <c r="BM144" i="6"/>
  <c r="BL144" i="6"/>
  <c r="BK144" i="6"/>
  <c r="BJ144" i="6"/>
  <c r="BI144" i="6"/>
  <c r="BH144" i="6"/>
  <c r="BG144" i="6"/>
  <c r="BF144" i="6"/>
  <c r="BE144" i="6"/>
  <c r="BD144" i="6"/>
  <c r="BC144" i="6"/>
  <c r="BB144" i="6"/>
  <c r="BA144" i="6"/>
  <c r="AZ144" i="6"/>
  <c r="AY144" i="6"/>
  <c r="AX144" i="6"/>
  <c r="AU144" i="6"/>
  <c r="AT144" i="6"/>
  <c r="AS144" i="6"/>
  <c r="AR144" i="6"/>
  <c r="AQ144" i="6"/>
  <c r="AP144" i="6"/>
  <c r="AO144" i="6"/>
  <c r="AN144" i="6"/>
  <c r="AM144" i="6"/>
  <c r="AL144" i="6"/>
  <c r="AK144" i="6"/>
  <c r="AJ144" i="6"/>
  <c r="AI144" i="6"/>
  <c r="AH144" i="6"/>
  <c r="AG144" i="6"/>
  <c r="AF144" i="6"/>
  <c r="AE144" i="6"/>
  <c r="AD144" i="6"/>
  <c r="AC144" i="6"/>
  <c r="Z144" i="6"/>
  <c r="BR144" i="6" l="1"/>
  <c r="D135" i="6" l="1"/>
  <c r="BG135" i="6"/>
  <c r="BF135" i="6"/>
  <c r="BE135" i="6"/>
  <c r="BD135" i="6"/>
  <c r="BC135" i="6"/>
  <c r="BB135" i="6"/>
  <c r="BA135" i="6"/>
  <c r="AZ135" i="6"/>
  <c r="AY135" i="6"/>
  <c r="AX135" i="6"/>
  <c r="AV135" i="6"/>
  <c r="AU135" i="6"/>
  <c r="AT135" i="6"/>
  <c r="AS135" i="6"/>
  <c r="AR135" i="6"/>
  <c r="AQ135" i="6"/>
  <c r="AP135" i="6"/>
  <c r="AO135" i="6"/>
  <c r="AN135" i="6"/>
  <c r="AM135" i="6"/>
  <c r="AL135" i="6"/>
  <c r="AK135" i="6"/>
  <c r="AJ135" i="6"/>
  <c r="AI135" i="6"/>
  <c r="AH135" i="6"/>
  <c r="AG135" i="6"/>
  <c r="AF135" i="6"/>
  <c r="AE135" i="6"/>
  <c r="AD135" i="6"/>
  <c r="AC135" i="6"/>
  <c r="Z135" i="6"/>
  <c r="D18" i="7"/>
  <c r="E18" i="7"/>
  <c r="F18" i="7"/>
  <c r="G18" i="7"/>
  <c r="D20" i="7"/>
  <c r="E20" i="7"/>
  <c r="F20" i="7"/>
  <c r="G20" i="7"/>
  <c r="D22" i="7"/>
  <c r="E22" i="7"/>
  <c r="F22" i="7"/>
  <c r="G22" i="7"/>
  <c r="D24" i="7"/>
  <c r="E24" i="7"/>
  <c r="F24" i="7"/>
  <c r="G24" i="7"/>
  <c r="D25" i="7"/>
  <c r="D26" i="7"/>
  <c r="E26" i="7"/>
  <c r="F26" i="7"/>
  <c r="G26" i="7"/>
  <c r="D28" i="7"/>
  <c r="E28" i="7"/>
  <c r="F28" i="7"/>
  <c r="G28" i="7"/>
  <c r="I28" i="7"/>
  <c r="J28" i="7"/>
  <c r="K28" i="7"/>
  <c r="D29" i="7"/>
  <c r="E29" i="7"/>
  <c r="F29" i="7"/>
  <c r="G29" i="7"/>
  <c r="I29" i="7"/>
  <c r="J29" i="7"/>
  <c r="K29" i="7"/>
  <c r="D31" i="7"/>
  <c r="E31" i="7"/>
  <c r="F31" i="7"/>
  <c r="D33" i="7"/>
  <c r="E33" i="7"/>
  <c r="F33" i="7"/>
  <c r="G33" i="7"/>
  <c r="D34" i="7"/>
  <c r="E34" i="7"/>
  <c r="F34" i="7"/>
  <c r="G34" i="7"/>
  <c r="D35" i="7"/>
  <c r="E35" i="7"/>
  <c r="F35" i="7"/>
  <c r="G35" i="7"/>
  <c r="D37" i="7"/>
  <c r="E37" i="7"/>
  <c r="F37" i="7"/>
  <c r="G37" i="7"/>
  <c r="I37" i="7"/>
  <c r="J37" i="7"/>
  <c r="K37" i="7"/>
  <c r="D38" i="7"/>
  <c r="E38" i="7"/>
  <c r="F38" i="7"/>
  <c r="G38" i="7"/>
  <c r="I38" i="7"/>
  <c r="J38" i="7"/>
  <c r="K38" i="7"/>
  <c r="D41" i="7"/>
  <c r="E41" i="7"/>
  <c r="F41" i="7"/>
  <c r="G41" i="7"/>
  <c r="D42" i="7"/>
  <c r="E42" i="7"/>
  <c r="G42" i="7"/>
  <c r="D43" i="7"/>
  <c r="D45" i="7"/>
  <c r="E45" i="7"/>
  <c r="F45" i="7"/>
  <c r="G45" i="7"/>
  <c r="I45" i="7"/>
  <c r="J45" i="7"/>
  <c r="K45" i="7"/>
  <c r="D46" i="7"/>
  <c r="E46" i="7"/>
  <c r="F46" i="7"/>
  <c r="G46" i="7"/>
  <c r="I46" i="7"/>
  <c r="J46" i="7"/>
  <c r="K46" i="7"/>
  <c r="D48" i="7"/>
  <c r="E48" i="7"/>
  <c r="F48" i="7"/>
  <c r="G48" i="7"/>
  <c r="D50" i="7"/>
  <c r="E50" i="7"/>
  <c r="F50" i="7"/>
  <c r="G50" i="7"/>
  <c r="D51" i="7"/>
  <c r="E51" i="7"/>
  <c r="F51" i="7"/>
  <c r="G51" i="7"/>
  <c r="D53" i="7"/>
  <c r="E53" i="7"/>
  <c r="F53" i="7"/>
  <c r="G53" i="7"/>
  <c r="I53" i="7"/>
  <c r="J53" i="7"/>
  <c r="K53" i="7"/>
  <c r="BQ119" i="6"/>
  <c r="BP119" i="6"/>
  <c r="BO119" i="6"/>
  <c r="BN119" i="6"/>
  <c r="BM119" i="6"/>
  <c r="BL119" i="6"/>
  <c r="BI119" i="6"/>
  <c r="BH119" i="6"/>
  <c r="BG119" i="6"/>
  <c r="BF119" i="6"/>
  <c r="BE119" i="6"/>
  <c r="BD119" i="6"/>
  <c r="BC119" i="6"/>
  <c r="BB119" i="6"/>
  <c r="BA119" i="6"/>
  <c r="AZ119" i="6"/>
  <c r="AY119" i="6"/>
  <c r="AX119" i="6"/>
  <c r="AV119" i="6"/>
  <c r="AU119" i="6"/>
  <c r="AT119" i="6"/>
  <c r="AS119" i="6"/>
  <c r="AR119" i="6"/>
  <c r="AQ119" i="6"/>
  <c r="AP119" i="6"/>
  <c r="AO119" i="6"/>
  <c r="AN119" i="6"/>
  <c r="AM119" i="6"/>
  <c r="AL119" i="6"/>
  <c r="AK119" i="6"/>
  <c r="AJ119" i="6"/>
  <c r="AI119" i="6"/>
  <c r="AH119" i="6"/>
  <c r="AG119" i="6"/>
  <c r="AF119" i="6"/>
  <c r="AE119" i="6"/>
  <c r="AD119" i="6"/>
  <c r="AC119" i="6"/>
  <c r="Z119" i="6"/>
  <c r="AV111" i="6"/>
  <c r="AV112" i="6"/>
  <c r="AV113" i="6"/>
  <c r="AV114" i="6"/>
  <c r="AV115" i="6"/>
  <c r="AV116" i="6"/>
  <c r="AV117" i="6"/>
  <c r="AV118" i="6"/>
  <c r="AV120" i="6"/>
  <c r="AV104" i="6"/>
  <c r="AV106" i="6"/>
  <c r="AV107" i="6"/>
  <c r="AV108" i="6"/>
  <c r="AV109" i="6"/>
  <c r="AV110" i="6"/>
  <c r="AU106" i="6"/>
  <c r="AU107" i="6"/>
  <c r="AU108" i="6"/>
  <c r="AV103" i="6"/>
  <c r="AV102" i="6"/>
  <c r="M50" i="2" s="1"/>
  <c r="Z134" i="6"/>
  <c r="Z120" i="6"/>
  <c r="Z117" i="6"/>
  <c r="Z116" i="6"/>
  <c r="Z113" i="6"/>
  <c r="Z114" i="6"/>
  <c r="Z115" i="6"/>
  <c r="Z112" i="6"/>
  <c r="Z111" i="6"/>
  <c r="Z109" i="6"/>
  <c r="Z108" i="6"/>
  <c r="Z107" i="6"/>
  <c r="Z103" i="6"/>
  <c r="Z104" i="6"/>
  <c r="Z106" i="6"/>
  <c r="Z110" i="6"/>
  <c r="D40" i="7"/>
  <c r="BQ84" i="6"/>
  <c r="BP84" i="6"/>
  <c r="BO84" i="6"/>
  <c r="BN84" i="6"/>
  <c r="BM84" i="6"/>
  <c r="BL84" i="6"/>
  <c r="BK84" i="6"/>
  <c r="BJ84" i="6"/>
  <c r="BI84" i="6"/>
  <c r="BH84" i="6"/>
  <c r="BG84" i="6"/>
  <c r="BF84" i="6"/>
  <c r="BE84" i="6"/>
  <c r="BD84" i="6"/>
  <c r="BC84" i="6"/>
  <c r="BB84" i="6"/>
  <c r="BA84" i="6"/>
  <c r="AZ84" i="6"/>
  <c r="AY84" i="6"/>
  <c r="AX84" i="6"/>
  <c r="AU84" i="6"/>
  <c r="AT84" i="6"/>
  <c r="AS84" i="6"/>
  <c r="AR84" i="6"/>
  <c r="AQ84" i="6"/>
  <c r="AP84" i="6"/>
  <c r="AO84" i="6"/>
  <c r="AN84" i="6"/>
  <c r="AM84" i="6"/>
  <c r="AL84" i="6"/>
  <c r="AK84" i="6"/>
  <c r="AJ84" i="6"/>
  <c r="AI84" i="6"/>
  <c r="AH84" i="6"/>
  <c r="AG84" i="6"/>
  <c r="AF84" i="6"/>
  <c r="AE84" i="6"/>
  <c r="AD84" i="6"/>
  <c r="AC84" i="6"/>
  <c r="Z84" i="6"/>
  <c r="BQ93" i="6"/>
  <c r="BP93" i="6"/>
  <c r="BO93" i="6"/>
  <c r="BN93" i="6"/>
  <c r="BM93" i="6"/>
  <c r="BL93" i="6"/>
  <c r="BK93" i="6"/>
  <c r="BJ93" i="6"/>
  <c r="BI93" i="6"/>
  <c r="BH93" i="6"/>
  <c r="BG93" i="6"/>
  <c r="BF93" i="6"/>
  <c r="BE93" i="6"/>
  <c r="BD93" i="6"/>
  <c r="BC93" i="6"/>
  <c r="BB93" i="6"/>
  <c r="BA93" i="6"/>
  <c r="AZ93" i="6"/>
  <c r="AY93" i="6"/>
  <c r="AX93" i="6"/>
  <c r="AU93" i="6"/>
  <c r="AT93" i="6"/>
  <c r="AS93" i="6"/>
  <c r="AR93" i="6"/>
  <c r="AQ93" i="6"/>
  <c r="AP93" i="6"/>
  <c r="AO93" i="6"/>
  <c r="AN93" i="6"/>
  <c r="AM93" i="6"/>
  <c r="AL93" i="6"/>
  <c r="AK93" i="6"/>
  <c r="AJ93" i="6"/>
  <c r="AI93" i="6"/>
  <c r="AH93" i="6"/>
  <c r="AG93" i="6"/>
  <c r="AF93" i="6"/>
  <c r="AE93" i="6"/>
  <c r="AD93" i="6"/>
  <c r="AC93" i="6"/>
  <c r="M51" i="2" l="1"/>
  <c r="F40" i="7"/>
  <c r="G40" i="7"/>
  <c r="E40" i="7"/>
  <c r="BR135" i="6"/>
  <c r="BR119" i="6"/>
  <c r="BR84" i="6"/>
  <c r="BR93" i="6"/>
  <c r="BQ99" i="6" l="1"/>
  <c r="BP99" i="6"/>
  <c r="BO99" i="6"/>
  <c r="BN99" i="6"/>
  <c r="BM99" i="6"/>
  <c r="BL99" i="6"/>
  <c r="BK99" i="6"/>
  <c r="BJ99" i="6"/>
  <c r="BI99" i="6"/>
  <c r="BH99" i="6"/>
  <c r="BG99" i="6"/>
  <c r="BF99" i="6"/>
  <c r="BE99" i="6"/>
  <c r="BD99" i="6"/>
  <c r="BC99" i="6"/>
  <c r="BB99" i="6"/>
  <c r="BA99" i="6"/>
  <c r="AZ99" i="6"/>
  <c r="AY99" i="6"/>
  <c r="AX99" i="6"/>
  <c r="AU99" i="6"/>
  <c r="AT99" i="6"/>
  <c r="AS99" i="6"/>
  <c r="AR99" i="6"/>
  <c r="AQ99" i="6"/>
  <c r="AP99" i="6"/>
  <c r="AO99" i="6"/>
  <c r="AN99" i="6"/>
  <c r="AM99" i="6"/>
  <c r="AL99" i="6"/>
  <c r="AK99" i="6"/>
  <c r="AJ99" i="6"/>
  <c r="AI99" i="6"/>
  <c r="AH99" i="6"/>
  <c r="AG99" i="6"/>
  <c r="AF99" i="6"/>
  <c r="AE99" i="6"/>
  <c r="AD99" i="6"/>
  <c r="AC99" i="6"/>
  <c r="Z99" i="6"/>
  <c r="BQ98" i="6"/>
  <c r="BP98" i="6"/>
  <c r="BO98" i="6"/>
  <c r="BN98" i="6"/>
  <c r="BM98" i="6"/>
  <c r="BL98" i="6"/>
  <c r="BK98" i="6"/>
  <c r="BJ98" i="6"/>
  <c r="BI98" i="6"/>
  <c r="BH98" i="6"/>
  <c r="BG98" i="6"/>
  <c r="BF98" i="6"/>
  <c r="BE98" i="6"/>
  <c r="BD98" i="6"/>
  <c r="BC98" i="6"/>
  <c r="BB98" i="6"/>
  <c r="BA98" i="6"/>
  <c r="AZ98" i="6"/>
  <c r="AY98" i="6"/>
  <c r="AX98" i="6"/>
  <c r="AU98" i="6"/>
  <c r="AT98" i="6"/>
  <c r="AS98" i="6"/>
  <c r="AR98" i="6"/>
  <c r="AQ98" i="6"/>
  <c r="AP98" i="6"/>
  <c r="AO98" i="6"/>
  <c r="AN98" i="6"/>
  <c r="AM98" i="6"/>
  <c r="AL98" i="6"/>
  <c r="AK98" i="6"/>
  <c r="AJ98" i="6"/>
  <c r="AI98" i="6"/>
  <c r="AH98" i="6"/>
  <c r="AG98" i="6"/>
  <c r="AF98" i="6"/>
  <c r="AE98" i="6"/>
  <c r="AD98" i="6"/>
  <c r="AC98" i="6"/>
  <c r="Z98" i="6"/>
  <c r="BQ97" i="6"/>
  <c r="BP97" i="6"/>
  <c r="BO97" i="6"/>
  <c r="BN97" i="6"/>
  <c r="BM97" i="6"/>
  <c r="BL97" i="6"/>
  <c r="BK97" i="6"/>
  <c r="BJ97" i="6"/>
  <c r="BI97" i="6"/>
  <c r="BH97" i="6"/>
  <c r="BG97" i="6"/>
  <c r="BF97" i="6"/>
  <c r="BE97" i="6"/>
  <c r="BD97" i="6"/>
  <c r="BC97" i="6"/>
  <c r="BB97" i="6"/>
  <c r="BA97" i="6"/>
  <c r="AZ97" i="6"/>
  <c r="AY97" i="6"/>
  <c r="AX97" i="6"/>
  <c r="AU97" i="6"/>
  <c r="AT97" i="6"/>
  <c r="AS97" i="6"/>
  <c r="AR97" i="6"/>
  <c r="AQ97" i="6"/>
  <c r="AP97" i="6"/>
  <c r="AO97" i="6"/>
  <c r="AN97" i="6"/>
  <c r="AM97" i="6"/>
  <c r="AL97" i="6"/>
  <c r="AK97" i="6"/>
  <c r="AJ97" i="6"/>
  <c r="AI97" i="6"/>
  <c r="AH97" i="6"/>
  <c r="AG97" i="6"/>
  <c r="AF97" i="6"/>
  <c r="AE97" i="6"/>
  <c r="AD97" i="6"/>
  <c r="AC97" i="6"/>
  <c r="Z97" i="6"/>
  <c r="BQ95" i="6"/>
  <c r="BP95" i="6"/>
  <c r="BO95" i="6"/>
  <c r="BN95" i="6"/>
  <c r="BM95" i="6"/>
  <c r="BL95" i="6"/>
  <c r="BK95" i="6"/>
  <c r="BJ95" i="6"/>
  <c r="BI95" i="6"/>
  <c r="BH95" i="6"/>
  <c r="BG95" i="6"/>
  <c r="BF95" i="6"/>
  <c r="BE95" i="6"/>
  <c r="BD95" i="6"/>
  <c r="BC95" i="6"/>
  <c r="BB95" i="6"/>
  <c r="BA95" i="6"/>
  <c r="AZ95" i="6"/>
  <c r="AY95" i="6"/>
  <c r="AX95" i="6"/>
  <c r="AU95" i="6"/>
  <c r="AT95" i="6"/>
  <c r="AS95" i="6"/>
  <c r="AR95" i="6"/>
  <c r="AQ95" i="6"/>
  <c r="AP95" i="6"/>
  <c r="AO95" i="6"/>
  <c r="AN95" i="6"/>
  <c r="AM95" i="6"/>
  <c r="AL95" i="6"/>
  <c r="AK95" i="6"/>
  <c r="AJ95" i="6"/>
  <c r="AI95" i="6"/>
  <c r="AH95" i="6"/>
  <c r="AG95" i="6"/>
  <c r="AF95" i="6"/>
  <c r="AE95" i="6"/>
  <c r="AD95" i="6"/>
  <c r="AC95" i="6"/>
  <c r="Z95" i="6"/>
  <c r="BQ94" i="6"/>
  <c r="BP94" i="6"/>
  <c r="BO94" i="6"/>
  <c r="BN94" i="6"/>
  <c r="BM94" i="6"/>
  <c r="BL94" i="6"/>
  <c r="BK94" i="6"/>
  <c r="BJ94" i="6"/>
  <c r="BI94" i="6"/>
  <c r="BH94" i="6"/>
  <c r="BG94" i="6"/>
  <c r="BF94" i="6"/>
  <c r="BE94" i="6"/>
  <c r="BD94" i="6"/>
  <c r="BC94" i="6"/>
  <c r="BB94" i="6"/>
  <c r="BA94" i="6"/>
  <c r="AZ94" i="6"/>
  <c r="AY94" i="6"/>
  <c r="AX94" i="6"/>
  <c r="AU94" i="6"/>
  <c r="AT94" i="6"/>
  <c r="AS94" i="6"/>
  <c r="AR94" i="6"/>
  <c r="AQ94" i="6"/>
  <c r="AP94" i="6"/>
  <c r="AO94" i="6"/>
  <c r="AN94" i="6"/>
  <c r="AM94" i="6"/>
  <c r="AL94" i="6"/>
  <c r="AK94" i="6"/>
  <c r="AJ94" i="6"/>
  <c r="AI94" i="6"/>
  <c r="AH94" i="6"/>
  <c r="AG94" i="6"/>
  <c r="AF94" i="6"/>
  <c r="AE94" i="6"/>
  <c r="AD94" i="6"/>
  <c r="AC94" i="6"/>
  <c r="Z94" i="6"/>
  <c r="BR94" i="6" l="1"/>
  <c r="BR97" i="6"/>
  <c r="BR99" i="6"/>
  <c r="BR98" i="6"/>
  <c r="BR95" i="6"/>
  <c r="U49" i="6" l="1"/>
  <c r="D140" i="6" l="1"/>
  <c r="BQ42" i="6" l="1"/>
  <c r="BP42" i="6"/>
  <c r="BO42" i="6"/>
  <c r="BN42" i="6"/>
  <c r="BM42" i="6"/>
  <c r="BL42" i="6"/>
  <c r="BK42" i="6"/>
  <c r="BJ42" i="6"/>
  <c r="BI42" i="6"/>
  <c r="BH42" i="6"/>
  <c r="BG42" i="6"/>
  <c r="BF42" i="6"/>
  <c r="BE42" i="6"/>
  <c r="BD42" i="6"/>
  <c r="BC42" i="6"/>
  <c r="BB42" i="6"/>
  <c r="BA42" i="6"/>
  <c r="AZ42" i="6"/>
  <c r="AY42" i="6"/>
  <c r="AX42" i="6"/>
  <c r="AU42" i="6"/>
  <c r="AT42" i="6"/>
  <c r="AS42" i="6"/>
  <c r="AR42" i="6"/>
  <c r="AQ42" i="6"/>
  <c r="AP42" i="6"/>
  <c r="AO42" i="6"/>
  <c r="AN42" i="6"/>
  <c r="AL42" i="6"/>
  <c r="AK42" i="6"/>
  <c r="AJ42" i="6"/>
  <c r="AI42" i="6"/>
  <c r="AH42" i="6"/>
  <c r="AG42" i="6"/>
  <c r="AF42" i="6"/>
  <c r="AE42" i="6"/>
  <c r="AD42" i="6"/>
  <c r="AC42" i="6"/>
  <c r="AM42" i="6"/>
  <c r="BR42" i="6" l="1"/>
  <c r="Z42" i="6"/>
  <c r="BI136" i="6" l="1"/>
  <c r="AV136" i="6"/>
  <c r="Z136" i="6"/>
  <c r="AO130" i="6"/>
  <c r="AP130" i="6"/>
  <c r="AQ130" i="6"/>
  <c r="AR130" i="6"/>
  <c r="AS130" i="6"/>
  <c r="AT130" i="6"/>
  <c r="AU130" i="6"/>
  <c r="AV130" i="6"/>
  <c r="M48" i="2" s="1"/>
  <c r="M47" i="2" s="1"/>
  <c r="M52" i="2" s="1"/>
  <c r="Z130" i="6"/>
  <c r="AV131" i="6"/>
  <c r="Z131" i="6"/>
  <c r="AV133" i="6"/>
  <c r="AQ91" i="6" l="1"/>
  <c r="Z91" i="6"/>
  <c r="AC91" i="6"/>
  <c r="AD91" i="6"/>
  <c r="AE91" i="6"/>
  <c r="AF91" i="6"/>
  <c r="AG91" i="6"/>
  <c r="AH91" i="6"/>
  <c r="AI91" i="6"/>
  <c r="AJ91" i="6"/>
  <c r="AK91" i="6"/>
  <c r="AL91" i="6"/>
  <c r="AM91" i="6"/>
  <c r="AN91" i="6"/>
  <c r="AO91" i="6"/>
  <c r="AP91" i="6"/>
  <c r="AR91" i="6"/>
  <c r="AS91" i="6"/>
  <c r="AT91" i="6"/>
  <c r="AU91" i="6"/>
  <c r="AX91" i="6"/>
  <c r="AY91" i="6"/>
  <c r="AZ91" i="6"/>
  <c r="BA91" i="6"/>
  <c r="BB91" i="6"/>
  <c r="BC91" i="6"/>
  <c r="BD91" i="6"/>
  <c r="BE91" i="6"/>
  <c r="BF91" i="6"/>
  <c r="BG91" i="6"/>
  <c r="BH91" i="6"/>
  <c r="BI91" i="6"/>
  <c r="BJ91" i="6"/>
  <c r="BK91" i="6"/>
  <c r="BL91" i="6"/>
  <c r="BM91" i="6"/>
  <c r="BN91" i="6"/>
  <c r="BO91" i="6"/>
  <c r="BP91" i="6"/>
  <c r="BQ91" i="6"/>
  <c r="BR91" i="6" l="1"/>
  <c r="BJ129" i="6" l="1"/>
  <c r="T43" i="6"/>
  <c r="Z43" i="6" s="1"/>
  <c r="AC43" i="6"/>
  <c r="AD43" i="6"/>
  <c r="AE43" i="6"/>
  <c r="AF43" i="6"/>
  <c r="AG43" i="6"/>
  <c r="AH43" i="6"/>
  <c r="AI43" i="6"/>
  <c r="AJ43" i="6"/>
  <c r="AK43" i="6"/>
  <c r="AL43" i="6"/>
  <c r="AM43" i="6"/>
  <c r="AN43" i="6"/>
  <c r="AO43" i="6"/>
  <c r="AP43" i="6"/>
  <c r="AR43" i="6"/>
  <c r="AS43" i="6"/>
  <c r="AT43" i="6"/>
  <c r="AU43" i="6"/>
  <c r="AX43" i="6"/>
  <c r="AY43" i="6"/>
  <c r="AZ43" i="6"/>
  <c r="BA43" i="6"/>
  <c r="BB43" i="6"/>
  <c r="BC43" i="6"/>
  <c r="BD43" i="6"/>
  <c r="BE43" i="6"/>
  <c r="BF43" i="6"/>
  <c r="BG43" i="6"/>
  <c r="BH43" i="6"/>
  <c r="BI43" i="6"/>
  <c r="BJ43" i="6"/>
  <c r="BK43" i="6"/>
  <c r="BL43" i="6"/>
  <c r="BM43" i="6"/>
  <c r="BN43" i="6"/>
  <c r="BO43" i="6"/>
  <c r="BP43" i="6"/>
  <c r="BQ43" i="6"/>
  <c r="AQ43" i="6" l="1"/>
  <c r="BR43" i="6" s="1"/>
  <c r="G25" i="7" l="1"/>
  <c r="E25" i="7"/>
  <c r="F25" i="7"/>
  <c r="AV128" i="6"/>
  <c r="AV127" i="6"/>
  <c r="M25" i="2" s="1"/>
  <c r="M23" i="2" s="1"/>
  <c r="AC127" i="6"/>
  <c r="AD127" i="6"/>
  <c r="BQ140" i="6" l="1"/>
  <c r="BR123" i="6"/>
  <c r="BR124" i="6"/>
  <c r="BR141" i="6"/>
  <c r="BR142" i="6"/>
  <c r="BR146" i="6"/>
  <c r="BR147" i="6"/>
  <c r="BR148" i="6"/>
  <c r="BR149" i="6"/>
  <c r="BR150" i="6"/>
  <c r="BR151" i="6"/>
  <c r="BR152" i="6"/>
  <c r="BR153" i="6"/>
  <c r="BR154" i="6"/>
  <c r="BR155" i="6"/>
  <c r="BR156" i="6"/>
  <c r="BR157" i="6"/>
  <c r="BR158" i="6"/>
  <c r="BR159" i="6"/>
  <c r="BR160" i="6"/>
  <c r="BR161" i="6"/>
  <c r="BR162" i="6"/>
  <c r="BR163" i="6"/>
  <c r="BR164" i="6"/>
  <c r="BR165" i="6"/>
  <c r="BR166" i="6"/>
  <c r="BR167" i="6"/>
  <c r="BR168" i="6"/>
  <c r="BR169" i="6"/>
  <c r="BR170" i="6"/>
  <c r="BQ4" i="6"/>
  <c r="M16" i="1" s="1"/>
  <c r="BQ5" i="6"/>
  <c r="BQ6" i="6"/>
  <c r="BQ7" i="6"/>
  <c r="BQ8" i="6"/>
  <c r="BQ9" i="6"/>
  <c r="M18" i="1" s="1"/>
  <c r="BQ10" i="6"/>
  <c r="BQ11" i="6"/>
  <c r="BQ12" i="6"/>
  <c r="BQ13" i="6"/>
  <c r="BQ14" i="6"/>
  <c r="BQ15" i="6"/>
  <c r="BQ16" i="6"/>
  <c r="BQ17" i="6"/>
  <c r="BQ18" i="6"/>
  <c r="BQ19" i="6"/>
  <c r="BQ22" i="6"/>
  <c r="M22" i="1" s="1"/>
  <c r="BQ23" i="6"/>
  <c r="BQ24" i="6"/>
  <c r="BQ25" i="6"/>
  <c r="BQ26" i="6"/>
  <c r="BQ27" i="6"/>
  <c r="BQ28" i="6"/>
  <c r="BQ29" i="6"/>
  <c r="BQ30" i="6"/>
  <c r="BQ31" i="6"/>
  <c r="BQ32" i="6"/>
  <c r="BQ33" i="6"/>
  <c r="BQ34" i="6"/>
  <c r="BQ35" i="6"/>
  <c r="BQ36" i="6"/>
  <c r="BQ37" i="6"/>
  <c r="BQ38" i="6"/>
  <c r="BQ39" i="6"/>
  <c r="BQ40" i="6"/>
  <c r="BQ41" i="6"/>
  <c r="BQ47" i="6"/>
  <c r="BQ48" i="6"/>
  <c r="BQ49" i="6"/>
  <c r="BQ50" i="6"/>
  <c r="BQ51" i="6"/>
  <c r="BQ52" i="6"/>
  <c r="BQ53" i="6"/>
  <c r="BQ54" i="6"/>
  <c r="BQ55" i="6"/>
  <c r="BQ56" i="6"/>
  <c r="BQ57" i="6"/>
  <c r="BQ58" i="6"/>
  <c r="BQ59" i="6"/>
  <c r="BQ60" i="6"/>
  <c r="BQ61" i="6"/>
  <c r="BQ62" i="6"/>
  <c r="BQ63" i="6"/>
  <c r="BQ64" i="6"/>
  <c r="BQ65" i="6"/>
  <c r="BQ66" i="6"/>
  <c r="BQ67" i="6"/>
  <c r="BQ68" i="6"/>
  <c r="BQ69" i="6"/>
  <c r="BQ70" i="6"/>
  <c r="BQ71" i="6"/>
  <c r="BQ72" i="6"/>
  <c r="BQ73" i="6"/>
  <c r="BQ74" i="6"/>
  <c r="BQ75" i="6"/>
  <c r="BQ76" i="6"/>
  <c r="BQ77" i="6"/>
  <c r="BQ78" i="6"/>
  <c r="BQ79" i="6"/>
  <c r="BQ80" i="6"/>
  <c r="BQ81" i="6"/>
  <c r="BQ82" i="6"/>
  <c r="BQ83" i="6"/>
  <c r="BQ85" i="6"/>
  <c r="BQ86" i="6"/>
  <c r="BQ87" i="6"/>
  <c r="BQ88" i="6"/>
  <c r="BQ90" i="6"/>
  <c r="BQ101" i="6"/>
  <c r="BQ102" i="6"/>
  <c r="M48" i="1" s="1"/>
  <c r="BQ103" i="6"/>
  <c r="BQ104" i="6"/>
  <c r="BQ106" i="6"/>
  <c r="BQ107" i="6"/>
  <c r="BQ109" i="6"/>
  <c r="BQ111" i="6"/>
  <c r="BQ112" i="6"/>
  <c r="BQ113" i="6"/>
  <c r="BQ114" i="6"/>
  <c r="BQ115" i="6"/>
  <c r="BQ116" i="6"/>
  <c r="BQ117" i="6"/>
  <c r="BQ118" i="6"/>
  <c r="BQ120" i="6"/>
  <c r="BQ122" i="6"/>
  <c r="BQ125" i="6"/>
  <c r="BQ126" i="6"/>
  <c r="BQ128" i="6"/>
  <c r="M23" i="1" s="1"/>
  <c r="BQ129" i="6"/>
  <c r="BQ130" i="6"/>
  <c r="BQ134" i="6"/>
  <c r="BQ137" i="6"/>
  <c r="BQ138" i="6"/>
  <c r="BQ139" i="6"/>
  <c r="BQ143" i="6"/>
  <c r="BQ145" i="6"/>
  <c r="M47" i="1" s="1"/>
  <c r="AV140" i="6"/>
  <c r="M22" i="2" s="1"/>
  <c r="M21" i="2" s="1"/>
  <c r="M27" i="2" s="1"/>
  <c r="M54" i="2" s="1"/>
  <c r="Z140" i="6"/>
  <c r="M46" i="1" l="1"/>
  <c r="M32" i="1"/>
  <c r="M49" i="1"/>
  <c r="M17" i="1"/>
  <c r="M31" i="1"/>
  <c r="M24" i="1"/>
  <c r="M21" i="1" s="1"/>
  <c r="M38" i="1"/>
  <c r="M29" i="1"/>
  <c r="M28" i="1" s="1"/>
  <c r="M41" i="1"/>
  <c r="M33" i="1"/>
  <c r="M20" i="1"/>
  <c r="M19" i="1" s="1"/>
  <c r="BQ171" i="6"/>
  <c r="AV171" i="6"/>
  <c r="M45" i="1" l="1"/>
  <c r="M50" i="1" s="1"/>
  <c r="M37" i="1"/>
  <c r="M42" i="1" s="1"/>
  <c r="M30" i="1"/>
  <c r="M34" i="1" s="1"/>
  <c r="M25" i="1"/>
  <c r="X22" i="6"/>
  <c r="X4" i="6"/>
  <c r="M52" i="1" l="1"/>
  <c r="C18" i="7"/>
  <c r="C19" i="7"/>
  <c r="C20" i="7"/>
  <c r="C22" i="7"/>
  <c r="C24" i="7"/>
  <c r="C25" i="7"/>
  <c r="C26" i="7"/>
  <c r="C28" i="7"/>
  <c r="C29" i="7"/>
  <c r="C31" i="7"/>
  <c r="C33" i="7"/>
  <c r="C34" i="7"/>
  <c r="C35" i="7"/>
  <c r="C37" i="7"/>
  <c r="C38" i="7"/>
  <c r="C40" i="7"/>
  <c r="C41" i="7"/>
  <c r="C42" i="7"/>
  <c r="C43" i="7"/>
  <c r="C45" i="7"/>
  <c r="C46" i="7"/>
  <c r="C50" i="7"/>
  <c r="C53" i="7"/>
  <c r="BP55" i="6" l="1"/>
  <c r="BO55" i="6"/>
  <c r="BN55" i="6"/>
  <c r="BM55" i="6"/>
  <c r="BL55" i="6"/>
  <c r="BK55" i="6"/>
  <c r="BJ55" i="6"/>
  <c r="BI55" i="6"/>
  <c r="BH55" i="6"/>
  <c r="BG55" i="6"/>
  <c r="BF55" i="6"/>
  <c r="BE55" i="6"/>
  <c r="BD55" i="6"/>
  <c r="BC55" i="6"/>
  <c r="BB55" i="6"/>
  <c r="BA55" i="6"/>
  <c r="AZ55" i="6"/>
  <c r="AY55" i="6"/>
  <c r="AX55" i="6"/>
  <c r="AU55" i="6"/>
  <c r="AT55" i="6"/>
  <c r="AS55" i="6"/>
  <c r="AR55" i="6"/>
  <c r="AQ55" i="6"/>
  <c r="AO55" i="6"/>
  <c r="AN55" i="6"/>
  <c r="AM55" i="6"/>
  <c r="AL55" i="6"/>
  <c r="AK55" i="6"/>
  <c r="AJ55" i="6"/>
  <c r="AI55" i="6"/>
  <c r="AH55" i="6"/>
  <c r="AG55" i="6"/>
  <c r="AF55" i="6"/>
  <c r="AE55" i="6"/>
  <c r="AD55" i="6"/>
  <c r="AC55" i="6"/>
  <c r="AP55" i="6"/>
  <c r="BR55" i="6" l="1"/>
  <c r="Z55" i="6"/>
  <c r="BP13" i="6" l="1"/>
  <c r="BO13" i="6"/>
  <c r="BN13" i="6"/>
  <c r="BM13" i="6"/>
  <c r="BL13" i="6"/>
  <c r="BK13" i="6"/>
  <c r="BJ13" i="6"/>
  <c r="BI13" i="6"/>
  <c r="BH13" i="6"/>
  <c r="BG13" i="6"/>
  <c r="BF13" i="6"/>
  <c r="BE13" i="6"/>
  <c r="BD13" i="6"/>
  <c r="BC13" i="6"/>
  <c r="BB13" i="6"/>
  <c r="BA13" i="6"/>
  <c r="AZ13" i="6"/>
  <c r="AY13" i="6"/>
  <c r="AX13" i="6"/>
  <c r="AU13" i="6"/>
  <c r="AT13" i="6"/>
  <c r="AS13" i="6"/>
  <c r="AR13" i="6"/>
  <c r="AQ13" i="6"/>
  <c r="AP13" i="6"/>
  <c r="AO13" i="6"/>
  <c r="AN13" i="6"/>
  <c r="AM13" i="6"/>
  <c r="AL13" i="6"/>
  <c r="AK13" i="6"/>
  <c r="AJ13" i="6"/>
  <c r="AI13" i="6"/>
  <c r="AH13" i="6"/>
  <c r="AG13" i="6"/>
  <c r="AF13" i="6"/>
  <c r="AE13" i="6"/>
  <c r="AD13" i="6"/>
  <c r="AC13" i="6"/>
  <c r="Z13" i="6"/>
  <c r="BR13" i="6" l="1"/>
  <c r="C48" i="7"/>
  <c r="BP118" i="6" l="1"/>
  <c r="BO118" i="6"/>
  <c r="BN118" i="6"/>
  <c r="BM118" i="6"/>
  <c r="BL118" i="6"/>
  <c r="BK118" i="6"/>
  <c r="BJ118" i="6"/>
  <c r="BI118" i="6"/>
  <c r="BH118" i="6"/>
  <c r="BG118" i="6"/>
  <c r="BF118" i="6"/>
  <c r="BE118" i="6"/>
  <c r="BD118" i="6"/>
  <c r="BC118" i="6"/>
  <c r="BB118" i="6"/>
  <c r="BA118" i="6"/>
  <c r="AZ118" i="6"/>
  <c r="AY118" i="6"/>
  <c r="AX118" i="6"/>
  <c r="AU118" i="6"/>
  <c r="AT118" i="6"/>
  <c r="AS118" i="6"/>
  <c r="AR118" i="6"/>
  <c r="AQ118" i="6"/>
  <c r="AP118" i="6"/>
  <c r="AN118" i="6"/>
  <c r="AM118" i="6"/>
  <c r="AL118" i="6"/>
  <c r="AK118" i="6"/>
  <c r="AJ118" i="6"/>
  <c r="AI118" i="6"/>
  <c r="AH118" i="6"/>
  <c r="AG118" i="6"/>
  <c r="AF118" i="6"/>
  <c r="AE118" i="6"/>
  <c r="AD118" i="6"/>
  <c r="AC118" i="6"/>
  <c r="AU136" i="6"/>
  <c r="AQ136" i="6"/>
  <c r="AO118" i="6" l="1"/>
  <c r="BR118" i="6" s="1"/>
  <c r="Z118" i="6"/>
  <c r="C51" i="7"/>
  <c r="C49" i="7"/>
  <c r="U137" i="6" l="1"/>
  <c r="Z137" i="6" s="1"/>
  <c r="BP86" i="6" l="1"/>
  <c r="BO86" i="6"/>
  <c r="BN86" i="6"/>
  <c r="BM86" i="6"/>
  <c r="BL86" i="6"/>
  <c r="BK86" i="6"/>
  <c r="BJ86" i="6"/>
  <c r="BI86" i="6"/>
  <c r="BH86" i="6"/>
  <c r="BG86" i="6"/>
  <c r="BF86" i="6"/>
  <c r="BE86" i="6"/>
  <c r="BD86" i="6"/>
  <c r="BC86" i="6"/>
  <c r="BB86" i="6"/>
  <c r="BA86" i="6"/>
  <c r="AZ86" i="6"/>
  <c r="AY86" i="6"/>
  <c r="AX86" i="6"/>
  <c r="AU86" i="6"/>
  <c r="AT86" i="6"/>
  <c r="AS86" i="6"/>
  <c r="AR86" i="6"/>
  <c r="AQ86" i="6"/>
  <c r="AP86" i="6"/>
  <c r="AO86" i="6"/>
  <c r="AN86" i="6"/>
  <c r="AM86" i="6"/>
  <c r="AL86" i="6"/>
  <c r="AK86" i="6"/>
  <c r="AJ86" i="6"/>
  <c r="AI86" i="6"/>
  <c r="AH86" i="6"/>
  <c r="AG86" i="6"/>
  <c r="AF86" i="6"/>
  <c r="AE86" i="6"/>
  <c r="AD86" i="6"/>
  <c r="AC86" i="6"/>
  <c r="Z86" i="6"/>
  <c r="R54" i="6"/>
  <c r="BR86" i="6" l="1"/>
  <c r="AO140" i="6"/>
  <c r="AM140" i="6"/>
  <c r="V10" i="6"/>
  <c r="BP18" i="6" l="1"/>
  <c r="BO18" i="6"/>
  <c r="BN18" i="6"/>
  <c r="BM18" i="6"/>
  <c r="BL18" i="6"/>
  <c r="BK18" i="6"/>
  <c r="BJ18" i="6"/>
  <c r="BI18" i="6"/>
  <c r="BH18" i="6"/>
  <c r="BG18" i="6"/>
  <c r="BF18" i="6"/>
  <c r="BE18" i="6"/>
  <c r="BD18" i="6"/>
  <c r="BC18" i="6"/>
  <c r="BB18" i="6"/>
  <c r="BA18" i="6"/>
  <c r="AZ18" i="6"/>
  <c r="AY18" i="6"/>
  <c r="AX18" i="6"/>
  <c r="AU18" i="6"/>
  <c r="AT18" i="6"/>
  <c r="AS18" i="6"/>
  <c r="AR18" i="6"/>
  <c r="AQ18" i="6"/>
  <c r="AP18" i="6"/>
  <c r="AO18" i="6"/>
  <c r="AN18" i="6"/>
  <c r="AM18" i="6"/>
  <c r="AL18" i="6"/>
  <c r="AK18" i="6"/>
  <c r="AJ18" i="6"/>
  <c r="AI18" i="6"/>
  <c r="AH18" i="6"/>
  <c r="AG18" i="6"/>
  <c r="AF18" i="6"/>
  <c r="AE18" i="6"/>
  <c r="AD18" i="6"/>
  <c r="AC18" i="6"/>
  <c r="Z18" i="6"/>
  <c r="Z129" i="6"/>
  <c r="BR18" i="6" l="1"/>
  <c r="D15" i="1"/>
  <c r="H27" i="4" l="1"/>
  <c r="H21" i="4"/>
  <c r="G14" i="4"/>
  <c r="G19" i="4"/>
  <c r="G23" i="4"/>
  <c r="G26" i="4"/>
  <c r="G29" i="4" l="1"/>
  <c r="B28" i="7" l="1"/>
  <c r="B29" i="7"/>
  <c r="B37" i="7"/>
  <c r="B38" i="7"/>
  <c r="B45" i="7"/>
  <c r="B46" i="7"/>
  <c r="B53" i="7"/>
  <c r="BP85" i="6" l="1"/>
  <c r="BO85" i="6"/>
  <c r="BN85" i="6"/>
  <c r="BM85" i="6"/>
  <c r="BL85" i="6"/>
  <c r="BK85" i="6"/>
  <c r="BJ85" i="6"/>
  <c r="BI85" i="6"/>
  <c r="BH85" i="6"/>
  <c r="BG85" i="6"/>
  <c r="BF85" i="6"/>
  <c r="BE85" i="6"/>
  <c r="BD85" i="6"/>
  <c r="BC85" i="6"/>
  <c r="BB85" i="6"/>
  <c r="BA85" i="6"/>
  <c r="AZ85" i="6"/>
  <c r="AY85" i="6"/>
  <c r="AX85" i="6"/>
  <c r="AU85" i="6"/>
  <c r="AT85" i="6"/>
  <c r="AS85" i="6"/>
  <c r="AR85" i="6"/>
  <c r="AQ85" i="6"/>
  <c r="AP85" i="6"/>
  <c r="AO85" i="6"/>
  <c r="AN85" i="6"/>
  <c r="AM85" i="6"/>
  <c r="AL85" i="6"/>
  <c r="AK85" i="6"/>
  <c r="AJ85" i="6"/>
  <c r="AI85" i="6"/>
  <c r="AH85" i="6"/>
  <c r="AG85" i="6"/>
  <c r="AF85" i="6"/>
  <c r="AE85" i="6"/>
  <c r="AD85" i="6"/>
  <c r="AC85" i="6"/>
  <c r="Z85" i="6"/>
  <c r="BP83" i="6"/>
  <c r="BO83" i="6"/>
  <c r="BN83" i="6"/>
  <c r="BM83" i="6"/>
  <c r="BL83" i="6"/>
  <c r="BK83" i="6"/>
  <c r="BJ83" i="6"/>
  <c r="BI83" i="6"/>
  <c r="BH83" i="6"/>
  <c r="BG83" i="6"/>
  <c r="BF83" i="6"/>
  <c r="BE83" i="6"/>
  <c r="BD83" i="6"/>
  <c r="BC83" i="6"/>
  <c r="BB83" i="6"/>
  <c r="BA83" i="6"/>
  <c r="AZ83" i="6"/>
  <c r="AY83" i="6"/>
  <c r="AX83" i="6"/>
  <c r="AU83" i="6"/>
  <c r="AT83" i="6"/>
  <c r="AS83" i="6"/>
  <c r="AR83" i="6"/>
  <c r="AQ83" i="6"/>
  <c r="AP83" i="6"/>
  <c r="AO83" i="6"/>
  <c r="AN83" i="6"/>
  <c r="AM83" i="6"/>
  <c r="AL83" i="6"/>
  <c r="AK83" i="6"/>
  <c r="AJ83" i="6"/>
  <c r="AI83" i="6"/>
  <c r="AH83" i="6"/>
  <c r="AG83" i="6"/>
  <c r="AF83" i="6"/>
  <c r="AE83" i="6"/>
  <c r="AD83" i="6"/>
  <c r="AC83" i="6"/>
  <c r="Z83" i="6"/>
  <c r="BR85" i="6" l="1"/>
  <c r="BR83" i="6"/>
  <c r="BP137" i="6"/>
  <c r="BO137" i="6"/>
  <c r="BN137" i="6"/>
  <c r="BM137" i="6"/>
  <c r="BL137" i="6"/>
  <c r="BK137" i="6"/>
  <c r="BJ137" i="6"/>
  <c r="BI137" i="6"/>
  <c r="BH137" i="6"/>
  <c r="BG137" i="6"/>
  <c r="BF137" i="6"/>
  <c r="BE137" i="6"/>
  <c r="BD137" i="6"/>
  <c r="BC137" i="6"/>
  <c r="BB137" i="6"/>
  <c r="BA137" i="6"/>
  <c r="AZ137" i="6"/>
  <c r="AY137" i="6"/>
  <c r="AX137" i="6"/>
  <c r="AU137" i="6"/>
  <c r="AT137" i="6"/>
  <c r="AS137" i="6"/>
  <c r="AR137" i="6"/>
  <c r="AQ137" i="6"/>
  <c r="AP137" i="6"/>
  <c r="AO137" i="6"/>
  <c r="AN137" i="6"/>
  <c r="AM137" i="6"/>
  <c r="AL137" i="6"/>
  <c r="AK137" i="6"/>
  <c r="AJ137" i="6"/>
  <c r="AI137" i="6"/>
  <c r="AH137" i="6"/>
  <c r="AG137" i="6"/>
  <c r="AF137" i="6"/>
  <c r="AE137" i="6"/>
  <c r="AD137" i="6"/>
  <c r="AC137" i="6"/>
  <c r="P102" i="6"/>
  <c r="Z102" i="6" s="1"/>
  <c r="BR137" i="6" l="1"/>
  <c r="Z16" i="6"/>
  <c r="AC16" i="6"/>
  <c r="AD16" i="6"/>
  <c r="AE16" i="6"/>
  <c r="AF16" i="6"/>
  <c r="AG16" i="6"/>
  <c r="AH16" i="6"/>
  <c r="AI16" i="6"/>
  <c r="AJ16" i="6"/>
  <c r="AK16" i="6"/>
  <c r="AL16" i="6"/>
  <c r="AM16" i="6"/>
  <c r="AN16" i="6"/>
  <c r="AO16" i="6"/>
  <c r="AP16" i="6"/>
  <c r="AQ16" i="6"/>
  <c r="AR16" i="6"/>
  <c r="AS16" i="6"/>
  <c r="AT16" i="6"/>
  <c r="AU16" i="6"/>
  <c r="AX16" i="6"/>
  <c r="AY16" i="6"/>
  <c r="AZ16" i="6"/>
  <c r="BA16" i="6"/>
  <c r="BB16" i="6"/>
  <c r="BC16" i="6"/>
  <c r="BD16" i="6"/>
  <c r="BE16" i="6"/>
  <c r="BF16" i="6"/>
  <c r="BG16" i="6"/>
  <c r="BH16" i="6"/>
  <c r="BI16" i="6"/>
  <c r="BJ16" i="6"/>
  <c r="BK16" i="6"/>
  <c r="BL16" i="6"/>
  <c r="BM16" i="6"/>
  <c r="BN16" i="6"/>
  <c r="BO16" i="6"/>
  <c r="BP16" i="6"/>
  <c r="Z17" i="6"/>
  <c r="AC17" i="6"/>
  <c r="AD17" i="6"/>
  <c r="AE17" i="6"/>
  <c r="AF17" i="6"/>
  <c r="AG17" i="6"/>
  <c r="AH17" i="6"/>
  <c r="AI17" i="6"/>
  <c r="AJ17" i="6"/>
  <c r="AK17" i="6"/>
  <c r="AL17" i="6"/>
  <c r="AM17" i="6"/>
  <c r="AN17" i="6"/>
  <c r="AO17" i="6"/>
  <c r="AP17" i="6"/>
  <c r="AQ17" i="6"/>
  <c r="AR17" i="6"/>
  <c r="AS17" i="6"/>
  <c r="AT17" i="6"/>
  <c r="AU17" i="6"/>
  <c r="AX17" i="6"/>
  <c r="AY17" i="6"/>
  <c r="AZ17" i="6"/>
  <c r="BA17" i="6"/>
  <c r="BB17" i="6"/>
  <c r="BC17" i="6"/>
  <c r="BD17" i="6"/>
  <c r="BE17" i="6"/>
  <c r="BF17" i="6"/>
  <c r="BG17" i="6"/>
  <c r="BH17" i="6"/>
  <c r="BI17" i="6"/>
  <c r="BJ17" i="6"/>
  <c r="BK17" i="6"/>
  <c r="BL17" i="6"/>
  <c r="BM17" i="6"/>
  <c r="BN17" i="6"/>
  <c r="BO17" i="6"/>
  <c r="BP17" i="6"/>
  <c r="BR16" i="6" l="1"/>
  <c r="BR17" i="6"/>
  <c r="Z59" i="6"/>
  <c r="AC59" i="6"/>
  <c r="AD59" i="6"/>
  <c r="AE59" i="6"/>
  <c r="AF59" i="6"/>
  <c r="AG59" i="6"/>
  <c r="AH59" i="6"/>
  <c r="AI59" i="6"/>
  <c r="AJ59" i="6"/>
  <c r="AK59" i="6"/>
  <c r="AL59" i="6"/>
  <c r="AM59" i="6"/>
  <c r="AN59" i="6"/>
  <c r="AO59" i="6"/>
  <c r="AP59" i="6"/>
  <c r="AQ59" i="6"/>
  <c r="AR59" i="6"/>
  <c r="AS59" i="6"/>
  <c r="AT59" i="6"/>
  <c r="AU59" i="6"/>
  <c r="AX59" i="6"/>
  <c r="AY59" i="6"/>
  <c r="AZ59" i="6"/>
  <c r="BA59" i="6"/>
  <c r="BB59" i="6"/>
  <c r="BC59" i="6"/>
  <c r="BD59" i="6"/>
  <c r="BE59" i="6"/>
  <c r="BF59" i="6"/>
  <c r="BG59" i="6"/>
  <c r="BH59" i="6"/>
  <c r="BI59" i="6"/>
  <c r="BJ59" i="6"/>
  <c r="BK59" i="6"/>
  <c r="BL59" i="6"/>
  <c r="BM59" i="6"/>
  <c r="BN59" i="6"/>
  <c r="BO59" i="6"/>
  <c r="BP59" i="6"/>
  <c r="AM133" i="6"/>
  <c r="D76" i="6"/>
  <c r="D70" i="6"/>
  <c r="BR59" i="6" l="1"/>
  <c r="T37" i="6"/>
  <c r="BJ28" i="6"/>
  <c r="Z40" i="6"/>
  <c r="AC40" i="6"/>
  <c r="AD40" i="6"/>
  <c r="AE40" i="6"/>
  <c r="AF40" i="6"/>
  <c r="AG40" i="6"/>
  <c r="AH40" i="6"/>
  <c r="AI40" i="6"/>
  <c r="AJ40" i="6"/>
  <c r="AK40" i="6"/>
  <c r="AL40" i="6"/>
  <c r="AM40" i="6"/>
  <c r="AN40" i="6"/>
  <c r="AO40" i="6"/>
  <c r="AP40" i="6"/>
  <c r="AQ40" i="6"/>
  <c r="AR40" i="6"/>
  <c r="AS40" i="6"/>
  <c r="AT40" i="6"/>
  <c r="AU40" i="6"/>
  <c r="AX40" i="6"/>
  <c r="AY40" i="6"/>
  <c r="AZ40" i="6"/>
  <c r="BA40" i="6"/>
  <c r="BB40" i="6"/>
  <c r="BC40" i="6"/>
  <c r="BD40" i="6"/>
  <c r="BE40" i="6"/>
  <c r="BF40" i="6"/>
  <c r="BG40" i="6"/>
  <c r="BH40" i="6"/>
  <c r="BI40" i="6"/>
  <c r="BJ40" i="6"/>
  <c r="BK40" i="6"/>
  <c r="BL40" i="6"/>
  <c r="BM40" i="6"/>
  <c r="BN40" i="6"/>
  <c r="BO40" i="6"/>
  <c r="BP40" i="6"/>
  <c r="T41" i="6"/>
  <c r="BR40" i="6" l="1"/>
  <c r="T6" i="6"/>
  <c r="BD133" i="6" l="1"/>
  <c r="Z78" i="6" l="1"/>
  <c r="AC78" i="6"/>
  <c r="AD78" i="6"/>
  <c r="AE78" i="6"/>
  <c r="AF78" i="6"/>
  <c r="AG78" i="6"/>
  <c r="AH78" i="6"/>
  <c r="AI78" i="6"/>
  <c r="AJ78" i="6"/>
  <c r="AK78" i="6"/>
  <c r="AL78" i="6"/>
  <c r="AM78" i="6"/>
  <c r="AN78" i="6"/>
  <c r="AO78" i="6"/>
  <c r="AP78" i="6"/>
  <c r="AQ78" i="6"/>
  <c r="AR78" i="6"/>
  <c r="AS78" i="6"/>
  <c r="AT78" i="6"/>
  <c r="AU78" i="6"/>
  <c r="AX78" i="6"/>
  <c r="AY78" i="6"/>
  <c r="AZ78" i="6"/>
  <c r="BA78" i="6"/>
  <c r="BB78" i="6"/>
  <c r="BC78" i="6"/>
  <c r="BD78" i="6"/>
  <c r="BE78" i="6"/>
  <c r="BF78" i="6"/>
  <c r="BG78" i="6"/>
  <c r="BH78" i="6"/>
  <c r="BI78" i="6"/>
  <c r="BJ78" i="6"/>
  <c r="BK78" i="6"/>
  <c r="BL78" i="6"/>
  <c r="BM78" i="6"/>
  <c r="BN78" i="6"/>
  <c r="BO78" i="6"/>
  <c r="BP78" i="6"/>
  <c r="BR78" i="6" l="1"/>
  <c r="BP47" i="6"/>
  <c r="BO47" i="6"/>
  <c r="BN47" i="6"/>
  <c r="BM47" i="6"/>
  <c r="BL47" i="6"/>
  <c r="BK47" i="6"/>
  <c r="BJ47" i="6"/>
  <c r="BI47" i="6"/>
  <c r="BH47" i="6"/>
  <c r="BG47" i="6"/>
  <c r="BF47" i="6"/>
  <c r="BE47" i="6"/>
  <c r="BD47" i="6"/>
  <c r="BC47" i="6"/>
  <c r="BB47" i="6"/>
  <c r="BA47" i="6"/>
  <c r="AZ47" i="6"/>
  <c r="AY47" i="6"/>
  <c r="AX47" i="6"/>
  <c r="AU47" i="6"/>
  <c r="AT47" i="6"/>
  <c r="AS47" i="6"/>
  <c r="AR47" i="6"/>
  <c r="AQ47" i="6"/>
  <c r="AP47" i="6"/>
  <c r="AO47" i="6"/>
  <c r="AN47" i="6"/>
  <c r="AM47" i="6"/>
  <c r="AL47" i="6"/>
  <c r="AK47" i="6"/>
  <c r="AJ47" i="6"/>
  <c r="AI47" i="6"/>
  <c r="AH47" i="6"/>
  <c r="AG47" i="6"/>
  <c r="AF47" i="6"/>
  <c r="AE47" i="6"/>
  <c r="AD47" i="6"/>
  <c r="AC47" i="6"/>
  <c r="Z47" i="6"/>
  <c r="BR47" i="6" l="1"/>
  <c r="BG7" i="6"/>
  <c r="Z58" i="6" l="1"/>
  <c r="AC58" i="6"/>
  <c r="AD58" i="6"/>
  <c r="AE58" i="6"/>
  <c r="AF58" i="6"/>
  <c r="AG58" i="6"/>
  <c r="AH58" i="6"/>
  <c r="AI58" i="6"/>
  <c r="AJ58" i="6"/>
  <c r="AK58" i="6"/>
  <c r="AL58" i="6"/>
  <c r="AM58" i="6"/>
  <c r="AN58" i="6"/>
  <c r="AO58" i="6"/>
  <c r="AP58" i="6"/>
  <c r="AQ58" i="6"/>
  <c r="AR58" i="6"/>
  <c r="AS58" i="6"/>
  <c r="AT58" i="6"/>
  <c r="AU58" i="6"/>
  <c r="AX58" i="6"/>
  <c r="AY58" i="6"/>
  <c r="AZ58" i="6"/>
  <c r="BA58" i="6"/>
  <c r="BB58" i="6"/>
  <c r="BC58" i="6"/>
  <c r="BD58" i="6"/>
  <c r="BE58" i="6"/>
  <c r="BF58" i="6"/>
  <c r="BG58" i="6"/>
  <c r="BH58" i="6"/>
  <c r="BI58" i="6"/>
  <c r="BJ58" i="6"/>
  <c r="BK58" i="6"/>
  <c r="BL58" i="6"/>
  <c r="BM58" i="6"/>
  <c r="BN58" i="6"/>
  <c r="BO58" i="6"/>
  <c r="BP58" i="6"/>
  <c r="BC136" i="6"/>
  <c r="BD136" i="6"/>
  <c r="BE136" i="6"/>
  <c r="BF136" i="6"/>
  <c r="BG136" i="6"/>
  <c r="BB136" i="6"/>
  <c r="BA136" i="6"/>
  <c r="AC136" i="6"/>
  <c r="AD136" i="6"/>
  <c r="AE136" i="6"/>
  <c r="AF136" i="6"/>
  <c r="AG136" i="6"/>
  <c r="AH136" i="6"/>
  <c r="AI136" i="6"/>
  <c r="AJ136" i="6"/>
  <c r="AK136" i="6"/>
  <c r="AL136" i="6"/>
  <c r="AM136" i="6"/>
  <c r="AN136" i="6"/>
  <c r="AO136" i="6"/>
  <c r="AP136" i="6"/>
  <c r="AR136" i="6"/>
  <c r="AS136" i="6"/>
  <c r="AT136" i="6"/>
  <c r="AX136" i="6"/>
  <c r="AY136" i="6"/>
  <c r="AZ136" i="6"/>
  <c r="BR136" i="6" l="1"/>
  <c r="BR58" i="6"/>
  <c r="AK10" i="6" l="1"/>
  <c r="AK22" i="6"/>
  <c r="AK4" i="6"/>
  <c r="F39" i="2" l="1"/>
  <c r="G39" i="2"/>
  <c r="D23" i="2"/>
  <c r="BN129" i="6" l="1"/>
  <c r="AX129" i="6"/>
  <c r="AC129" i="6"/>
  <c r="AD129" i="6"/>
  <c r="AE129" i="6"/>
  <c r="AF129" i="6"/>
  <c r="AG129" i="6"/>
  <c r="AH129" i="6"/>
  <c r="AI129" i="6"/>
  <c r="AJ129" i="6"/>
  <c r="AK129" i="6"/>
  <c r="AL129" i="6"/>
  <c r="AM129" i="6"/>
  <c r="AN129" i="6"/>
  <c r="AO129" i="6"/>
  <c r="AR129" i="6"/>
  <c r="AS129" i="6"/>
  <c r="AT129" i="6"/>
  <c r="AU129" i="6"/>
  <c r="AY129" i="6"/>
  <c r="AZ129" i="6"/>
  <c r="BA129" i="6"/>
  <c r="BB129" i="6"/>
  <c r="BC129" i="6"/>
  <c r="BD129" i="6"/>
  <c r="BE129" i="6"/>
  <c r="BF129" i="6"/>
  <c r="BG129" i="6"/>
  <c r="BH129" i="6"/>
  <c r="BM129" i="6"/>
  <c r="BO129" i="6"/>
  <c r="BP129" i="6"/>
  <c r="Z27" i="6"/>
  <c r="BR129" i="6" l="1"/>
  <c r="BA108" i="6"/>
  <c r="BH116" i="6"/>
  <c r="BI116" i="6"/>
  <c r="BJ116" i="6"/>
  <c r="BK116" i="6"/>
  <c r="BL116" i="6"/>
  <c r="BM116" i="6"/>
  <c r="BN116" i="6"/>
  <c r="BO116" i="6"/>
  <c r="BP116" i="6"/>
  <c r="P70" i="6" l="1"/>
  <c r="Z80" i="6"/>
  <c r="AC80" i="6"/>
  <c r="AD80" i="6"/>
  <c r="AE80" i="6"/>
  <c r="AF80" i="6"/>
  <c r="AG80" i="6"/>
  <c r="AH80" i="6"/>
  <c r="AI80" i="6"/>
  <c r="AJ80" i="6"/>
  <c r="AK80" i="6"/>
  <c r="AL80" i="6"/>
  <c r="AM80" i="6"/>
  <c r="AN80" i="6"/>
  <c r="AO80" i="6"/>
  <c r="AP80" i="6"/>
  <c r="AQ80" i="6"/>
  <c r="AR80" i="6"/>
  <c r="AS80" i="6"/>
  <c r="AT80" i="6"/>
  <c r="AU80" i="6"/>
  <c r="AX80" i="6"/>
  <c r="AY80" i="6"/>
  <c r="AZ80" i="6"/>
  <c r="BA80" i="6"/>
  <c r="BB80" i="6"/>
  <c r="BC80" i="6"/>
  <c r="BD80" i="6"/>
  <c r="BE80" i="6"/>
  <c r="BF80" i="6"/>
  <c r="BG80" i="6"/>
  <c r="BH80" i="6"/>
  <c r="BI80" i="6"/>
  <c r="BJ80" i="6"/>
  <c r="BK80" i="6"/>
  <c r="BL80" i="6"/>
  <c r="BM80" i="6"/>
  <c r="BN80" i="6"/>
  <c r="BO80" i="6"/>
  <c r="BP80" i="6"/>
  <c r="Z79" i="6"/>
  <c r="AC79" i="6"/>
  <c r="AD79" i="6"/>
  <c r="AE79" i="6"/>
  <c r="AF79" i="6"/>
  <c r="AG79" i="6"/>
  <c r="AH79" i="6"/>
  <c r="AI79" i="6"/>
  <c r="AJ79" i="6"/>
  <c r="AK79" i="6"/>
  <c r="AL79" i="6"/>
  <c r="AM79" i="6"/>
  <c r="AN79" i="6"/>
  <c r="AO79" i="6"/>
  <c r="AP79" i="6"/>
  <c r="AQ79" i="6"/>
  <c r="AR79" i="6"/>
  <c r="AS79" i="6"/>
  <c r="AT79" i="6"/>
  <c r="AU79" i="6"/>
  <c r="AX79" i="6"/>
  <c r="AY79" i="6"/>
  <c r="AZ79" i="6"/>
  <c r="BA79" i="6"/>
  <c r="BB79" i="6"/>
  <c r="BC79" i="6"/>
  <c r="BD79" i="6"/>
  <c r="BE79" i="6"/>
  <c r="BF79" i="6"/>
  <c r="BG79" i="6"/>
  <c r="BH79" i="6"/>
  <c r="BI79" i="6"/>
  <c r="BJ79" i="6"/>
  <c r="BK79" i="6"/>
  <c r="BL79" i="6"/>
  <c r="BM79" i="6"/>
  <c r="BN79" i="6"/>
  <c r="BO79" i="6"/>
  <c r="BP79" i="6"/>
  <c r="P76" i="6"/>
  <c r="BR80" i="6" l="1"/>
  <c r="BR79" i="6"/>
  <c r="Z76" i="6"/>
  <c r="AC76" i="6"/>
  <c r="AD76" i="6"/>
  <c r="AE76" i="6"/>
  <c r="AF76" i="6"/>
  <c r="AG76" i="6"/>
  <c r="AH76" i="6"/>
  <c r="AI76" i="6"/>
  <c r="AJ76" i="6"/>
  <c r="AK76" i="6"/>
  <c r="AL76" i="6"/>
  <c r="AM76" i="6"/>
  <c r="AO76" i="6"/>
  <c r="AP76" i="6"/>
  <c r="AQ76" i="6"/>
  <c r="AR76" i="6"/>
  <c r="AS76" i="6"/>
  <c r="AT76" i="6"/>
  <c r="AU76" i="6"/>
  <c r="AX76" i="6"/>
  <c r="AY76" i="6"/>
  <c r="AZ76" i="6"/>
  <c r="BA76" i="6"/>
  <c r="BB76" i="6"/>
  <c r="BC76" i="6"/>
  <c r="BD76" i="6"/>
  <c r="BE76" i="6"/>
  <c r="BF76" i="6"/>
  <c r="BG76" i="6"/>
  <c r="BH76" i="6"/>
  <c r="BI76" i="6"/>
  <c r="BJ76" i="6"/>
  <c r="BK76" i="6"/>
  <c r="BL76" i="6"/>
  <c r="BM76" i="6"/>
  <c r="BN76" i="6"/>
  <c r="BO76" i="6"/>
  <c r="BP76" i="6"/>
  <c r="Z53" i="6"/>
  <c r="AC53" i="6"/>
  <c r="AD53" i="6"/>
  <c r="AE53" i="6"/>
  <c r="AF53" i="6"/>
  <c r="AG53" i="6"/>
  <c r="AH53" i="6"/>
  <c r="AI53" i="6"/>
  <c r="AJ53" i="6"/>
  <c r="AK53" i="6"/>
  <c r="AL53" i="6"/>
  <c r="AM53" i="6"/>
  <c r="AN53" i="6"/>
  <c r="AO53" i="6"/>
  <c r="AP53" i="6"/>
  <c r="AQ53" i="6"/>
  <c r="AR53" i="6"/>
  <c r="AS53" i="6"/>
  <c r="AT53" i="6"/>
  <c r="AU53" i="6"/>
  <c r="AX53" i="6"/>
  <c r="AY53" i="6"/>
  <c r="AZ53" i="6"/>
  <c r="BA53" i="6"/>
  <c r="BB53" i="6"/>
  <c r="BC53" i="6"/>
  <c r="BD53" i="6"/>
  <c r="BE53" i="6"/>
  <c r="BF53" i="6"/>
  <c r="BG53" i="6"/>
  <c r="BH53" i="6"/>
  <c r="BI53" i="6"/>
  <c r="BJ53" i="6"/>
  <c r="BK53" i="6"/>
  <c r="BL53" i="6"/>
  <c r="BM53" i="6"/>
  <c r="BN53" i="6"/>
  <c r="BO53" i="6"/>
  <c r="BP53" i="6"/>
  <c r="BR53" i="6" l="1"/>
  <c r="AN76" i="6"/>
  <c r="BR76" i="6" s="1"/>
  <c r="Z38" i="6"/>
  <c r="AC38" i="6"/>
  <c r="AD38" i="6"/>
  <c r="AE38" i="6"/>
  <c r="AF38" i="6"/>
  <c r="AG38" i="6"/>
  <c r="AH38" i="6"/>
  <c r="AI38" i="6"/>
  <c r="AJ38" i="6"/>
  <c r="AK38" i="6"/>
  <c r="AL38" i="6"/>
  <c r="AM38" i="6"/>
  <c r="AN38" i="6"/>
  <c r="AO38" i="6"/>
  <c r="AP38" i="6"/>
  <c r="AQ38" i="6"/>
  <c r="AR38" i="6"/>
  <c r="AS38" i="6"/>
  <c r="AT38" i="6"/>
  <c r="AU38" i="6"/>
  <c r="AX38" i="6"/>
  <c r="AY38" i="6"/>
  <c r="AZ38" i="6"/>
  <c r="BA38" i="6"/>
  <c r="BB38" i="6"/>
  <c r="BC38" i="6"/>
  <c r="BD38" i="6"/>
  <c r="BE38" i="6"/>
  <c r="BF38" i="6"/>
  <c r="BG38" i="6"/>
  <c r="BH38" i="6"/>
  <c r="BI38" i="6"/>
  <c r="BJ38" i="6"/>
  <c r="BK38" i="6"/>
  <c r="BL38" i="6"/>
  <c r="BM38" i="6"/>
  <c r="BN38" i="6"/>
  <c r="BO38" i="6"/>
  <c r="BP38" i="6"/>
  <c r="BR38" i="6" l="1"/>
  <c r="Z39" i="6"/>
  <c r="AC39" i="6"/>
  <c r="AD39" i="6"/>
  <c r="AE39" i="6"/>
  <c r="AF39" i="6"/>
  <c r="AG39" i="6"/>
  <c r="AH39" i="6"/>
  <c r="AI39" i="6"/>
  <c r="AJ39" i="6"/>
  <c r="AK39" i="6"/>
  <c r="AL39" i="6"/>
  <c r="AM39" i="6"/>
  <c r="AN39" i="6"/>
  <c r="AO39" i="6"/>
  <c r="AP39" i="6"/>
  <c r="AQ39" i="6"/>
  <c r="AR39" i="6"/>
  <c r="AS39" i="6"/>
  <c r="AT39" i="6"/>
  <c r="AU39" i="6"/>
  <c r="AX39" i="6"/>
  <c r="AY39" i="6"/>
  <c r="AZ39" i="6"/>
  <c r="BA39" i="6"/>
  <c r="BB39" i="6"/>
  <c r="BC39" i="6"/>
  <c r="BD39" i="6"/>
  <c r="BE39" i="6"/>
  <c r="BF39" i="6"/>
  <c r="BG39" i="6"/>
  <c r="BH39" i="6"/>
  <c r="BI39" i="6"/>
  <c r="BJ39" i="6"/>
  <c r="BK39" i="6"/>
  <c r="BL39" i="6"/>
  <c r="BM39" i="6"/>
  <c r="BN39" i="6"/>
  <c r="BO39" i="6"/>
  <c r="BP39" i="6"/>
  <c r="Z41" i="6"/>
  <c r="AC41" i="6"/>
  <c r="AD41" i="6"/>
  <c r="AE41" i="6"/>
  <c r="AF41" i="6"/>
  <c r="AG41" i="6"/>
  <c r="AH41" i="6"/>
  <c r="AI41" i="6"/>
  <c r="AJ41" i="6"/>
  <c r="AK41" i="6"/>
  <c r="AL41" i="6"/>
  <c r="AM41" i="6"/>
  <c r="AN41" i="6"/>
  <c r="AO41" i="6"/>
  <c r="AP41" i="6"/>
  <c r="AQ41" i="6"/>
  <c r="AR41" i="6"/>
  <c r="AS41" i="6"/>
  <c r="AT41" i="6"/>
  <c r="AU41" i="6"/>
  <c r="AX41" i="6"/>
  <c r="AY41" i="6"/>
  <c r="AZ41" i="6"/>
  <c r="BA41" i="6"/>
  <c r="BB41" i="6"/>
  <c r="BC41" i="6"/>
  <c r="BD41" i="6"/>
  <c r="BE41" i="6"/>
  <c r="BF41" i="6"/>
  <c r="BG41" i="6"/>
  <c r="BH41" i="6"/>
  <c r="BI41" i="6"/>
  <c r="BJ41" i="6"/>
  <c r="BK41" i="6"/>
  <c r="BL41" i="6"/>
  <c r="BM41" i="6"/>
  <c r="BN41" i="6"/>
  <c r="BO41" i="6"/>
  <c r="BP41" i="6"/>
  <c r="Z37" i="6"/>
  <c r="AC37" i="6"/>
  <c r="AD37" i="6"/>
  <c r="AE37" i="6"/>
  <c r="AF37" i="6"/>
  <c r="AG37" i="6"/>
  <c r="AH37" i="6"/>
  <c r="AI37" i="6"/>
  <c r="AJ37" i="6"/>
  <c r="AK37" i="6"/>
  <c r="AL37" i="6"/>
  <c r="AM37" i="6"/>
  <c r="AN37" i="6"/>
  <c r="AO37" i="6"/>
  <c r="AP37" i="6"/>
  <c r="AQ37" i="6"/>
  <c r="AR37" i="6"/>
  <c r="AS37" i="6"/>
  <c r="AT37" i="6"/>
  <c r="AU37" i="6"/>
  <c r="AX37" i="6"/>
  <c r="AY37" i="6"/>
  <c r="AZ37" i="6"/>
  <c r="BA37" i="6"/>
  <c r="BB37" i="6"/>
  <c r="BC37" i="6"/>
  <c r="BD37" i="6"/>
  <c r="BE37" i="6"/>
  <c r="BF37" i="6"/>
  <c r="BG37" i="6"/>
  <c r="BH37" i="6"/>
  <c r="BI37" i="6"/>
  <c r="BJ37" i="6"/>
  <c r="BK37" i="6"/>
  <c r="BL37" i="6"/>
  <c r="BM37" i="6"/>
  <c r="BN37" i="6"/>
  <c r="BO37" i="6"/>
  <c r="BP37" i="6"/>
  <c r="T36" i="6"/>
  <c r="BR41" i="6" l="1"/>
  <c r="BR39" i="6"/>
  <c r="BR37" i="6"/>
  <c r="AL22" i="6"/>
  <c r="Z126" i="6" l="1"/>
  <c r="AC126" i="6"/>
  <c r="AD126" i="6"/>
  <c r="AE126" i="6"/>
  <c r="AF126" i="6"/>
  <c r="AG126" i="6"/>
  <c r="AH126" i="6"/>
  <c r="AI126" i="6"/>
  <c r="AJ126" i="6"/>
  <c r="AK126" i="6"/>
  <c r="AL126" i="6"/>
  <c r="AM126" i="6"/>
  <c r="AN126" i="6"/>
  <c r="AO126" i="6"/>
  <c r="AP126" i="6"/>
  <c r="AQ126" i="6"/>
  <c r="AR126" i="6"/>
  <c r="AS126" i="6"/>
  <c r="AT126" i="6"/>
  <c r="AU126" i="6"/>
  <c r="AX126" i="6"/>
  <c r="AY126" i="6"/>
  <c r="AZ126" i="6"/>
  <c r="BA126" i="6"/>
  <c r="BD126" i="6"/>
  <c r="BE126" i="6"/>
  <c r="BF126" i="6"/>
  <c r="BG126" i="6"/>
  <c r="BH126" i="6"/>
  <c r="BI126" i="6"/>
  <c r="BJ126" i="6"/>
  <c r="BK126" i="6"/>
  <c r="BL126" i="6"/>
  <c r="BM126" i="6"/>
  <c r="BN126" i="6"/>
  <c r="BO126" i="6"/>
  <c r="BP126" i="6"/>
  <c r="BR126" i="6" l="1"/>
  <c r="E37" i="4"/>
  <c r="BP134" i="6"/>
  <c r="BO134" i="6"/>
  <c r="BN134" i="6"/>
  <c r="BM134" i="6"/>
  <c r="BL134" i="6"/>
  <c r="BK134" i="6"/>
  <c r="BJ134" i="6"/>
  <c r="BI134" i="6"/>
  <c r="BH134" i="6"/>
  <c r="BG134" i="6"/>
  <c r="BF134" i="6"/>
  <c r="BE134" i="6"/>
  <c r="BD134" i="6"/>
  <c r="BC134" i="6"/>
  <c r="BB134" i="6"/>
  <c r="BA134" i="6"/>
  <c r="AZ134" i="6"/>
  <c r="AY134" i="6"/>
  <c r="AX134" i="6"/>
  <c r="AU134" i="6"/>
  <c r="AT134" i="6"/>
  <c r="AS134" i="6"/>
  <c r="AR134" i="6"/>
  <c r="AQ134" i="6"/>
  <c r="AP134" i="6"/>
  <c r="AO134" i="6"/>
  <c r="AN134" i="6"/>
  <c r="AM134" i="6"/>
  <c r="AL134" i="6"/>
  <c r="AK134" i="6"/>
  <c r="AJ134" i="6"/>
  <c r="AI134" i="6"/>
  <c r="AH134" i="6"/>
  <c r="AG134" i="6"/>
  <c r="AF134" i="6"/>
  <c r="AE134" i="6"/>
  <c r="AD134" i="6"/>
  <c r="AC134" i="6"/>
  <c r="BR134" i="6" l="1"/>
  <c r="H34" i="4"/>
  <c r="AK133" i="6" l="1"/>
  <c r="AK116" i="6"/>
  <c r="BI133" i="6"/>
  <c r="AC120" i="6"/>
  <c r="AD120" i="6"/>
  <c r="AE120" i="6"/>
  <c r="AF120" i="6"/>
  <c r="AG120" i="6"/>
  <c r="AH120" i="6"/>
  <c r="AI120" i="6"/>
  <c r="AJ120" i="6"/>
  <c r="AK120" i="6"/>
  <c r="AL120" i="6"/>
  <c r="AM120" i="6"/>
  <c r="AN120" i="6"/>
  <c r="AO120" i="6"/>
  <c r="AP120" i="6"/>
  <c r="AQ120" i="6"/>
  <c r="AR120" i="6"/>
  <c r="AS120" i="6"/>
  <c r="AT120" i="6"/>
  <c r="AU120" i="6"/>
  <c r="AX120" i="6"/>
  <c r="AY120" i="6"/>
  <c r="AZ120" i="6"/>
  <c r="BA120" i="6"/>
  <c r="BB120" i="6"/>
  <c r="BC120" i="6"/>
  <c r="BD120" i="6"/>
  <c r="BE120" i="6"/>
  <c r="BF120" i="6"/>
  <c r="BG120" i="6"/>
  <c r="BH120" i="6"/>
  <c r="BI120" i="6"/>
  <c r="BJ120" i="6"/>
  <c r="BK120" i="6"/>
  <c r="BL120" i="6"/>
  <c r="BM120" i="6"/>
  <c r="BN120" i="6"/>
  <c r="BO120" i="6"/>
  <c r="BP120" i="6"/>
  <c r="BR120" i="6" l="1"/>
  <c r="D110" i="6" l="1"/>
  <c r="D107" i="6"/>
  <c r="BM107" i="6"/>
  <c r="BN107" i="6"/>
  <c r="BO107" i="6"/>
  <c r="BP107" i="6"/>
  <c r="AZ130" i="6" l="1"/>
  <c r="BA130" i="6"/>
  <c r="BC130" i="6"/>
  <c r="BD130" i="6"/>
  <c r="BE130" i="6"/>
  <c r="BG130" i="6"/>
  <c r="BH130" i="6"/>
  <c r="BI130" i="6"/>
  <c r="Z77" i="6" l="1"/>
  <c r="AC77" i="6"/>
  <c r="AD77" i="6"/>
  <c r="AE77" i="6"/>
  <c r="AF77" i="6"/>
  <c r="AG77" i="6"/>
  <c r="AH77" i="6"/>
  <c r="AI77" i="6"/>
  <c r="AJ77" i="6"/>
  <c r="AK77" i="6"/>
  <c r="AL77" i="6"/>
  <c r="AM77" i="6"/>
  <c r="AN77" i="6"/>
  <c r="AO77" i="6"/>
  <c r="AP77" i="6"/>
  <c r="AQ77" i="6"/>
  <c r="AR77" i="6"/>
  <c r="AS77" i="6"/>
  <c r="AT77" i="6"/>
  <c r="AU77" i="6"/>
  <c r="AX77" i="6"/>
  <c r="AY77" i="6"/>
  <c r="AZ77" i="6"/>
  <c r="BA77" i="6"/>
  <c r="BB77" i="6"/>
  <c r="BC77" i="6"/>
  <c r="BD77" i="6"/>
  <c r="BE77" i="6"/>
  <c r="BF77" i="6"/>
  <c r="BG77" i="6"/>
  <c r="BH77" i="6"/>
  <c r="BI77" i="6"/>
  <c r="BJ77" i="6"/>
  <c r="BK77" i="6"/>
  <c r="BL77" i="6"/>
  <c r="BM77" i="6"/>
  <c r="BN77" i="6"/>
  <c r="BO77" i="6"/>
  <c r="BP77" i="6"/>
  <c r="AK87" i="6"/>
  <c r="Q62" i="6"/>
  <c r="BR77" i="6" l="1"/>
  <c r="Z81" i="6"/>
  <c r="AC81" i="6"/>
  <c r="AD81" i="6"/>
  <c r="AE81" i="6"/>
  <c r="AF81" i="6"/>
  <c r="AG81" i="6"/>
  <c r="AH81" i="6"/>
  <c r="AI81" i="6"/>
  <c r="AJ81" i="6"/>
  <c r="AK81" i="6"/>
  <c r="AL81" i="6"/>
  <c r="AM81" i="6"/>
  <c r="AN81" i="6"/>
  <c r="AO81" i="6"/>
  <c r="AP81" i="6"/>
  <c r="AQ81" i="6"/>
  <c r="AR81" i="6"/>
  <c r="AS81" i="6"/>
  <c r="AT81" i="6"/>
  <c r="AU81" i="6"/>
  <c r="AX81" i="6"/>
  <c r="AY81" i="6"/>
  <c r="AZ81" i="6"/>
  <c r="BA81" i="6"/>
  <c r="BB81" i="6"/>
  <c r="BC81" i="6"/>
  <c r="BD81" i="6"/>
  <c r="BE81" i="6"/>
  <c r="BF81" i="6"/>
  <c r="BG81" i="6"/>
  <c r="BH81" i="6"/>
  <c r="BI81" i="6"/>
  <c r="BJ81" i="6"/>
  <c r="BK81" i="6"/>
  <c r="BL81" i="6"/>
  <c r="BM81" i="6"/>
  <c r="BN81" i="6"/>
  <c r="BO81" i="6"/>
  <c r="BP81" i="6"/>
  <c r="S51" i="6"/>
  <c r="P29" i="6"/>
  <c r="P171" i="6" s="1"/>
  <c r="BR81" i="6" l="1"/>
  <c r="AR140" i="6"/>
  <c r="AT140" i="6"/>
  <c r="J39" i="1" l="1"/>
  <c r="K39" i="1"/>
  <c r="L39" i="1"/>
  <c r="J46" i="1"/>
  <c r="K46" i="1"/>
  <c r="L46" i="1"/>
  <c r="BP139" i="6"/>
  <c r="BP138" i="6"/>
  <c r="L23" i="1"/>
  <c r="BP125" i="6"/>
  <c r="BO139" i="6"/>
  <c r="BO138" i="6"/>
  <c r="BO125" i="6"/>
  <c r="BN139" i="6"/>
  <c r="BN138" i="6"/>
  <c r="BN125" i="6"/>
  <c r="J23" i="1" l="1"/>
  <c r="K23" i="1"/>
  <c r="Z6" i="6" l="1"/>
  <c r="Z7" i="6"/>
  <c r="Z8" i="6"/>
  <c r="Z9" i="6"/>
  <c r="Z10" i="6"/>
  <c r="Z19" i="6"/>
  <c r="Z12" i="6"/>
  <c r="Z14" i="6"/>
  <c r="Z15" i="6"/>
  <c r="Z11" i="6"/>
  <c r="Z22" i="6"/>
  <c r="Z23" i="6"/>
  <c r="Z24" i="6"/>
  <c r="Z25" i="6"/>
  <c r="Z29" i="6"/>
  <c r="Z36" i="6"/>
  <c r="Z30" i="6"/>
  <c r="Z31" i="6"/>
  <c r="Z26" i="6"/>
  <c r="Z32" i="6"/>
  <c r="Z33" i="6"/>
  <c r="Z34" i="6"/>
  <c r="Z35" i="6"/>
  <c r="Z28" i="6"/>
  <c r="Z51" i="6"/>
  <c r="Z48" i="6"/>
  <c r="Z52" i="6"/>
  <c r="Z57" i="6"/>
  <c r="Z54" i="6"/>
  <c r="Z60" i="6"/>
  <c r="Z56" i="6"/>
  <c r="Z50" i="6"/>
  <c r="Z65" i="6"/>
  <c r="Z69" i="6"/>
  <c r="Z70" i="6"/>
  <c r="Z71" i="6"/>
  <c r="Z72" i="6"/>
  <c r="Z63" i="6"/>
  <c r="Z64" i="6"/>
  <c r="Z61" i="6"/>
  <c r="Z62" i="6"/>
  <c r="Z75" i="6"/>
  <c r="Z66" i="6"/>
  <c r="Z67" i="6"/>
  <c r="Z68" i="6"/>
  <c r="Z73" i="6"/>
  <c r="Z74" i="6"/>
  <c r="Z87" i="6"/>
  <c r="Z88" i="6"/>
  <c r="Z90" i="6"/>
  <c r="Z101" i="6"/>
  <c r="Z5" i="6"/>
  <c r="AC7" i="6"/>
  <c r="AD7" i="6"/>
  <c r="AE7" i="6"/>
  <c r="AF7" i="6"/>
  <c r="AG7" i="6"/>
  <c r="AH7" i="6"/>
  <c r="AI7" i="6"/>
  <c r="AJ7" i="6"/>
  <c r="AK7" i="6"/>
  <c r="AL7" i="6"/>
  <c r="AM7" i="6"/>
  <c r="AN7" i="6"/>
  <c r="AO7" i="6"/>
  <c r="AP7" i="6"/>
  <c r="AQ7" i="6"/>
  <c r="AR7" i="6"/>
  <c r="AS7" i="6"/>
  <c r="AT7" i="6"/>
  <c r="AU7" i="6"/>
  <c r="AX7" i="6"/>
  <c r="AY7" i="6"/>
  <c r="AZ7" i="6"/>
  <c r="BA7" i="6"/>
  <c r="BB7" i="6"/>
  <c r="BC7" i="6"/>
  <c r="BD7" i="6"/>
  <c r="BE7" i="6"/>
  <c r="BF7" i="6"/>
  <c r="BH7" i="6"/>
  <c r="BI7" i="6"/>
  <c r="BJ7" i="6"/>
  <c r="BK7" i="6"/>
  <c r="BL7" i="6"/>
  <c r="BM7" i="6"/>
  <c r="BN7" i="6"/>
  <c r="BO7" i="6"/>
  <c r="BP7" i="6"/>
  <c r="AE8" i="6"/>
  <c r="AC8" i="6"/>
  <c r="AD8" i="6"/>
  <c r="AF8" i="6"/>
  <c r="AG8" i="6"/>
  <c r="AH8" i="6"/>
  <c r="AJ8" i="6"/>
  <c r="AK8" i="6"/>
  <c r="AL8" i="6"/>
  <c r="AN8" i="6"/>
  <c r="AO8" i="6"/>
  <c r="AP8" i="6"/>
  <c r="AR8" i="6"/>
  <c r="AS8" i="6"/>
  <c r="AT8" i="6"/>
  <c r="AX8" i="6"/>
  <c r="AY8" i="6"/>
  <c r="AZ8" i="6"/>
  <c r="BA8" i="6"/>
  <c r="BB8" i="6"/>
  <c r="BC8" i="6"/>
  <c r="BD8" i="6"/>
  <c r="BE8" i="6"/>
  <c r="BF8" i="6"/>
  <c r="BG8" i="6"/>
  <c r="BH8" i="6"/>
  <c r="BI8" i="6"/>
  <c r="BJ8" i="6"/>
  <c r="BK8" i="6"/>
  <c r="BL8" i="6"/>
  <c r="BM8" i="6"/>
  <c r="BN8" i="6"/>
  <c r="BO8" i="6"/>
  <c r="BP8" i="6"/>
  <c r="BR7" i="6" l="1"/>
  <c r="AU8" i="6"/>
  <c r="AQ8" i="6"/>
  <c r="AM8" i="6"/>
  <c r="AI8" i="6"/>
  <c r="BR8" i="6" l="1"/>
  <c r="AC88" i="6"/>
  <c r="AD88" i="6"/>
  <c r="AE88" i="6"/>
  <c r="AF88" i="6"/>
  <c r="AG88" i="6"/>
  <c r="AH88" i="6"/>
  <c r="AI88" i="6"/>
  <c r="AJ88" i="6"/>
  <c r="AK88" i="6"/>
  <c r="AL88" i="6"/>
  <c r="AM88" i="6"/>
  <c r="AN88" i="6"/>
  <c r="AO88" i="6"/>
  <c r="AP88" i="6"/>
  <c r="AQ88" i="6"/>
  <c r="AR88" i="6"/>
  <c r="AS88" i="6"/>
  <c r="AT88" i="6"/>
  <c r="AU88" i="6"/>
  <c r="AX88" i="6"/>
  <c r="AY88" i="6"/>
  <c r="AZ88" i="6"/>
  <c r="BA88" i="6"/>
  <c r="BB88" i="6"/>
  <c r="BC88" i="6"/>
  <c r="BD88" i="6"/>
  <c r="BE88" i="6"/>
  <c r="BF88" i="6"/>
  <c r="BG88" i="6"/>
  <c r="BH88" i="6"/>
  <c r="BI88" i="6"/>
  <c r="BJ88" i="6"/>
  <c r="BK88" i="6"/>
  <c r="BL88" i="6"/>
  <c r="BM88" i="6"/>
  <c r="BN88" i="6"/>
  <c r="BO88" i="6"/>
  <c r="BP88" i="6"/>
  <c r="AC90" i="6"/>
  <c r="AD90" i="6"/>
  <c r="AE90" i="6"/>
  <c r="AF90" i="6"/>
  <c r="AG90" i="6"/>
  <c r="AH90" i="6"/>
  <c r="AI90" i="6"/>
  <c r="AJ90" i="6"/>
  <c r="AK90" i="6"/>
  <c r="AL90" i="6"/>
  <c r="AM90" i="6"/>
  <c r="AN90" i="6"/>
  <c r="AO90" i="6"/>
  <c r="AP90" i="6"/>
  <c r="AQ90" i="6"/>
  <c r="AR90" i="6"/>
  <c r="AS90" i="6"/>
  <c r="AT90" i="6"/>
  <c r="AU90" i="6"/>
  <c r="AX90" i="6"/>
  <c r="AY90" i="6"/>
  <c r="AZ90" i="6"/>
  <c r="BA90" i="6"/>
  <c r="BB90" i="6"/>
  <c r="BC90" i="6"/>
  <c r="BD90" i="6"/>
  <c r="BE90" i="6"/>
  <c r="BF90" i="6"/>
  <c r="BG90" i="6"/>
  <c r="BH90" i="6"/>
  <c r="BI90" i="6"/>
  <c r="BJ90" i="6"/>
  <c r="BK90" i="6"/>
  <c r="BL90" i="6"/>
  <c r="BM90" i="6"/>
  <c r="BN90" i="6"/>
  <c r="BO90" i="6"/>
  <c r="BP90" i="6"/>
  <c r="AC101" i="6"/>
  <c r="AD101" i="6"/>
  <c r="AE101" i="6"/>
  <c r="AF101" i="6"/>
  <c r="AG101" i="6"/>
  <c r="AH101" i="6"/>
  <c r="AI101" i="6"/>
  <c r="AJ101" i="6"/>
  <c r="AK101" i="6"/>
  <c r="AL101" i="6"/>
  <c r="AM101" i="6"/>
  <c r="AN101" i="6"/>
  <c r="AO101" i="6"/>
  <c r="AP101" i="6"/>
  <c r="AQ101" i="6"/>
  <c r="AR101" i="6"/>
  <c r="AS101" i="6"/>
  <c r="AT101" i="6"/>
  <c r="AU101" i="6"/>
  <c r="AX101" i="6"/>
  <c r="AY101" i="6"/>
  <c r="AZ101" i="6"/>
  <c r="BA101" i="6"/>
  <c r="BB101" i="6"/>
  <c r="BC101" i="6"/>
  <c r="BD101" i="6"/>
  <c r="BE101" i="6"/>
  <c r="BF101" i="6"/>
  <c r="BG101" i="6"/>
  <c r="BH101" i="6"/>
  <c r="BI101" i="6"/>
  <c r="BJ101" i="6"/>
  <c r="BK101" i="6"/>
  <c r="BL101" i="6"/>
  <c r="BM101" i="6"/>
  <c r="BN101" i="6"/>
  <c r="BO101" i="6"/>
  <c r="BP101" i="6"/>
  <c r="AC82" i="6"/>
  <c r="AD82" i="6"/>
  <c r="AE82" i="6"/>
  <c r="AF82" i="6"/>
  <c r="AG82" i="6"/>
  <c r="AH82" i="6"/>
  <c r="AI82" i="6"/>
  <c r="AJ82" i="6"/>
  <c r="AK82" i="6"/>
  <c r="AL82" i="6"/>
  <c r="AM82" i="6"/>
  <c r="AN82" i="6"/>
  <c r="AO82" i="6"/>
  <c r="AP82" i="6"/>
  <c r="AQ82" i="6"/>
  <c r="AR82" i="6"/>
  <c r="AS82" i="6"/>
  <c r="AT82" i="6"/>
  <c r="AU82" i="6"/>
  <c r="AX82" i="6"/>
  <c r="AY82" i="6"/>
  <c r="AZ82" i="6"/>
  <c r="BA82" i="6"/>
  <c r="BB82" i="6"/>
  <c r="BC82" i="6"/>
  <c r="BD82" i="6"/>
  <c r="BE82" i="6"/>
  <c r="BF82" i="6"/>
  <c r="BG82" i="6"/>
  <c r="BH82" i="6"/>
  <c r="BI82" i="6"/>
  <c r="BJ82" i="6"/>
  <c r="BK82" i="6"/>
  <c r="BL82" i="6"/>
  <c r="BM82" i="6"/>
  <c r="BN82" i="6"/>
  <c r="BO82" i="6"/>
  <c r="BP82" i="6"/>
  <c r="J40" i="1"/>
  <c r="K40" i="1"/>
  <c r="L40" i="1"/>
  <c r="AC87" i="6"/>
  <c r="AD87" i="6"/>
  <c r="AE87" i="6"/>
  <c r="AF87" i="6"/>
  <c r="AG87" i="6"/>
  <c r="AH87" i="6"/>
  <c r="AI87" i="6"/>
  <c r="AJ87" i="6"/>
  <c r="AL87" i="6"/>
  <c r="AM87" i="6"/>
  <c r="AN87" i="6"/>
  <c r="AO87" i="6"/>
  <c r="AP87" i="6"/>
  <c r="AQ87" i="6"/>
  <c r="AR87" i="6"/>
  <c r="AS87" i="6"/>
  <c r="AT87" i="6"/>
  <c r="AU87" i="6"/>
  <c r="AX87" i="6"/>
  <c r="AY87" i="6"/>
  <c r="AZ87" i="6"/>
  <c r="BA87" i="6"/>
  <c r="BB87" i="6"/>
  <c r="BC87" i="6"/>
  <c r="BD87" i="6"/>
  <c r="BE87" i="6"/>
  <c r="BF87" i="6"/>
  <c r="BG87" i="6"/>
  <c r="BH87" i="6"/>
  <c r="BI87" i="6"/>
  <c r="BJ87" i="6"/>
  <c r="BK87" i="6"/>
  <c r="BL87" i="6"/>
  <c r="BM87" i="6"/>
  <c r="BN87" i="6"/>
  <c r="BO87" i="6"/>
  <c r="BP87" i="6"/>
  <c r="AC36" i="6"/>
  <c r="AD36" i="6"/>
  <c r="AE36" i="6"/>
  <c r="AF36" i="6"/>
  <c r="AG36" i="6"/>
  <c r="AH36" i="6"/>
  <c r="AI36" i="6"/>
  <c r="AJ36" i="6"/>
  <c r="AK36" i="6"/>
  <c r="AL36" i="6"/>
  <c r="AM36" i="6"/>
  <c r="AN36" i="6"/>
  <c r="AO36" i="6"/>
  <c r="AP36" i="6"/>
  <c r="AQ36" i="6"/>
  <c r="AR36" i="6"/>
  <c r="AS36" i="6"/>
  <c r="AT36" i="6"/>
  <c r="AU36" i="6"/>
  <c r="AX36" i="6"/>
  <c r="AY36" i="6"/>
  <c r="AZ36" i="6"/>
  <c r="BA36" i="6"/>
  <c r="BB36" i="6"/>
  <c r="BC36" i="6"/>
  <c r="BD36" i="6"/>
  <c r="BE36" i="6"/>
  <c r="BF36" i="6"/>
  <c r="BG36" i="6"/>
  <c r="BH36" i="6"/>
  <c r="BI36" i="6"/>
  <c r="BJ36" i="6"/>
  <c r="BK36" i="6"/>
  <c r="BL36" i="6"/>
  <c r="BM36" i="6"/>
  <c r="BN36" i="6"/>
  <c r="BO36" i="6"/>
  <c r="BP36" i="6"/>
  <c r="BP14" i="6"/>
  <c r="BO14" i="6"/>
  <c r="BN14" i="6"/>
  <c r="BM14" i="6"/>
  <c r="BL14" i="6"/>
  <c r="BK14" i="6"/>
  <c r="BJ14" i="6"/>
  <c r="BI14" i="6"/>
  <c r="BH14" i="6"/>
  <c r="BG14" i="6"/>
  <c r="BF14" i="6"/>
  <c r="BE14" i="6"/>
  <c r="BD14" i="6"/>
  <c r="BC14" i="6"/>
  <c r="BB14" i="6"/>
  <c r="BA14" i="6"/>
  <c r="AZ14" i="6"/>
  <c r="AY14" i="6"/>
  <c r="AX14" i="6"/>
  <c r="AU14" i="6"/>
  <c r="AT14" i="6"/>
  <c r="AS14" i="6"/>
  <c r="AR14" i="6"/>
  <c r="AQ14" i="6"/>
  <c r="AP14" i="6"/>
  <c r="AO14" i="6"/>
  <c r="AN14" i="6"/>
  <c r="AM14" i="6"/>
  <c r="AL14" i="6"/>
  <c r="AK14" i="6"/>
  <c r="AJ14" i="6"/>
  <c r="AI14" i="6"/>
  <c r="AH14" i="6"/>
  <c r="AG14" i="6"/>
  <c r="AF14" i="6"/>
  <c r="AE14" i="6"/>
  <c r="AD14" i="6"/>
  <c r="AC14" i="6"/>
  <c r="AC12" i="6"/>
  <c r="AD12" i="6"/>
  <c r="AE12" i="6"/>
  <c r="AF12" i="6"/>
  <c r="AG12" i="6"/>
  <c r="AH12" i="6"/>
  <c r="AI12" i="6"/>
  <c r="AJ12" i="6"/>
  <c r="AK12" i="6"/>
  <c r="AL12" i="6"/>
  <c r="AM12" i="6"/>
  <c r="AN12" i="6"/>
  <c r="AO12" i="6"/>
  <c r="AP12" i="6"/>
  <c r="AQ12" i="6"/>
  <c r="AR12" i="6"/>
  <c r="AS12" i="6"/>
  <c r="AT12" i="6"/>
  <c r="AU12" i="6"/>
  <c r="AX12" i="6"/>
  <c r="AY12" i="6"/>
  <c r="AZ12" i="6"/>
  <c r="BA12" i="6"/>
  <c r="BB12" i="6"/>
  <c r="BC12" i="6"/>
  <c r="BD12" i="6"/>
  <c r="BE12" i="6"/>
  <c r="BF12" i="6"/>
  <c r="BG12" i="6"/>
  <c r="BH12" i="6"/>
  <c r="BI12" i="6"/>
  <c r="BJ12" i="6"/>
  <c r="BK12" i="6"/>
  <c r="BL12" i="6"/>
  <c r="BM12" i="6"/>
  <c r="BN12" i="6"/>
  <c r="BO12" i="6"/>
  <c r="BP12" i="6"/>
  <c r="BR82" i="6" l="1"/>
  <c r="BR101" i="6"/>
  <c r="BR36" i="6"/>
  <c r="BR87" i="6"/>
  <c r="BR90" i="6"/>
  <c r="BR12" i="6"/>
  <c r="BR14" i="6"/>
  <c r="BR88" i="6"/>
  <c r="J41" i="2"/>
  <c r="K41" i="2"/>
  <c r="L41" i="2"/>
  <c r="AS4" i="6"/>
  <c r="AT4" i="6"/>
  <c r="AU4" i="6"/>
  <c r="AS5" i="6"/>
  <c r="AT5" i="6"/>
  <c r="AU5" i="6"/>
  <c r="AS9" i="6"/>
  <c r="J20" i="2" s="1"/>
  <c r="AT9" i="6"/>
  <c r="K20" i="2" s="1"/>
  <c r="AU9" i="6"/>
  <c r="L20" i="2" s="1"/>
  <c r="AS10" i="6"/>
  <c r="AT10" i="6"/>
  <c r="AU10" i="6"/>
  <c r="AS15" i="6"/>
  <c r="AT15" i="6"/>
  <c r="AU15" i="6"/>
  <c r="AS11" i="6"/>
  <c r="AT11" i="6"/>
  <c r="AU11" i="6"/>
  <c r="AS22" i="6"/>
  <c r="J24" i="2" s="1"/>
  <c r="AT22" i="6"/>
  <c r="K24" i="2" s="1"/>
  <c r="AU22" i="6"/>
  <c r="L24" i="2" s="1"/>
  <c r="AS23" i="6"/>
  <c r="AT23" i="6"/>
  <c r="AU23" i="6"/>
  <c r="AS24" i="6"/>
  <c r="AT24" i="6"/>
  <c r="AU24" i="6"/>
  <c r="AS25" i="6"/>
  <c r="AT25" i="6"/>
  <c r="AU25" i="6"/>
  <c r="AS29" i="6"/>
  <c r="AT29" i="6"/>
  <c r="AU29" i="6"/>
  <c r="AS30" i="6"/>
  <c r="AT30" i="6"/>
  <c r="AU30" i="6"/>
  <c r="AS27" i="6"/>
  <c r="AT27" i="6"/>
  <c r="AU27" i="6"/>
  <c r="AS31" i="6"/>
  <c r="AT31" i="6"/>
  <c r="AU31" i="6"/>
  <c r="AS32" i="6"/>
  <c r="AT32" i="6"/>
  <c r="AU32" i="6"/>
  <c r="AS33" i="6"/>
  <c r="AT33" i="6"/>
  <c r="AU33" i="6"/>
  <c r="AS34" i="6"/>
  <c r="AT34" i="6"/>
  <c r="AU34" i="6"/>
  <c r="AS35" i="6"/>
  <c r="AT35" i="6"/>
  <c r="AU35" i="6"/>
  <c r="AS28" i="6"/>
  <c r="AT28" i="6"/>
  <c r="AU28" i="6"/>
  <c r="AS49" i="6"/>
  <c r="AT49" i="6"/>
  <c r="AU49" i="6"/>
  <c r="AS51" i="6"/>
  <c r="AT51" i="6"/>
  <c r="AU51" i="6"/>
  <c r="AS48" i="6"/>
  <c r="AT48" i="6"/>
  <c r="AU48" i="6"/>
  <c r="AS54" i="6"/>
  <c r="AT54" i="6"/>
  <c r="AU54" i="6"/>
  <c r="AS60" i="6"/>
  <c r="AT60" i="6"/>
  <c r="AU60" i="6"/>
  <c r="AS56" i="6"/>
  <c r="AT56" i="6"/>
  <c r="AU56" i="6"/>
  <c r="AS50" i="6"/>
  <c r="AT50" i="6"/>
  <c r="AU50" i="6"/>
  <c r="AS65" i="6"/>
  <c r="AT65" i="6"/>
  <c r="AU65" i="6"/>
  <c r="AS69" i="6"/>
  <c r="AT69" i="6"/>
  <c r="AU69" i="6"/>
  <c r="AS70" i="6"/>
  <c r="AT70" i="6"/>
  <c r="AU70" i="6"/>
  <c r="AS71" i="6"/>
  <c r="AT71" i="6"/>
  <c r="AU71" i="6"/>
  <c r="AS72" i="6"/>
  <c r="AT72" i="6"/>
  <c r="AU72" i="6"/>
  <c r="AS63" i="6"/>
  <c r="AT63" i="6"/>
  <c r="AU63" i="6"/>
  <c r="AS64" i="6"/>
  <c r="AT64" i="6"/>
  <c r="AU64" i="6"/>
  <c r="AS61" i="6"/>
  <c r="AT61" i="6"/>
  <c r="AU61" i="6"/>
  <c r="AS62" i="6"/>
  <c r="AT62" i="6"/>
  <c r="AU62" i="6"/>
  <c r="AS75" i="6"/>
  <c r="AT75" i="6"/>
  <c r="AU75" i="6"/>
  <c r="J42" i="2"/>
  <c r="K42" i="2"/>
  <c r="L42" i="2"/>
  <c r="AS66" i="6"/>
  <c r="AT66" i="6"/>
  <c r="AU66" i="6"/>
  <c r="AS73" i="6"/>
  <c r="AT73" i="6"/>
  <c r="AU73" i="6"/>
  <c r="AS74" i="6"/>
  <c r="AT74" i="6"/>
  <c r="AU74" i="6"/>
  <c r="AS102" i="6"/>
  <c r="J50" i="2" s="1"/>
  <c r="AT102" i="6"/>
  <c r="K50" i="2" s="1"/>
  <c r="AU102" i="6"/>
  <c r="L50" i="2" s="1"/>
  <c r="AS103" i="6"/>
  <c r="AT103" i="6"/>
  <c r="AU103" i="6"/>
  <c r="AS104" i="6"/>
  <c r="AT104" i="6"/>
  <c r="AU104" i="6"/>
  <c r="AS111" i="6"/>
  <c r="AT111" i="6"/>
  <c r="AU111" i="6"/>
  <c r="AS112" i="6"/>
  <c r="AT112" i="6"/>
  <c r="AU112" i="6"/>
  <c r="AS109" i="6"/>
  <c r="AT109" i="6"/>
  <c r="AU109" i="6"/>
  <c r="AS113" i="6"/>
  <c r="AT113" i="6"/>
  <c r="AU113" i="6"/>
  <c r="AS114" i="6"/>
  <c r="AT114" i="6"/>
  <c r="AU114" i="6"/>
  <c r="AS106" i="6"/>
  <c r="AT106" i="6"/>
  <c r="AS115" i="6"/>
  <c r="AT115" i="6"/>
  <c r="AU115" i="6"/>
  <c r="AS117" i="6"/>
  <c r="AT117" i="6"/>
  <c r="AU117" i="6"/>
  <c r="AS122" i="6"/>
  <c r="AT122" i="6"/>
  <c r="AU122" i="6"/>
  <c r="AS125" i="6"/>
  <c r="AT125" i="6"/>
  <c r="AU125" i="6"/>
  <c r="AS127" i="6"/>
  <c r="AT127" i="6"/>
  <c r="AU127" i="6"/>
  <c r="AS128" i="6"/>
  <c r="AT128" i="6"/>
  <c r="AU128" i="6"/>
  <c r="AS116" i="6"/>
  <c r="AT116" i="6"/>
  <c r="AU116" i="6"/>
  <c r="AS107" i="6"/>
  <c r="AT107" i="6"/>
  <c r="AS131" i="6"/>
  <c r="AT131" i="6"/>
  <c r="AU131" i="6"/>
  <c r="AS133" i="6"/>
  <c r="AT133" i="6"/>
  <c r="AU133" i="6"/>
  <c r="AS108" i="6"/>
  <c r="AT108" i="6"/>
  <c r="AS138" i="6"/>
  <c r="AT138" i="6"/>
  <c r="AU138" i="6"/>
  <c r="AS139" i="6"/>
  <c r="AT139" i="6"/>
  <c r="AU139" i="6"/>
  <c r="AS140" i="6"/>
  <c r="AU140" i="6"/>
  <c r="AS143" i="6"/>
  <c r="BN143" i="6" s="1"/>
  <c r="AT143" i="6"/>
  <c r="BO143" i="6" s="1"/>
  <c r="AU143" i="6"/>
  <c r="BP143" i="6" s="1"/>
  <c r="AS145" i="6"/>
  <c r="BN145" i="6" s="1"/>
  <c r="J47" i="1" s="1"/>
  <c r="AT145" i="6"/>
  <c r="BO145" i="6" s="1"/>
  <c r="K47" i="1" s="1"/>
  <c r="AU145" i="6"/>
  <c r="BP145" i="6" s="1"/>
  <c r="L47" i="1" s="1"/>
  <c r="BN4" i="6"/>
  <c r="BO4" i="6"/>
  <c r="BP4" i="6"/>
  <c r="BN5" i="6"/>
  <c r="BO5" i="6"/>
  <c r="BP5" i="6"/>
  <c r="BN6" i="6"/>
  <c r="BO6" i="6"/>
  <c r="BP6" i="6"/>
  <c r="BN9" i="6"/>
  <c r="J18" i="1" s="1"/>
  <c r="BO9" i="6"/>
  <c r="K18" i="1" s="1"/>
  <c r="BP9" i="6"/>
  <c r="L18" i="1" s="1"/>
  <c r="BN10" i="6"/>
  <c r="BO10" i="6"/>
  <c r="BP10" i="6"/>
  <c r="BN19" i="6"/>
  <c r="BO19" i="6"/>
  <c r="BP19" i="6"/>
  <c r="BN15" i="6"/>
  <c r="BO15" i="6"/>
  <c r="BP15" i="6"/>
  <c r="BN11" i="6"/>
  <c r="BO11" i="6"/>
  <c r="BP11" i="6"/>
  <c r="BN22" i="6"/>
  <c r="J22" i="1" s="1"/>
  <c r="BO22" i="6"/>
  <c r="K22" i="1" s="1"/>
  <c r="BP22" i="6"/>
  <c r="L22" i="1" s="1"/>
  <c r="BN23" i="6"/>
  <c r="BO23" i="6"/>
  <c r="BP23" i="6"/>
  <c r="BN24" i="6"/>
  <c r="BO24" i="6"/>
  <c r="BP24" i="6"/>
  <c r="BN25" i="6"/>
  <c r="BO25" i="6"/>
  <c r="BP25" i="6"/>
  <c r="BN29" i="6"/>
  <c r="BO29" i="6"/>
  <c r="BP29" i="6"/>
  <c r="BN30" i="6"/>
  <c r="BO30" i="6"/>
  <c r="BP30" i="6"/>
  <c r="BN27" i="6"/>
  <c r="BO27" i="6"/>
  <c r="BP27" i="6"/>
  <c r="BN31" i="6"/>
  <c r="BO31" i="6"/>
  <c r="BP31" i="6"/>
  <c r="BN26" i="6"/>
  <c r="BO26" i="6"/>
  <c r="BP26" i="6"/>
  <c r="BN32" i="6"/>
  <c r="BO32" i="6"/>
  <c r="BP32" i="6"/>
  <c r="BN33" i="6"/>
  <c r="BO33" i="6"/>
  <c r="BP33" i="6"/>
  <c r="BN34" i="6"/>
  <c r="BO34" i="6"/>
  <c r="BP34" i="6"/>
  <c r="BN35" i="6"/>
  <c r="BO35" i="6"/>
  <c r="BP35" i="6"/>
  <c r="BN28" i="6"/>
  <c r="BO28" i="6"/>
  <c r="BP28" i="6"/>
  <c r="BN49" i="6"/>
  <c r="BO49" i="6"/>
  <c r="BP49" i="6"/>
  <c r="BN51" i="6"/>
  <c r="BO51" i="6"/>
  <c r="BP51" i="6"/>
  <c r="BN48" i="6"/>
  <c r="BO48" i="6"/>
  <c r="BP48" i="6"/>
  <c r="BN52" i="6"/>
  <c r="BO52" i="6"/>
  <c r="BP52" i="6"/>
  <c r="BN57" i="6"/>
  <c r="BO57" i="6"/>
  <c r="BP57" i="6"/>
  <c r="BN54" i="6"/>
  <c r="BO54" i="6"/>
  <c r="BP54" i="6"/>
  <c r="BN60" i="6"/>
  <c r="BO60" i="6"/>
  <c r="BP60" i="6"/>
  <c r="BN56" i="6"/>
  <c r="BO56" i="6"/>
  <c r="BP56" i="6"/>
  <c r="BN50" i="6"/>
  <c r="BO50" i="6"/>
  <c r="BP50" i="6"/>
  <c r="BN65" i="6"/>
  <c r="BO65" i="6"/>
  <c r="BP65" i="6"/>
  <c r="BN69" i="6"/>
  <c r="BO69" i="6"/>
  <c r="BP69" i="6"/>
  <c r="BN70" i="6"/>
  <c r="BO70" i="6"/>
  <c r="BP70" i="6"/>
  <c r="BN71" i="6"/>
  <c r="BO71" i="6"/>
  <c r="BP71" i="6"/>
  <c r="BN72" i="6"/>
  <c r="BO72" i="6"/>
  <c r="BP72" i="6"/>
  <c r="BN63" i="6"/>
  <c r="BO63" i="6"/>
  <c r="BP63" i="6"/>
  <c r="BN64" i="6"/>
  <c r="BO64" i="6"/>
  <c r="BP64" i="6"/>
  <c r="BN61" i="6"/>
  <c r="BO61" i="6"/>
  <c r="BP61" i="6"/>
  <c r="BN62" i="6"/>
  <c r="BO62" i="6"/>
  <c r="BP62" i="6"/>
  <c r="BN75" i="6"/>
  <c r="BO75" i="6"/>
  <c r="BP75" i="6"/>
  <c r="BN66" i="6"/>
  <c r="BO66" i="6"/>
  <c r="BP66" i="6"/>
  <c r="BN67" i="6"/>
  <c r="BO67" i="6"/>
  <c r="BP67" i="6"/>
  <c r="BN68" i="6"/>
  <c r="BO68" i="6"/>
  <c r="BP68" i="6"/>
  <c r="BN73" i="6"/>
  <c r="BO73" i="6"/>
  <c r="BP73" i="6"/>
  <c r="BN74" i="6"/>
  <c r="BO74" i="6"/>
  <c r="BP74" i="6"/>
  <c r="BN102" i="6"/>
  <c r="BO102" i="6"/>
  <c r="BP102" i="6"/>
  <c r="BN103" i="6"/>
  <c r="BO103" i="6"/>
  <c r="BP103" i="6"/>
  <c r="BN104" i="6"/>
  <c r="BO104" i="6"/>
  <c r="BP104" i="6"/>
  <c r="BN111" i="6"/>
  <c r="BO111" i="6"/>
  <c r="BP111" i="6"/>
  <c r="BN112" i="6"/>
  <c r="BO112" i="6"/>
  <c r="BP112" i="6"/>
  <c r="BN109" i="6"/>
  <c r="BO109" i="6"/>
  <c r="BP109" i="6"/>
  <c r="BN113" i="6"/>
  <c r="BO113" i="6"/>
  <c r="BP113" i="6"/>
  <c r="BN114" i="6"/>
  <c r="BO114" i="6"/>
  <c r="BP114" i="6"/>
  <c r="BN106" i="6"/>
  <c r="BO106" i="6"/>
  <c r="BP106" i="6"/>
  <c r="BN115" i="6"/>
  <c r="BO115" i="6"/>
  <c r="BP115" i="6"/>
  <c r="BN117" i="6"/>
  <c r="BO117" i="6"/>
  <c r="BP117" i="6"/>
  <c r="BN122" i="6"/>
  <c r="BO122" i="6"/>
  <c r="BP122" i="6"/>
  <c r="AW4" i="6" l="1"/>
  <c r="K17" i="1"/>
  <c r="L17" i="1"/>
  <c r="J17" i="1"/>
  <c r="L48" i="1"/>
  <c r="BP171" i="6"/>
  <c r="K48" i="1"/>
  <c r="BO171" i="6"/>
  <c r="J48" i="1"/>
  <c r="BN171" i="6"/>
  <c r="J16" i="1"/>
  <c r="L16" i="1"/>
  <c r="J32" i="1"/>
  <c r="L20" i="1"/>
  <c r="L19" i="1" s="1"/>
  <c r="L49" i="2"/>
  <c r="J25" i="2"/>
  <c r="K24" i="1"/>
  <c r="K21" i="1" s="1"/>
  <c r="J41" i="1"/>
  <c r="J31" i="1"/>
  <c r="K29" i="1"/>
  <c r="K28" i="1" s="1"/>
  <c r="L49" i="1"/>
  <c r="K38" i="1"/>
  <c r="L33" i="1"/>
  <c r="J29" i="1"/>
  <c r="J28" i="1" s="1"/>
  <c r="L24" i="1"/>
  <c r="L21" i="1" s="1"/>
  <c r="K20" i="1"/>
  <c r="K19" i="1" s="1"/>
  <c r="K16" i="1"/>
  <c r="J38" i="1"/>
  <c r="L32" i="1"/>
  <c r="L38" i="1"/>
  <c r="K49" i="1"/>
  <c r="L41" i="1"/>
  <c r="K33" i="1"/>
  <c r="L31" i="1"/>
  <c r="J20" i="1"/>
  <c r="J19" i="1" s="1"/>
  <c r="J49" i="1"/>
  <c r="K41" i="1"/>
  <c r="J33" i="1"/>
  <c r="K32" i="1"/>
  <c r="K31" i="1"/>
  <c r="L29" i="1"/>
  <c r="L28" i="1" s="1"/>
  <c r="J24" i="1"/>
  <c r="J21" i="1" s="1"/>
  <c r="K49" i="2"/>
  <c r="J49" i="2"/>
  <c r="L25" i="2"/>
  <c r="K25" i="2"/>
  <c r="L34" i="2"/>
  <c r="K26" i="2"/>
  <c r="L35" i="2"/>
  <c r="L26" i="2"/>
  <c r="J26" i="2"/>
  <c r="K40" i="2"/>
  <c r="L51" i="2"/>
  <c r="J40" i="2"/>
  <c r="J51" i="2"/>
  <c r="L40" i="2"/>
  <c r="K35" i="2"/>
  <c r="J35" i="2"/>
  <c r="J34" i="2"/>
  <c r="K51" i="2"/>
  <c r="K34" i="2"/>
  <c r="L18" i="2"/>
  <c r="K18" i="2"/>
  <c r="J18" i="2"/>
  <c r="L48" i="2"/>
  <c r="K48" i="2"/>
  <c r="J48" i="2"/>
  <c r="K45" i="1" l="1"/>
  <c r="K50" i="1" s="1"/>
  <c r="J45" i="1"/>
  <c r="J50" i="1" s="1"/>
  <c r="L45" i="1"/>
  <c r="L50" i="1" s="1"/>
  <c r="J37" i="1"/>
  <c r="J42" i="1" s="1"/>
  <c r="L37" i="1"/>
  <c r="L42" i="1" s="1"/>
  <c r="K37" i="1"/>
  <c r="K42" i="1" s="1"/>
  <c r="L25" i="1"/>
  <c r="J30" i="1"/>
  <c r="J34" i="1" s="1"/>
  <c r="J23" i="2"/>
  <c r="J25" i="1"/>
  <c r="K25" i="1"/>
  <c r="K30" i="1"/>
  <c r="K34" i="1" s="1"/>
  <c r="L30" i="1"/>
  <c r="L34" i="1" s="1"/>
  <c r="K23" i="2"/>
  <c r="L23" i="2"/>
  <c r="J47" i="2"/>
  <c r="K47" i="2"/>
  <c r="L47" i="2"/>
  <c r="L52" i="2" s="1"/>
  <c r="K52" i="2" l="1"/>
  <c r="J52" i="2"/>
  <c r="L52" i="1"/>
  <c r="K52" i="1"/>
  <c r="J52" i="1"/>
  <c r="AS6" i="6"/>
  <c r="AU6" i="6"/>
  <c r="AT6" i="6"/>
  <c r="L19" i="2" l="1"/>
  <c r="L17" i="2" s="1"/>
  <c r="K19" i="2"/>
  <c r="J19" i="2"/>
  <c r="AK117" i="6"/>
  <c r="AC74" i="6"/>
  <c r="AD74" i="6"/>
  <c r="AE74" i="6"/>
  <c r="AF74" i="6"/>
  <c r="AG74" i="6"/>
  <c r="AH74" i="6"/>
  <c r="AI74" i="6"/>
  <c r="AJ74" i="6"/>
  <c r="AK74" i="6"/>
  <c r="AL74" i="6"/>
  <c r="AM74" i="6"/>
  <c r="AN74" i="6"/>
  <c r="AO74" i="6"/>
  <c r="AP74" i="6"/>
  <c r="AQ74" i="6"/>
  <c r="AR74" i="6"/>
  <c r="AX74" i="6"/>
  <c r="AY74" i="6"/>
  <c r="AZ74" i="6"/>
  <c r="BA74" i="6"/>
  <c r="BB74" i="6"/>
  <c r="BC74" i="6"/>
  <c r="BD74" i="6"/>
  <c r="BE74" i="6"/>
  <c r="BF74" i="6"/>
  <c r="BG74" i="6"/>
  <c r="BH74" i="6"/>
  <c r="BI74" i="6"/>
  <c r="BJ74" i="6"/>
  <c r="BK74" i="6"/>
  <c r="BL74" i="6"/>
  <c r="BM74" i="6"/>
  <c r="BR74" i="6" l="1"/>
  <c r="J17" i="2"/>
  <c r="K17" i="2"/>
  <c r="AC56" i="6"/>
  <c r="AD56" i="6"/>
  <c r="AE56" i="6"/>
  <c r="AF56" i="6"/>
  <c r="AG56" i="6"/>
  <c r="AH56" i="6"/>
  <c r="AI56" i="6"/>
  <c r="AJ56" i="6"/>
  <c r="AK56" i="6"/>
  <c r="AL56" i="6"/>
  <c r="AM56" i="6"/>
  <c r="AN56" i="6"/>
  <c r="AO56" i="6"/>
  <c r="AP56" i="6"/>
  <c r="AQ56" i="6"/>
  <c r="AR56" i="6"/>
  <c r="AX56" i="6"/>
  <c r="AY56" i="6"/>
  <c r="AZ56" i="6"/>
  <c r="BA56" i="6"/>
  <c r="BB56" i="6"/>
  <c r="BC56" i="6"/>
  <c r="BD56" i="6"/>
  <c r="BE56" i="6"/>
  <c r="BF56" i="6"/>
  <c r="BG56" i="6"/>
  <c r="BH56" i="6"/>
  <c r="BI56" i="6"/>
  <c r="BJ56" i="6"/>
  <c r="BK56" i="6"/>
  <c r="BL56" i="6"/>
  <c r="BM56" i="6"/>
  <c r="Z139" i="6"/>
  <c r="AC139" i="6"/>
  <c r="AD139" i="6"/>
  <c r="AE139" i="6"/>
  <c r="AF139" i="6"/>
  <c r="AG139" i="6"/>
  <c r="AH139" i="6"/>
  <c r="AI139" i="6"/>
  <c r="AJ139" i="6"/>
  <c r="AK139" i="6"/>
  <c r="AL139" i="6"/>
  <c r="AM139" i="6"/>
  <c r="AN139" i="6"/>
  <c r="AO139" i="6"/>
  <c r="AP139" i="6"/>
  <c r="AQ139" i="6"/>
  <c r="AR139" i="6"/>
  <c r="AX139" i="6"/>
  <c r="AY139" i="6"/>
  <c r="AZ139" i="6"/>
  <c r="BA139" i="6"/>
  <c r="BB139" i="6"/>
  <c r="BC139" i="6"/>
  <c r="BD139" i="6"/>
  <c r="BE139" i="6"/>
  <c r="BF139" i="6"/>
  <c r="BG139" i="6"/>
  <c r="BH139" i="6"/>
  <c r="BI139" i="6"/>
  <c r="BJ139" i="6"/>
  <c r="BK139" i="6"/>
  <c r="BL139" i="6"/>
  <c r="BM139" i="6"/>
  <c r="BR56" i="6" l="1"/>
  <c r="BR139" i="6"/>
  <c r="Z4" i="6"/>
  <c r="BE5" i="6" l="1"/>
  <c r="BF5" i="6"/>
  <c r="BA25" i="6" l="1"/>
  <c r="BA29" i="6"/>
  <c r="BA30" i="6"/>
  <c r="BA27" i="6"/>
  <c r="BA31" i="6"/>
  <c r="BA26" i="6"/>
  <c r="BA32" i="6"/>
  <c r="BA33" i="6"/>
  <c r="BA34" i="6"/>
  <c r="BA35" i="6"/>
  <c r="AZ25" i="6"/>
  <c r="AC23" i="6" l="1"/>
  <c r="AD23" i="6"/>
  <c r="AE23" i="6"/>
  <c r="AF23" i="6"/>
  <c r="AG23" i="6"/>
  <c r="AH23" i="6"/>
  <c r="AI23" i="6"/>
  <c r="AJ23" i="6"/>
  <c r="AK23" i="6"/>
  <c r="AL23" i="6"/>
  <c r="AM23" i="6"/>
  <c r="AN23" i="6"/>
  <c r="AO23" i="6"/>
  <c r="AP23" i="6"/>
  <c r="AQ23" i="6"/>
  <c r="AR23" i="6"/>
  <c r="AX23" i="6"/>
  <c r="AY23" i="6"/>
  <c r="AZ23" i="6"/>
  <c r="BA23" i="6"/>
  <c r="BD23" i="6"/>
  <c r="BE23" i="6"/>
  <c r="BF23" i="6"/>
  <c r="BG23" i="6"/>
  <c r="BH23" i="6"/>
  <c r="BI23" i="6"/>
  <c r="BJ23" i="6"/>
  <c r="BK23" i="6"/>
  <c r="BL23" i="6"/>
  <c r="BM23" i="6"/>
  <c r="BM125" i="6"/>
  <c r="BL125" i="6"/>
  <c r="BK125" i="6"/>
  <c r="BJ125" i="6"/>
  <c r="BI125" i="6"/>
  <c r="BH125" i="6"/>
  <c r="BG125" i="6"/>
  <c r="BF125" i="6"/>
  <c r="BE125" i="6"/>
  <c r="BD125" i="6"/>
  <c r="BA125" i="6"/>
  <c r="AZ125" i="6"/>
  <c r="AY125" i="6"/>
  <c r="AX125" i="6"/>
  <c r="AR125" i="6"/>
  <c r="AQ125" i="6"/>
  <c r="AP125" i="6"/>
  <c r="AO125" i="6"/>
  <c r="AN125" i="6"/>
  <c r="AM125" i="6"/>
  <c r="AL125" i="6"/>
  <c r="AK125" i="6"/>
  <c r="AJ125" i="6"/>
  <c r="AI125" i="6"/>
  <c r="AH125" i="6"/>
  <c r="AG125" i="6"/>
  <c r="AF125" i="6"/>
  <c r="AE125" i="6"/>
  <c r="AD125" i="6"/>
  <c r="AC125" i="6"/>
  <c r="Z125" i="6"/>
  <c r="D128" i="6"/>
  <c r="AI140" i="6"/>
  <c r="AC138" i="6"/>
  <c r="AD138" i="6"/>
  <c r="AJ138" i="6"/>
  <c r="AH138" i="6"/>
  <c r="BE9" i="6"/>
  <c r="D127" i="6" l="1"/>
  <c r="Z127" i="6"/>
  <c r="Z128" i="6"/>
  <c r="BR125" i="6"/>
  <c r="BR23" i="6"/>
  <c r="AT19" i="6"/>
  <c r="AS19" i="6"/>
  <c r="AU19" i="6"/>
  <c r="J22" i="2" l="1"/>
  <c r="L22" i="2"/>
  <c r="L21" i="2" s="1"/>
  <c r="L27" i="2" s="1"/>
  <c r="K22" i="2"/>
  <c r="K21" i="2" l="1"/>
  <c r="J21" i="2"/>
  <c r="AC66" i="6"/>
  <c r="AD66" i="6"/>
  <c r="AE66" i="6"/>
  <c r="AF66" i="6"/>
  <c r="AG66" i="6"/>
  <c r="AH66" i="6"/>
  <c r="AI66" i="6"/>
  <c r="AJ66" i="6"/>
  <c r="AK66" i="6"/>
  <c r="AL66" i="6"/>
  <c r="AM66" i="6"/>
  <c r="AN66" i="6"/>
  <c r="AO66" i="6"/>
  <c r="AP66" i="6"/>
  <c r="AQ66" i="6"/>
  <c r="AR66" i="6"/>
  <c r="AX66" i="6"/>
  <c r="AY66" i="6"/>
  <c r="AZ66" i="6"/>
  <c r="BA66" i="6"/>
  <c r="BB66" i="6"/>
  <c r="BC66" i="6"/>
  <c r="BD66" i="6"/>
  <c r="BE66" i="6"/>
  <c r="BF66" i="6"/>
  <c r="BG66" i="6"/>
  <c r="BH66" i="6"/>
  <c r="BI66" i="6"/>
  <c r="BJ66" i="6"/>
  <c r="BK66" i="6"/>
  <c r="BL66" i="6"/>
  <c r="BM66" i="6"/>
  <c r="J171" i="6"/>
  <c r="K171" i="6"/>
  <c r="L171" i="6"/>
  <c r="O171" i="6"/>
  <c r="AA171" i="6"/>
  <c r="AB171" i="6"/>
  <c r="G171" i="6"/>
  <c r="BR66" i="6" l="1"/>
  <c r="K27" i="2"/>
  <c r="J27" i="2"/>
  <c r="AU67" i="6"/>
  <c r="AS67" i="6"/>
  <c r="AT67" i="6"/>
  <c r="AT68" i="6"/>
  <c r="AS68" i="6"/>
  <c r="AU68" i="6"/>
  <c r="AI51" i="6"/>
  <c r="AC35" i="6"/>
  <c r="AD35" i="6"/>
  <c r="AE35" i="6"/>
  <c r="AF35" i="6"/>
  <c r="AG35" i="6"/>
  <c r="AH35" i="6"/>
  <c r="AI35" i="6"/>
  <c r="AJ35" i="6"/>
  <c r="AK35" i="6"/>
  <c r="AL35" i="6"/>
  <c r="AM35" i="6"/>
  <c r="AN35" i="6"/>
  <c r="AO35" i="6"/>
  <c r="AP35" i="6"/>
  <c r="AQ35" i="6"/>
  <c r="AR35" i="6"/>
  <c r="AX35" i="6"/>
  <c r="AY35" i="6"/>
  <c r="AZ35" i="6"/>
  <c r="BB35" i="6"/>
  <c r="BC35" i="6"/>
  <c r="BD35" i="6"/>
  <c r="BE35" i="6"/>
  <c r="BF35" i="6"/>
  <c r="BG35" i="6"/>
  <c r="BH35" i="6"/>
  <c r="BI35" i="6"/>
  <c r="BJ35" i="6"/>
  <c r="BK35" i="6"/>
  <c r="BL35" i="6"/>
  <c r="BM35" i="6"/>
  <c r="BR35" i="6" l="1"/>
  <c r="J43" i="2"/>
  <c r="Z49" i="6"/>
  <c r="K43" i="2"/>
  <c r="L43" i="2"/>
  <c r="L39" i="2" s="1"/>
  <c r="L44" i="2" s="1"/>
  <c r="J39" i="2" l="1"/>
  <c r="K39" i="2"/>
  <c r="AC34" i="6"/>
  <c r="AD34" i="6"/>
  <c r="AE34" i="6"/>
  <c r="AF34" i="6"/>
  <c r="AG34" i="6"/>
  <c r="AH34" i="6"/>
  <c r="AI34" i="6"/>
  <c r="AJ34" i="6"/>
  <c r="AK34" i="6"/>
  <c r="AL34" i="6"/>
  <c r="AM34" i="6"/>
  <c r="AN34" i="6"/>
  <c r="AO34" i="6"/>
  <c r="AP34" i="6"/>
  <c r="AQ34" i="6"/>
  <c r="AR34" i="6"/>
  <c r="AX34" i="6"/>
  <c r="AY34" i="6"/>
  <c r="AZ34" i="6"/>
  <c r="BB34" i="6"/>
  <c r="BC34" i="6"/>
  <c r="BD34" i="6"/>
  <c r="BE34" i="6"/>
  <c r="BF34" i="6"/>
  <c r="BG34" i="6"/>
  <c r="BH34" i="6"/>
  <c r="BI34" i="6"/>
  <c r="BJ34" i="6"/>
  <c r="BK34" i="6"/>
  <c r="BL34" i="6"/>
  <c r="BM34" i="6"/>
  <c r="BD32" i="6"/>
  <c r="BD29" i="6"/>
  <c r="K44" i="2" l="1"/>
  <c r="J44" i="2"/>
  <c r="BR34" i="6"/>
  <c r="BD6" i="6"/>
  <c r="D47" i="2" l="1"/>
  <c r="AF111" i="6" l="1"/>
  <c r="U143" i="6"/>
  <c r="U171" i="6" s="1"/>
  <c r="AC113" i="6"/>
  <c r="AD113" i="6"/>
  <c r="AE113" i="6"/>
  <c r="AF113" i="6"/>
  <c r="AG113" i="6"/>
  <c r="AH113" i="6"/>
  <c r="AI113" i="6"/>
  <c r="AJ113" i="6"/>
  <c r="AK113" i="6"/>
  <c r="AL113" i="6"/>
  <c r="AM113" i="6"/>
  <c r="AN113" i="6"/>
  <c r="AO113" i="6"/>
  <c r="AP113" i="6"/>
  <c r="AQ113" i="6"/>
  <c r="AR113" i="6"/>
  <c r="AX113" i="6"/>
  <c r="AY113" i="6"/>
  <c r="AZ113" i="6"/>
  <c r="BA113" i="6"/>
  <c r="BB113" i="6"/>
  <c r="BC113" i="6"/>
  <c r="BD113" i="6"/>
  <c r="BE113" i="6"/>
  <c r="BF113" i="6"/>
  <c r="BG113" i="6"/>
  <c r="BH113" i="6"/>
  <c r="BI113" i="6"/>
  <c r="BJ113" i="6"/>
  <c r="BK113" i="6"/>
  <c r="BL113" i="6"/>
  <c r="BM113" i="6"/>
  <c r="AC109" i="6"/>
  <c r="AD109" i="6"/>
  <c r="AE109" i="6"/>
  <c r="AF109" i="6"/>
  <c r="AG109" i="6"/>
  <c r="AH109" i="6"/>
  <c r="AI109" i="6"/>
  <c r="AJ109" i="6"/>
  <c r="AK109" i="6"/>
  <c r="AL109" i="6"/>
  <c r="AM109" i="6"/>
  <c r="AN109" i="6"/>
  <c r="AO109" i="6"/>
  <c r="AP109" i="6"/>
  <c r="AQ109" i="6"/>
  <c r="AR109" i="6"/>
  <c r="AX109" i="6"/>
  <c r="AY109" i="6"/>
  <c r="AZ109" i="6"/>
  <c r="BA109" i="6"/>
  <c r="BB109" i="6"/>
  <c r="BC109" i="6"/>
  <c r="BD109" i="6"/>
  <c r="BE109" i="6"/>
  <c r="BF109" i="6"/>
  <c r="BG109" i="6"/>
  <c r="BH109" i="6"/>
  <c r="BI109" i="6"/>
  <c r="BJ109" i="6"/>
  <c r="BK109" i="6"/>
  <c r="BL109" i="6"/>
  <c r="BM109" i="6"/>
  <c r="AC111" i="6"/>
  <c r="AD111" i="6"/>
  <c r="AE111" i="6"/>
  <c r="AG111" i="6"/>
  <c r="AH111" i="6"/>
  <c r="AI111" i="6"/>
  <c r="AJ111" i="6"/>
  <c r="AK111" i="6"/>
  <c r="AL111" i="6"/>
  <c r="AM111" i="6"/>
  <c r="AN111" i="6"/>
  <c r="AO111" i="6"/>
  <c r="AP111" i="6"/>
  <c r="AQ111" i="6"/>
  <c r="AR111" i="6"/>
  <c r="AX111" i="6"/>
  <c r="AY111" i="6"/>
  <c r="AZ111" i="6"/>
  <c r="BA111" i="6"/>
  <c r="BB111" i="6"/>
  <c r="BC111" i="6"/>
  <c r="BD111" i="6"/>
  <c r="BE111" i="6"/>
  <c r="BF111" i="6"/>
  <c r="BG111" i="6"/>
  <c r="BH111" i="6"/>
  <c r="BI111" i="6"/>
  <c r="BJ111" i="6"/>
  <c r="BK111" i="6"/>
  <c r="BL111" i="6"/>
  <c r="BM111" i="6"/>
  <c r="AC112" i="6"/>
  <c r="AD112" i="6"/>
  <c r="AE112" i="6"/>
  <c r="AG112" i="6"/>
  <c r="AH112" i="6"/>
  <c r="AI112" i="6"/>
  <c r="AJ112" i="6"/>
  <c r="AK112" i="6"/>
  <c r="AL112" i="6"/>
  <c r="AM112" i="6"/>
  <c r="AN112" i="6"/>
  <c r="AO112" i="6"/>
  <c r="AP112" i="6"/>
  <c r="AQ112" i="6"/>
  <c r="AR112" i="6"/>
  <c r="AX112" i="6"/>
  <c r="AY112" i="6"/>
  <c r="AZ112" i="6"/>
  <c r="BA112" i="6"/>
  <c r="BB112" i="6"/>
  <c r="BC112" i="6"/>
  <c r="BD112" i="6"/>
  <c r="BE112" i="6"/>
  <c r="BF112" i="6"/>
  <c r="BG112" i="6"/>
  <c r="BH112" i="6"/>
  <c r="BI112" i="6"/>
  <c r="BJ112" i="6"/>
  <c r="BK112" i="6"/>
  <c r="BL112" i="6"/>
  <c r="BM112" i="6"/>
  <c r="AC104" i="6"/>
  <c r="AD104" i="6"/>
  <c r="AE104" i="6"/>
  <c r="AF104" i="6"/>
  <c r="AG104" i="6"/>
  <c r="AH104" i="6"/>
  <c r="AI104" i="6"/>
  <c r="AJ104" i="6"/>
  <c r="AK104" i="6"/>
  <c r="AL104" i="6"/>
  <c r="AM104" i="6"/>
  <c r="AN104" i="6"/>
  <c r="AO104" i="6"/>
  <c r="AP104" i="6"/>
  <c r="AQ104" i="6"/>
  <c r="AR104" i="6"/>
  <c r="AX104" i="6"/>
  <c r="AY104" i="6"/>
  <c r="AZ104" i="6"/>
  <c r="BA104" i="6"/>
  <c r="BB104" i="6"/>
  <c r="BC104" i="6"/>
  <c r="BD104" i="6"/>
  <c r="BE104" i="6"/>
  <c r="BF104" i="6"/>
  <c r="BG104" i="6"/>
  <c r="BH104" i="6"/>
  <c r="BI104" i="6"/>
  <c r="BJ104" i="6"/>
  <c r="BK104" i="6"/>
  <c r="BL104" i="6"/>
  <c r="BM104" i="6"/>
  <c r="BR111" i="6" l="1"/>
  <c r="BR109" i="6"/>
  <c r="BR113" i="6"/>
  <c r="BR112" i="6"/>
  <c r="BR104" i="6"/>
  <c r="N171" i="6"/>
  <c r="AC106" i="6"/>
  <c r="AD106" i="6"/>
  <c r="AE106" i="6"/>
  <c r="AF106" i="6"/>
  <c r="AG106" i="6"/>
  <c r="AH106" i="6"/>
  <c r="AI106" i="6"/>
  <c r="AJ106" i="6"/>
  <c r="AK106" i="6"/>
  <c r="AL106" i="6"/>
  <c r="AM106" i="6"/>
  <c r="AN106" i="6"/>
  <c r="AO106" i="6"/>
  <c r="AP106" i="6"/>
  <c r="AQ106" i="6"/>
  <c r="AR106" i="6"/>
  <c r="AX106" i="6"/>
  <c r="AY106" i="6"/>
  <c r="AZ106" i="6"/>
  <c r="BA106" i="6"/>
  <c r="BB106" i="6"/>
  <c r="BC106" i="6"/>
  <c r="BD106" i="6"/>
  <c r="BE106" i="6"/>
  <c r="BF106" i="6"/>
  <c r="BG106" i="6"/>
  <c r="BH106" i="6"/>
  <c r="BI106" i="6"/>
  <c r="BJ106" i="6"/>
  <c r="BK106" i="6"/>
  <c r="BL106" i="6"/>
  <c r="BM106" i="6"/>
  <c r="AC115" i="6"/>
  <c r="AD115" i="6"/>
  <c r="AE115" i="6"/>
  <c r="AF115" i="6"/>
  <c r="AG115" i="6"/>
  <c r="AH115" i="6"/>
  <c r="AI115" i="6"/>
  <c r="AJ115" i="6"/>
  <c r="AK115" i="6"/>
  <c r="AL115" i="6"/>
  <c r="AM115" i="6"/>
  <c r="AN115" i="6"/>
  <c r="AO115" i="6"/>
  <c r="AP115" i="6"/>
  <c r="AQ115" i="6"/>
  <c r="AR115" i="6"/>
  <c r="AX115" i="6"/>
  <c r="AY115" i="6"/>
  <c r="AZ115" i="6"/>
  <c r="BA115" i="6"/>
  <c r="BB115" i="6"/>
  <c r="BC115" i="6"/>
  <c r="BD115" i="6"/>
  <c r="BE115" i="6"/>
  <c r="BF115" i="6"/>
  <c r="BG115" i="6"/>
  <c r="BH115" i="6"/>
  <c r="BI115" i="6"/>
  <c r="BJ115" i="6"/>
  <c r="BK115" i="6"/>
  <c r="BL115" i="6"/>
  <c r="BM115" i="6"/>
  <c r="AC117" i="6"/>
  <c r="AD117" i="6"/>
  <c r="AE117" i="6"/>
  <c r="AF117" i="6"/>
  <c r="AG117" i="6"/>
  <c r="AH117" i="6"/>
  <c r="AI117" i="6"/>
  <c r="AJ117" i="6"/>
  <c r="AL117" i="6"/>
  <c r="AM117" i="6"/>
  <c r="AN117" i="6"/>
  <c r="AO117" i="6"/>
  <c r="AP117" i="6"/>
  <c r="AQ117" i="6"/>
  <c r="AR117" i="6"/>
  <c r="AX117" i="6"/>
  <c r="AY117" i="6"/>
  <c r="AZ117" i="6"/>
  <c r="BA117" i="6"/>
  <c r="BB117" i="6"/>
  <c r="BC117" i="6"/>
  <c r="BD117" i="6"/>
  <c r="BE117" i="6"/>
  <c r="BF117" i="6"/>
  <c r="BG117" i="6"/>
  <c r="BH117" i="6"/>
  <c r="BI117" i="6"/>
  <c r="BJ117" i="6"/>
  <c r="BK117" i="6"/>
  <c r="BL117" i="6"/>
  <c r="BM117" i="6"/>
  <c r="AC114" i="6"/>
  <c r="AD114" i="6"/>
  <c r="AE114" i="6"/>
  <c r="AF114" i="6"/>
  <c r="AG114" i="6"/>
  <c r="AH114" i="6"/>
  <c r="AI114" i="6"/>
  <c r="AJ114" i="6"/>
  <c r="AK114" i="6"/>
  <c r="AL114" i="6"/>
  <c r="AM114" i="6"/>
  <c r="AN114" i="6"/>
  <c r="AO114" i="6"/>
  <c r="AP114" i="6"/>
  <c r="AQ114" i="6"/>
  <c r="AR114" i="6"/>
  <c r="AX114" i="6"/>
  <c r="AY114" i="6"/>
  <c r="AZ114" i="6"/>
  <c r="BA114" i="6"/>
  <c r="BB114" i="6"/>
  <c r="BC114" i="6"/>
  <c r="BD114" i="6"/>
  <c r="BE114" i="6"/>
  <c r="BF114" i="6"/>
  <c r="BG114" i="6"/>
  <c r="BH114" i="6"/>
  <c r="BI114" i="6"/>
  <c r="BJ114" i="6"/>
  <c r="BK114" i="6"/>
  <c r="BL114" i="6"/>
  <c r="BM114" i="6"/>
  <c r="BR106" i="6" l="1"/>
  <c r="BR114" i="6"/>
  <c r="BR117" i="6"/>
  <c r="BR115" i="6"/>
  <c r="T143" i="6"/>
  <c r="Z143" i="6" s="1"/>
  <c r="AC33" i="6" l="1"/>
  <c r="AD33" i="6"/>
  <c r="AE33" i="6"/>
  <c r="AF33" i="6"/>
  <c r="AG33" i="6"/>
  <c r="AH33" i="6"/>
  <c r="AI33" i="6"/>
  <c r="AJ33" i="6"/>
  <c r="AK33" i="6"/>
  <c r="AL33" i="6"/>
  <c r="AM33" i="6"/>
  <c r="AN33" i="6"/>
  <c r="AO33" i="6"/>
  <c r="AP33" i="6"/>
  <c r="AQ33" i="6"/>
  <c r="AR33" i="6"/>
  <c r="AX33" i="6"/>
  <c r="AY33" i="6"/>
  <c r="AZ33" i="6"/>
  <c r="BB33" i="6"/>
  <c r="BC33" i="6"/>
  <c r="BD33" i="6"/>
  <c r="BE33" i="6"/>
  <c r="BF33" i="6"/>
  <c r="BG33" i="6"/>
  <c r="BH33" i="6"/>
  <c r="BI33" i="6"/>
  <c r="BJ33" i="6"/>
  <c r="BK33" i="6"/>
  <c r="BL33" i="6"/>
  <c r="BM33" i="6"/>
  <c r="D26" i="6"/>
  <c r="BR33" i="6" l="1"/>
  <c r="AT26" i="6"/>
  <c r="AU26" i="6"/>
  <c r="AS26" i="6"/>
  <c r="J31" i="2" l="1"/>
  <c r="L31" i="2"/>
  <c r="L30" i="2" s="1"/>
  <c r="K31" i="2"/>
  <c r="BL49" i="6"/>
  <c r="J30" i="2" l="1"/>
  <c r="K30" i="2"/>
  <c r="AJ145" i="6"/>
  <c r="AX138" i="6" l="1"/>
  <c r="AY138" i="6"/>
  <c r="AC31" i="6" l="1"/>
  <c r="AD31" i="6"/>
  <c r="AE31" i="6"/>
  <c r="AF31" i="6"/>
  <c r="AG31" i="6"/>
  <c r="AH31" i="6"/>
  <c r="AI31" i="6"/>
  <c r="AJ31" i="6"/>
  <c r="AK31" i="6"/>
  <c r="AL31" i="6"/>
  <c r="AM31" i="6"/>
  <c r="AN31" i="6"/>
  <c r="AO31" i="6"/>
  <c r="AP31" i="6"/>
  <c r="AQ31" i="6"/>
  <c r="AR31" i="6"/>
  <c r="AX31" i="6"/>
  <c r="AY31" i="6"/>
  <c r="AZ31" i="6"/>
  <c r="BB31" i="6"/>
  <c r="BC31" i="6"/>
  <c r="BD31" i="6"/>
  <c r="BE31" i="6"/>
  <c r="BF31" i="6"/>
  <c r="BG31" i="6"/>
  <c r="BH31" i="6"/>
  <c r="BI31" i="6"/>
  <c r="BJ31" i="6"/>
  <c r="BK31" i="6"/>
  <c r="BL31" i="6"/>
  <c r="BM31" i="6"/>
  <c r="BR31" i="6" l="1"/>
  <c r="AC19" i="6"/>
  <c r="AD19" i="6"/>
  <c r="AE19" i="6"/>
  <c r="AF19" i="6"/>
  <c r="AG19" i="6"/>
  <c r="AH19" i="6"/>
  <c r="AI19" i="6"/>
  <c r="AJ19" i="6"/>
  <c r="AK19" i="6"/>
  <c r="AL19" i="6"/>
  <c r="AM19" i="6"/>
  <c r="AN19" i="6"/>
  <c r="AO19" i="6"/>
  <c r="AP19" i="6"/>
  <c r="AR19" i="6"/>
  <c r="AX19" i="6"/>
  <c r="AY19" i="6"/>
  <c r="AZ19" i="6"/>
  <c r="BA19" i="6"/>
  <c r="BB19" i="6"/>
  <c r="BC19" i="6"/>
  <c r="BD19" i="6"/>
  <c r="BE19" i="6"/>
  <c r="BF19" i="6"/>
  <c r="BG19" i="6"/>
  <c r="BH19" i="6"/>
  <c r="BI19" i="6"/>
  <c r="BJ19" i="6"/>
  <c r="BK19" i="6"/>
  <c r="BL19" i="6"/>
  <c r="BM19" i="6"/>
  <c r="Z138" i="6"/>
  <c r="BM138" i="6"/>
  <c r="BL138" i="6"/>
  <c r="BK138" i="6"/>
  <c r="BJ138" i="6"/>
  <c r="BI138" i="6"/>
  <c r="BH138" i="6"/>
  <c r="BG138" i="6"/>
  <c r="BF138" i="6"/>
  <c r="BE138" i="6"/>
  <c r="BD138" i="6"/>
  <c r="BC138" i="6"/>
  <c r="BB138" i="6"/>
  <c r="BA138" i="6"/>
  <c r="AZ138" i="6"/>
  <c r="AR138" i="6"/>
  <c r="AQ138" i="6"/>
  <c r="AP138" i="6"/>
  <c r="AO138" i="6"/>
  <c r="AN138" i="6"/>
  <c r="AM138" i="6"/>
  <c r="AL138" i="6"/>
  <c r="AK138" i="6"/>
  <c r="AI138" i="6"/>
  <c r="AG138" i="6"/>
  <c r="AF138" i="6"/>
  <c r="AE138" i="6"/>
  <c r="BR138" i="6" l="1"/>
  <c r="AQ19" i="6"/>
  <c r="BR19" i="6" s="1"/>
  <c r="BK107" i="6" l="1"/>
  <c r="BK108" i="6"/>
  <c r="BM4" i="6" l="1"/>
  <c r="BM5" i="6"/>
  <c r="BM6" i="6"/>
  <c r="BM9" i="6"/>
  <c r="BM10" i="6"/>
  <c r="BM15" i="6"/>
  <c r="BM11" i="6"/>
  <c r="BM22" i="6"/>
  <c r="BM24" i="6"/>
  <c r="BM25" i="6"/>
  <c r="BM29" i="6"/>
  <c r="BM30" i="6"/>
  <c r="BM27" i="6"/>
  <c r="BM26" i="6"/>
  <c r="BM32" i="6"/>
  <c r="BM28" i="6"/>
  <c r="BM49" i="6"/>
  <c r="BM51" i="6"/>
  <c r="BM48" i="6"/>
  <c r="BM52" i="6"/>
  <c r="BM57" i="6"/>
  <c r="BM54" i="6"/>
  <c r="BM60" i="6"/>
  <c r="BM50" i="6"/>
  <c r="BM65" i="6"/>
  <c r="BM69" i="6"/>
  <c r="BM70" i="6"/>
  <c r="BM71" i="6"/>
  <c r="BM72" i="6"/>
  <c r="BM63" i="6"/>
  <c r="BM64" i="6"/>
  <c r="BM61" i="6"/>
  <c r="BM62" i="6"/>
  <c r="BM75" i="6"/>
  <c r="BM67" i="6"/>
  <c r="BM68" i="6"/>
  <c r="BM73" i="6"/>
  <c r="BM102" i="6"/>
  <c r="BM103" i="6"/>
  <c r="BM122" i="6"/>
  <c r="BM108" i="6"/>
  <c r="AR4" i="6"/>
  <c r="AR5" i="6"/>
  <c r="AR6" i="6"/>
  <c r="AR9" i="6"/>
  <c r="AR10" i="6"/>
  <c r="AR15" i="6"/>
  <c r="AR11" i="6"/>
  <c r="AR22" i="6"/>
  <c r="AR24" i="6"/>
  <c r="AR25" i="6"/>
  <c r="AR29" i="6"/>
  <c r="AR30" i="6"/>
  <c r="AR27" i="6"/>
  <c r="AR26" i="6"/>
  <c r="AR32" i="6"/>
  <c r="AR28" i="6"/>
  <c r="AR49" i="6"/>
  <c r="AR51" i="6"/>
  <c r="AR48" i="6"/>
  <c r="AR54" i="6"/>
  <c r="AR60" i="6"/>
  <c r="AR50" i="6"/>
  <c r="AR65" i="6"/>
  <c r="AR69" i="6"/>
  <c r="AR70" i="6"/>
  <c r="AR71" i="6"/>
  <c r="AR72" i="6"/>
  <c r="AR63" i="6"/>
  <c r="AR64" i="6"/>
  <c r="AR61" i="6"/>
  <c r="AR62" i="6"/>
  <c r="AR75" i="6"/>
  <c r="AR67" i="6"/>
  <c r="AR68" i="6"/>
  <c r="AR73" i="6"/>
  <c r="AR102" i="6"/>
  <c r="AR103" i="6"/>
  <c r="AR122" i="6"/>
  <c r="AR127" i="6"/>
  <c r="AR128" i="6"/>
  <c r="AR116" i="6"/>
  <c r="AR107" i="6"/>
  <c r="AR131" i="6"/>
  <c r="AR133" i="6"/>
  <c r="AR108" i="6"/>
  <c r="AR143" i="6"/>
  <c r="BM143" i="6" s="1"/>
  <c r="AR145" i="6"/>
  <c r="BM145" i="6" s="1"/>
  <c r="BE133" i="6"/>
  <c r="BE108" i="6"/>
  <c r="BM171" i="6" l="1"/>
  <c r="D39" i="2"/>
  <c r="C39" i="2"/>
  <c r="S171" i="6" l="1"/>
  <c r="AG51" i="6"/>
  <c r="M171" i="6" l="1"/>
  <c r="AJ131" i="6" l="1"/>
  <c r="AC73" i="6"/>
  <c r="AD73" i="6"/>
  <c r="AE73" i="6"/>
  <c r="AF73" i="6"/>
  <c r="AG73" i="6"/>
  <c r="AH73" i="6"/>
  <c r="AI73" i="6"/>
  <c r="AJ73" i="6"/>
  <c r="AK73" i="6"/>
  <c r="AL73" i="6"/>
  <c r="AM73" i="6"/>
  <c r="AN73" i="6"/>
  <c r="AO73" i="6"/>
  <c r="AP73" i="6"/>
  <c r="AQ73" i="6"/>
  <c r="AX73" i="6"/>
  <c r="AY73" i="6"/>
  <c r="AZ73" i="6"/>
  <c r="BA73" i="6"/>
  <c r="BB73" i="6"/>
  <c r="BC73" i="6"/>
  <c r="BD73" i="6"/>
  <c r="BE73" i="6"/>
  <c r="BF73" i="6"/>
  <c r="BG73" i="6"/>
  <c r="BH73" i="6"/>
  <c r="BI73" i="6"/>
  <c r="BJ73" i="6"/>
  <c r="BK73" i="6"/>
  <c r="BL73" i="6"/>
  <c r="AC70" i="6"/>
  <c r="AD70" i="6"/>
  <c r="AE70" i="6"/>
  <c r="AF70" i="6"/>
  <c r="AG70" i="6"/>
  <c r="AH70" i="6"/>
  <c r="AI70" i="6"/>
  <c r="AJ70" i="6"/>
  <c r="AK70" i="6"/>
  <c r="AL70" i="6"/>
  <c r="AM70" i="6"/>
  <c r="AN70" i="6"/>
  <c r="AO70" i="6"/>
  <c r="AP70" i="6"/>
  <c r="AQ70" i="6"/>
  <c r="AX70" i="6"/>
  <c r="AY70" i="6"/>
  <c r="AZ70" i="6"/>
  <c r="BA70" i="6"/>
  <c r="BB70" i="6"/>
  <c r="BC70" i="6"/>
  <c r="BD70" i="6"/>
  <c r="BE70" i="6"/>
  <c r="BF70" i="6"/>
  <c r="BG70" i="6"/>
  <c r="BH70" i="6"/>
  <c r="BI70" i="6"/>
  <c r="BJ70" i="6"/>
  <c r="BK70" i="6"/>
  <c r="BL70" i="6"/>
  <c r="AC71" i="6"/>
  <c r="AD71" i="6"/>
  <c r="AE71" i="6"/>
  <c r="AF71" i="6"/>
  <c r="AG71" i="6"/>
  <c r="AH71" i="6"/>
  <c r="AI71" i="6"/>
  <c r="AJ71" i="6"/>
  <c r="AK71" i="6"/>
  <c r="AL71" i="6"/>
  <c r="AM71" i="6"/>
  <c r="AN71" i="6"/>
  <c r="AO71" i="6"/>
  <c r="AP71" i="6"/>
  <c r="AQ71" i="6"/>
  <c r="AX71" i="6"/>
  <c r="AY71" i="6"/>
  <c r="AZ71" i="6"/>
  <c r="BA71" i="6"/>
  <c r="BB71" i="6"/>
  <c r="BC71" i="6"/>
  <c r="BD71" i="6"/>
  <c r="BE71" i="6"/>
  <c r="BF71" i="6"/>
  <c r="BG71" i="6"/>
  <c r="BH71" i="6"/>
  <c r="BI71" i="6"/>
  <c r="BJ71" i="6"/>
  <c r="BK71" i="6"/>
  <c r="BL71" i="6"/>
  <c r="AC72" i="6"/>
  <c r="AD72" i="6"/>
  <c r="AE72" i="6"/>
  <c r="AF72" i="6"/>
  <c r="AG72" i="6"/>
  <c r="AH72" i="6"/>
  <c r="AI72" i="6"/>
  <c r="AJ72" i="6"/>
  <c r="AK72" i="6"/>
  <c r="AL72" i="6"/>
  <c r="AM72" i="6"/>
  <c r="AN72" i="6"/>
  <c r="AO72" i="6"/>
  <c r="AP72" i="6"/>
  <c r="AQ72" i="6"/>
  <c r="AX72" i="6"/>
  <c r="AY72" i="6"/>
  <c r="AZ72" i="6"/>
  <c r="BA72" i="6"/>
  <c r="BB72" i="6"/>
  <c r="BC72" i="6"/>
  <c r="BD72" i="6"/>
  <c r="BE72" i="6"/>
  <c r="BF72" i="6"/>
  <c r="BG72" i="6"/>
  <c r="BH72" i="6"/>
  <c r="BI72" i="6"/>
  <c r="BJ72" i="6"/>
  <c r="BK72" i="6"/>
  <c r="BL72" i="6"/>
  <c r="BR71" i="6" l="1"/>
  <c r="BR72" i="6"/>
  <c r="BR73" i="6"/>
  <c r="BR70" i="6"/>
  <c r="I16" i="1"/>
  <c r="I17" i="1"/>
  <c r="I18" i="1"/>
  <c r="I20" i="1"/>
  <c r="I19" i="1" s="1"/>
  <c r="I22" i="1"/>
  <c r="I23" i="1"/>
  <c r="I24" i="1"/>
  <c r="I29" i="1"/>
  <c r="I28" i="1" s="1"/>
  <c r="I31" i="1"/>
  <c r="I32" i="1"/>
  <c r="I33" i="1"/>
  <c r="I38" i="1"/>
  <c r="I39" i="1"/>
  <c r="I40" i="1"/>
  <c r="I41" i="1"/>
  <c r="I47" i="1"/>
  <c r="I48" i="1"/>
  <c r="I49" i="1"/>
  <c r="H39" i="1"/>
  <c r="I37" i="1" l="1"/>
  <c r="I42" i="1" s="1"/>
  <c r="I21" i="1"/>
  <c r="I15" i="1"/>
  <c r="I30" i="1"/>
  <c r="I34" i="1" s="1"/>
  <c r="I25" i="1" l="1"/>
  <c r="E10" i="1" l="1"/>
  <c r="I18" i="2" l="1"/>
  <c r="I19" i="2"/>
  <c r="I20" i="2"/>
  <c r="I22" i="2"/>
  <c r="I24" i="2"/>
  <c r="I25" i="2"/>
  <c r="I26" i="2"/>
  <c r="I31" i="2"/>
  <c r="I34" i="2"/>
  <c r="I35" i="2"/>
  <c r="I40" i="2"/>
  <c r="I41" i="2"/>
  <c r="I42" i="2"/>
  <c r="I43" i="2"/>
  <c r="I48" i="2"/>
  <c r="I49" i="2"/>
  <c r="I50" i="2"/>
  <c r="I51" i="2"/>
  <c r="H41" i="2"/>
  <c r="C35" i="4"/>
  <c r="D35" i="4"/>
  <c r="E35" i="4"/>
  <c r="F35" i="4"/>
  <c r="H36" i="4"/>
  <c r="H35" i="4" s="1"/>
  <c r="I30" i="2" l="1"/>
  <c r="I21" i="2"/>
  <c r="I39" i="2"/>
  <c r="I23" i="2"/>
  <c r="I17" i="2"/>
  <c r="I47" i="2"/>
  <c r="I44" i="2" l="1"/>
  <c r="I52" i="2"/>
  <c r="I27" i="2"/>
  <c r="C15" i="1" l="1"/>
  <c r="AR57" i="6" l="1"/>
  <c r="AT57" i="6"/>
  <c r="AU57" i="6"/>
  <c r="AS57" i="6"/>
  <c r="D52" i="2"/>
  <c r="D44" i="2"/>
  <c r="D32" i="2"/>
  <c r="D30" i="2"/>
  <c r="D21" i="2"/>
  <c r="D17" i="2"/>
  <c r="BL9" i="6"/>
  <c r="H18" i="1" s="1"/>
  <c r="D36" i="2" l="1"/>
  <c r="AH54" i="6"/>
  <c r="D45" i="1"/>
  <c r="D19" i="1"/>
  <c r="D21" i="1"/>
  <c r="D28" i="1"/>
  <c r="D30" i="1"/>
  <c r="D37" i="1"/>
  <c r="D42" i="1" s="1"/>
  <c r="D50" i="1" l="1"/>
  <c r="D25" i="1"/>
  <c r="D34" i="1"/>
  <c r="C19" i="1"/>
  <c r="C21" i="1"/>
  <c r="C28" i="1"/>
  <c r="C30" i="1"/>
  <c r="C37" i="1"/>
  <c r="C45" i="1"/>
  <c r="C39" i="7" l="1"/>
  <c r="C42" i="1"/>
  <c r="C25" i="1"/>
  <c r="C34" i="1"/>
  <c r="BL24" i="6" l="1"/>
  <c r="H24" i="1" s="1"/>
  <c r="BK24" i="6"/>
  <c r="BJ24" i="6"/>
  <c r="BI24" i="6"/>
  <c r="BH24" i="6"/>
  <c r="BG24" i="6"/>
  <c r="BF24" i="6"/>
  <c r="BE24" i="6"/>
  <c r="BD24" i="6"/>
  <c r="BA24" i="6"/>
  <c r="AZ24" i="6"/>
  <c r="AY24" i="6"/>
  <c r="AX24" i="6"/>
  <c r="AQ24" i="6"/>
  <c r="H26" i="2" s="1"/>
  <c r="AP24" i="6"/>
  <c r="AO24" i="6"/>
  <c r="AN24" i="6"/>
  <c r="AM24" i="6"/>
  <c r="AL24" i="6"/>
  <c r="AK24" i="6"/>
  <c r="AJ24" i="6"/>
  <c r="AI24" i="6"/>
  <c r="AH24" i="6"/>
  <c r="AG24" i="6"/>
  <c r="AF24" i="6"/>
  <c r="AE24" i="6"/>
  <c r="AD24" i="6"/>
  <c r="AC24" i="6"/>
  <c r="BD116" i="6"/>
  <c r="BR24" i="6" l="1"/>
  <c r="E37" i="1"/>
  <c r="G37" i="1"/>
  <c r="F37" i="1"/>
  <c r="AC68" i="6"/>
  <c r="AD68" i="6"/>
  <c r="AE68" i="6"/>
  <c r="AF68" i="6"/>
  <c r="AG68" i="6"/>
  <c r="AH68" i="6"/>
  <c r="AI68" i="6"/>
  <c r="AJ68" i="6"/>
  <c r="AK68" i="6"/>
  <c r="AL68" i="6"/>
  <c r="AM68" i="6"/>
  <c r="AN68" i="6"/>
  <c r="AO68" i="6"/>
  <c r="AP68" i="6"/>
  <c r="AQ68" i="6"/>
  <c r="AX68" i="6"/>
  <c r="AY68" i="6"/>
  <c r="AZ68" i="6"/>
  <c r="BA68" i="6"/>
  <c r="BB68" i="6"/>
  <c r="BC68" i="6"/>
  <c r="BD68" i="6"/>
  <c r="BE68" i="6"/>
  <c r="BF68" i="6"/>
  <c r="BG68" i="6"/>
  <c r="BH68" i="6"/>
  <c r="BI68" i="6"/>
  <c r="BJ68" i="6"/>
  <c r="BK68" i="6"/>
  <c r="BL68" i="6"/>
  <c r="AC32" i="6"/>
  <c r="AD32" i="6"/>
  <c r="AE32" i="6"/>
  <c r="AF32" i="6"/>
  <c r="AG32" i="6"/>
  <c r="AH32" i="6"/>
  <c r="AI32" i="6"/>
  <c r="AJ32" i="6"/>
  <c r="AK32" i="6"/>
  <c r="AL32" i="6"/>
  <c r="AM32" i="6"/>
  <c r="AN32" i="6"/>
  <c r="AO32" i="6"/>
  <c r="AP32" i="6"/>
  <c r="AQ32" i="6"/>
  <c r="AX32" i="6"/>
  <c r="AY32" i="6"/>
  <c r="AZ32" i="6"/>
  <c r="BB32" i="6"/>
  <c r="BC32" i="6"/>
  <c r="BE32" i="6"/>
  <c r="BF32" i="6"/>
  <c r="BG32" i="6"/>
  <c r="BH32" i="6"/>
  <c r="BI32" i="6"/>
  <c r="BJ32" i="6"/>
  <c r="BK32" i="6"/>
  <c r="BL32" i="6"/>
  <c r="G39" i="7" l="1"/>
  <c r="D39" i="7"/>
  <c r="E39" i="7"/>
  <c r="F39" i="7"/>
  <c r="BR68" i="6"/>
  <c r="BR32" i="6"/>
  <c r="AI5" i="6"/>
  <c r="AJ5" i="6"/>
  <c r="AM4" i="6"/>
  <c r="AL4" i="6"/>
  <c r="AJ4" i="6"/>
  <c r="AI4" i="6"/>
  <c r="AH4" i="6"/>
  <c r="E15" i="1" l="1"/>
  <c r="F15" i="1"/>
  <c r="G15" i="1"/>
  <c r="E19" i="1"/>
  <c r="F19" i="1"/>
  <c r="G19" i="1"/>
  <c r="E21" i="1"/>
  <c r="F21" i="1"/>
  <c r="G21" i="1"/>
  <c r="E28" i="1"/>
  <c r="G28" i="1"/>
  <c r="E30" i="1"/>
  <c r="F30" i="1"/>
  <c r="G30" i="1"/>
  <c r="E42" i="1"/>
  <c r="F42" i="1"/>
  <c r="G42" i="1"/>
  <c r="E45" i="1"/>
  <c r="F45" i="1"/>
  <c r="F50" i="1" s="1"/>
  <c r="G45" i="1"/>
  <c r="G50" i="1" l="1"/>
  <c r="E50" i="1"/>
  <c r="E34" i="1"/>
  <c r="G25" i="1"/>
  <c r="G34" i="1"/>
  <c r="F25" i="1"/>
  <c r="E25" i="1"/>
  <c r="G52" i="1" l="1"/>
  <c r="E52" i="1"/>
  <c r="G37" i="3" l="1"/>
  <c r="G36" i="3" s="1"/>
  <c r="F36" i="3"/>
  <c r="E36" i="3"/>
  <c r="D36" i="3"/>
  <c r="C36" i="3"/>
  <c r="D35" i="3"/>
  <c r="D34" i="3" s="1"/>
  <c r="F34" i="3"/>
  <c r="E34" i="3"/>
  <c r="C34" i="3"/>
  <c r="F38" i="3" l="1"/>
  <c r="C38" i="3"/>
  <c r="D38" i="3"/>
  <c r="G35" i="3"/>
  <c r="G34" i="3"/>
  <c r="G38" i="3" s="1"/>
  <c r="E38" i="3"/>
  <c r="BL63" i="6" l="1"/>
  <c r="BL64" i="6"/>
  <c r="BL61" i="6"/>
  <c r="BL62" i="6"/>
  <c r="BL75" i="6"/>
  <c r="AG4" i="6" l="1"/>
  <c r="BL30" i="6" l="1"/>
  <c r="BK30" i="6"/>
  <c r="BJ30" i="6"/>
  <c r="BI30" i="6"/>
  <c r="BH30" i="6"/>
  <c r="BG30" i="6"/>
  <c r="BF30" i="6"/>
  <c r="BD30" i="6"/>
  <c r="BC30" i="6"/>
  <c r="BB30" i="6"/>
  <c r="AZ30" i="6"/>
  <c r="AY30" i="6"/>
  <c r="AX30" i="6"/>
  <c r="AN30" i="6"/>
  <c r="AJ30" i="6"/>
  <c r="AF30" i="6"/>
  <c r="BE30" i="6"/>
  <c r="AC30" i="6" l="1"/>
  <c r="AG30" i="6"/>
  <c r="AK30" i="6"/>
  <c r="AO30" i="6"/>
  <c r="AD30" i="6"/>
  <c r="AH30" i="6"/>
  <c r="AL30" i="6"/>
  <c r="AP30" i="6"/>
  <c r="AE30" i="6"/>
  <c r="AI30" i="6"/>
  <c r="AM30" i="6"/>
  <c r="AQ30" i="6"/>
  <c r="BR30" i="6" l="1"/>
  <c r="AC116" i="6"/>
  <c r="AE116" i="6"/>
  <c r="AF116" i="6"/>
  <c r="AG116" i="6"/>
  <c r="AH116" i="6"/>
  <c r="AI116" i="6"/>
  <c r="AJ116" i="6"/>
  <c r="AL116" i="6"/>
  <c r="AM116" i="6"/>
  <c r="AN116" i="6"/>
  <c r="AO116" i="6"/>
  <c r="AP116" i="6"/>
  <c r="AQ116" i="6"/>
  <c r="AX116" i="6"/>
  <c r="AZ116" i="6"/>
  <c r="BA116" i="6"/>
  <c r="BB116" i="6"/>
  <c r="BE116" i="6"/>
  <c r="BF116" i="6"/>
  <c r="AD116" i="6" l="1"/>
  <c r="AY116" i="6" l="1"/>
  <c r="BR116" i="6" s="1"/>
  <c r="AH26" i="6" l="1"/>
  <c r="D5" i="1" l="1"/>
  <c r="BL15" i="6" l="1"/>
  <c r="BK15" i="6"/>
  <c r="BJ15" i="6"/>
  <c r="BI15" i="6"/>
  <c r="BH15" i="6"/>
  <c r="BG15" i="6"/>
  <c r="BF15" i="6"/>
  <c r="BE15" i="6"/>
  <c r="BD15" i="6"/>
  <c r="BC15" i="6"/>
  <c r="BB15" i="6"/>
  <c r="BA15" i="6"/>
  <c r="AZ15" i="6"/>
  <c r="AY15" i="6"/>
  <c r="AX15" i="6"/>
  <c r="AQ15" i="6"/>
  <c r="AP15" i="6"/>
  <c r="AO15" i="6"/>
  <c r="AN15" i="6"/>
  <c r="AM15" i="6"/>
  <c r="AL15" i="6"/>
  <c r="AK15" i="6"/>
  <c r="AJ15" i="6"/>
  <c r="AI15" i="6"/>
  <c r="AH15" i="6"/>
  <c r="AG15" i="6"/>
  <c r="AF15" i="6"/>
  <c r="AE15" i="6"/>
  <c r="AD15" i="6"/>
  <c r="AC15" i="6"/>
  <c r="BL11" i="6"/>
  <c r="BK11" i="6"/>
  <c r="BJ11" i="6"/>
  <c r="BI11" i="6"/>
  <c r="BH11" i="6"/>
  <c r="BG11" i="6"/>
  <c r="BF11" i="6"/>
  <c r="BE11" i="6"/>
  <c r="BD11" i="6"/>
  <c r="BC11" i="6"/>
  <c r="BB11" i="6"/>
  <c r="BA11" i="6"/>
  <c r="AZ11" i="6"/>
  <c r="AY11" i="6"/>
  <c r="AX11" i="6"/>
  <c r="AQ11" i="6"/>
  <c r="AP11" i="6"/>
  <c r="AO11" i="6"/>
  <c r="AN11" i="6"/>
  <c r="AM11" i="6"/>
  <c r="AL11" i="6"/>
  <c r="AK11" i="6"/>
  <c r="AJ11" i="6"/>
  <c r="AI11" i="6"/>
  <c r="AH11" i="6"/>
  <c r="AG11" i="6"/>
  <c r="AF11" i="6"/>
  <c r="AE11" i="6"/>
  <c r="AD11" i="6"/>
  <c r="AC11" i="6"/>
  <c r="AF22" i="6"/>
  <c r="BL29" i="6"/>
  <c r="BK29" i="6"/>
  <c r="BJ29" i="6"/>
  <c r="BI29" i="6"/>
  <c r="BH29" i="6"/>
  <c r="BG29" i="6"/>
  <c r="BF29" i="6"/>
  <c r="BE29" i="6"/>
  <c r="BC29" i="6"/>
  <c r="BB29" i="6"/>
  <c r="AY29" i="6"/>
  <c r="AX29" i="6"/>
  <c r="AQ29" i="6"/>
  <c r="BR15" i="6" l="1"/>
  <c r="BR11" i="6"/>
  <c r="AC29" i="6"/>
  <c r="AK29" i="6"/>
  <c r="AF29" i="6"/>
  <c r="AN29" i="6"/>
  <c r="AI29" i="6"/>
  <c r="AG29" i="6"/>
  <c r="AJ29" i="6"/>
  <c r="AO29" i="6"/>
  <c r="AD29" i="6"/>
  <c r="AH29" i="6"/>
  <c r="AL29" i="6"/>
  <c r="AP29" i="6"/>
  <c r="AZ29" i="6"/>
  <c r="AE29" i="6"/>
  <c r="AM29" i="6"/>
  <c r="BR29" i="6" l="1"/>
  <c r="AC9" i="6"/>
  <c r="AD9" i="6"/>
  <c r="AE9" i="6"/>
  <c r="AF9" i="6"/>
  <c r="AG9" i="6"/>
  <c r="AH9" i="6"/>
  <c r="AI9" i="6"/>
  <c r="AJ9" i="6"/>
  <c r="AK9" i="6"/>
  <c r="AL9" i="6"/>
  <c r="AM9" i="6"/>
  <c r="AN9" i="6"/>
  <c r="AO9" i="6"/>
  <c r="AP9" i="6"/>
  <c r="AQ9" i="6"/>
  <c r="H20" i="2" s="1"/>
  <c r="AX9" i="6"/>
  <c r="AY9" i="6"/>
  <c r="AZ9" i="6"/>
  <c r="BA9" i="6"/>
  <c r="BD9" i="6"/>
  <c r="BF9" i="6"/>
  <c r="BG9" i="6"/>
  <c r="BH9" i="6"/>
  <c r="BI9" i="6"/>
  <c r="BJ9" i="6"/>
  <c r="BK9" i="6"/>
  <c r="BR9" i="6" l="1"/>
  <c r="E17" i="2"/>
  <c r="F17" i="2"/>
  <c r="I133" i="6" l="1"/>
  <c r="I171" i="6" s="1"/>
  <c r="H133" i="6"/>
  <c r="Q171" i="6"/>
  <c r="D52" i="6"/>
  <c r="D173" i="6" s="1"/>
  <c r="D133" i="6" l="1"/>
  <c r="Z133" i="6"/>
  <c r="T171" i="6"/>
  <c r="H171" i="6"/>
  <c r="AR52" i="6"/>
  <c r="AR171" i="6" s="1"/>
  <c r="AS52" i="6"/>
  <c r="AT52" i="6"/>
  <c r="AU52" i="6"/>
  <c r="I33" i="2"/>
  <c r="E12" i="2"/>
  <c r="I32" i="2" l="1"/>
  <c r="L33" i="2"/>
  <c r="L32" i="2" s="1"/>
  <c r="L36" i="2" s="1"/>
  <c r="L54" i="2" s="1"/>
  <c r="AU171" i="6"/>
  <c r="K33" i="2"/>
  <c r="AT171" i="6"/>
  <c r="J33" i="2"/>
  <c r="AS171" i="6"/>
  <c r="BL50" i="6"/>
  <c r="H33" i="1" s="1"/>
  <c r="BK50" i="6"/>
  <c r="BJ50" i="6"/>
  <c r="BI50" i="6"/>
  <c r="BH50" i="6"/>
  <c r="BG50" i="6"/>
  <c r="BF50" i="6"/>
  <c r="BE50" i="6"/>
  <c r="BD50" i="6"/>
  <c r="BC50" i="6"/>
  <c r="BB50" i="6"/>
  <c r="BA50" i="6"/>
  <c r="AZ50" i="6"/>
  <c r="AY50" i="6"/>
  <c r="AX50" i="6"/>
  <c r="AQ50" i="6"/>
  <c r="H35" i="2" s="1"/>
  <c r="AP50" i="6"/>
  <c r="AO50" i="6"/>
  <c r="AN50" i="6"/>
  <c r="AM50" i="6"/>
  <c r="AL50" i="6"/>
  <c r="AK50" i="6"/>
  <c r="AJ50" i="6"/>
  <c r="AI50" i="6"/>
  <c r="AH50" i="6"/>
  <c r="AG50" i="6"/>
  <c r="AF50" i="6"/>
  <c r="AE50" i="6"/>
  <c r="AD50" i="6"/>
  <c r="AC50" i="6"/>
  <c r="BR50" i="6" l="1"/>
  <c r="J32" i="2"/>
  <c r="K32" i="2"/>
  <c r="I36" i="2"/>
  <c r="AC28" i="6"/>
  <c r="AD28" i="6"/>
  <c r="AE28" i="6"/>
  <c r="AF28" i="6"/>
  <c r="AG28" i="6"/>
  <c r="AH28" i="6"/>
  <c r="AI28" i="6"/>
  <c r="AJ28" i="6"/>
  <c r="AK28" i="6"/>
  <c r="AL28" i="6"/>
  <c r="AM28" i="6"/>
  <c r="AN28" i="6"/>
  <c r="AO28" i="6"/>
  <c r="AP28" i="6"/>
  <c r="AQ28" i="6"/>
  <c r="AX28" i="6"/>
  <c r="AY28" i="6"/>
  <c r="AZ28" i="6"/>
  <c r="BA28" i="6"/>
  <c r="BB28" i="6"/>
  <c r="BC28" i="6"/>
  <c r="BD28" i="6"/>
  <c r="BE28" i="6"/>
  <c r="BF28" i="6"/>
  <c r="BG28" i="6"/>
  <c r="BH28" i="6"/>
  <c r="BI28" i="6"/>
  <c r="BK28" i="6"/>
  <c r="BL28" i="6"/>
  <c r="AC49" i="6"/>
  <c r="AD49" i="6"/>
  <c r="AE49" i="6"/>
  <c r="AF49" i="6"/>
  <c r="AG49" i="6"/>
  <c r="AH49" i="6"/>
  <c r="AI49" i="6"/>
  <c r="AJ49" i="6"/>
  <c r="AK49" i="6"/>
  <c r="AL49" i="6"/>
  <c r="AM49" i="6"/>
  <c r="AN49" i="6"/>
  <c r="AO49" i="6"/>
  <c r="AP49" i="6"/>
  <c r="AQ49" i="6"/>
  <c r="AX49" i="6"/>
  <c r="AY49" i="6"/>
  <c r="AZ49" i="6"/>
  <c r="BA49" i="6"/>
  <c r="BB49" i="6"/>
  <c r="BC49" i="6"/>
  <c r="BD49" i="6"/>
  <c r="BE49" i="6"/>
  <c r="BF49" i="6"/>
  <c r="BG49" i="6"/>
  <c r="BH49" i="6"/>
  <c r="BI49" i="6"/>
  <c r="BJ49" i="6"/>
  <c r="BK49" i="6"/>
  <c r="D5" i="2"/>
  <c r="AQ108" i="6"/>
  <c r="BL108" i="6" s="1"/>
  <c r="BJ108" i="6"/>
  <c r="BI108" i="6"/>
  <c r="AM108" i="6"/>
  <c r="AN108" i="6"/>
  <c r="AO108" i="6"/>
  <c r="AP108" i="6"/>
  <c r="BG108" i="6"/>
  <c r="BF108" i="6"/>
  <c r="AI108" i="6"/>
  <c r="AJ108" i="6"/>
  <c r="AK108" i="6"/>
  <c r="AL108" i="6"/>
  <c r="BC108" i="6"/>
  <c r="BB108" i="6"/>
  <c r="AE108" i="6"/>
  <c r="AF108" i="6"/>
  <c r="AG108" i="6"/>
  <c r="AH108" i="6"/>
  <c r="AY108" i="6"/>
  <c r="AX108" i="6"/>
  <c r="AD108" i="6"/>
  <c r="AC108" i="6"/>
  <c r="AF107" i="6"/>
  <c r="AF131" i="6"/>
  <c r="AF4" i="6"/>
  <c r="AF5" i="6"/>
  <c r="AF6" i="6"/>
  <c r="AF10" i="6"/>
  <c r="AF25" i="6"/>
  <c r="AF27" i="6"/>
  <c r="AF26" i="6"/>
  <c r="AF51" i="6"/>
  <c r="AF48" i="6"/>
  <c r="AF52" i="6"/>
  <c r="AF57" i="6"/>
  <c r="AF54" i="6"/>
  <c r="AF60" i="6"/>
  <c r="AF65" i="6"/>
  <c r="AF69" i="6"/>
  <c r="AF63" i="6"/>
  <c r="AF64" i="6"/>
  <c r="AF61" i="6"/>
  <c r="AF62" i="6"/>
  <c r="AF75" i="6"/>
  <c r="AF67" i="6"/>
  <c r="AF102" i="6"/>
  <c r="AF103" i="6"/>
  <c r="AF122" i="6"/>
  <c r="AF127" i="6"/>
  <c r="AF128" i="6"/>
  <c r="AF133" i="6"/>
  <c r="AF140" i="6"/>
  <c r="AF143" i="6"/>
  <c r="BA143" i="6" s="1"/>
  <c r="AF145" i="6"/>
  <c r="BA145" i="6" s="1"/>
  <c r="AE127" i="6"/>
  <c r="AE128" i="6"/>
  <c r="O45" i="1"/>
  <c r="G45" i="9"/>
  <c r="D45" i="9" s="1"/>
  <c r="H46" i="9"/>
  <c r="D46" i="9" s="1"/>
  <c r="H47" i="9"/>
  <c r="D47" i="9" s="1"/>
  <c r="H48" i="9"/>
  <c r="I48" i="9"/>
  <c r="AA48" i="9" s="1"/>
  <c r="J48" i="9"/>
  <c r="AB48" i="9" s="1"/>
  <c r="K48" i="9"/>
  <c r="L48" i="9"/>
  <c r="M48" i="9"/>
  <c r="AE48" i="9" s="1"/>
  <c r="N48" i="9"/>
  <c r="AF48" i="9" s="1"/>
  <c r="O48" i="9"/>
  <c r="AG48" i="9" s="1"/>
  <c r="P48" i="9"/>
  <c r="Q48" i="9"/>
  <c r="AI48" i="9" s="1"/>
  <c r="R48" i="9"/>
  <c r="AJ48" i="9" s="1"/>
  <c r="S48" i="9"/>
  <c r="AK48" i="9" s="1"/>
  <c r="T48" i="9"/>
  <c r="D17" i="9"/>
  <c r="X17" i="9" s="1"/>
  <c r="D18" i="9"/>
  <c r="X18" i="9" s="1"/>
  <c r="D43" i="9"/>
  <c r="D44" i="9"/>
  <c r="H49" i="9"/>
  <c r="I49" i="9"/>
  <c r="AA49" i="9" s="1"/>
  <c r="J49" i="9"/>
  <c r="K49" i="9"/>
  <c r="L49" i="9"/>
  <c r="M49" i="9"/>
  <c r="AE49" i="9" s="1"/>
  <c r="N49" i="9"/>
  <c r="AF49" i="9" s="1"/>
  <c r="O49" i="9"/>
  <c r="P49" i="9"/>
  <c r="AH49" i="9" s="1"/>
  <c r="Q49" i="9"/>
  <c r="AI49" i="9" s="1"/>
  <c r="R49" i="9"/>
  <c r="AJ49" i="9" s="1"/>
  <c r="S49" i="9"/>
  <c r="T49" i="9"/>
  <c r="D50" i="9"/>
  <c r="D51" i="9"/>
  <c r="D76" i="9"/>
  <c r="D77" i="9"/>
  <c r="D78" i="9"/>
  <c r="B78" i="9"/>
  <c r="B77" i="9"/>
  <c r="B76" i="9"/>
  <c r="B75" i="9"/>
  <c r="H24" i="4"/>
  <c r="D70" i="9"/>
  <c r="D71" i="9"/>
  <c r="D72" i="9"/>
  <c r="D73" i="9"/>
  <c r="B73" i="9"/>
  <c r="B72" i="9"/>
  <c r="B71" i="9"/>
  <c r="A36" i="1"/>
  <c r="A37" i="1"/>
  <c r="E69" i="9"/>
  <c r="D67" i="9"/>
  <c r="D69" i="9" s="1"/>
  <c r="D68" i="9"/>
  <c r="B68" i="9"/>
  <c r="B67" i="9"/>
  <c r="H20" i="4"/>
  <c r="E66" i="9" s="1"/>
  <c r="D65" i="9"/>
  <c r="D66" i="9" s="1"/>
  <c r="B65" i="9"/>
  <c r="C14" i="4"/>
  <c r="D14" i="4"/>
  <c r="E14" i="4"/>
  <c r="F14" i="4"/>
  <c r="D59" i="9"/>
  <c r="D60" i="9"/>
  <c r="D61" i="9"/>
  <c r="D62" i="9"/>
  <c r="D63" i="9"/>
  <c r="A19" i="1"/>
  <c r="X55" i="9"/>
  <c r="Y55" i="9"/>
  <c r="Z55" i="9"/>
  <c r="AP55" i="9" s="1"/>
  <c r="AA55" i="9"/>
  <c r="AQ55" i="9" s="1"/>
  <c r="AB55" i="9"/>
  <c r="AR55" i="9" s="1"/>
  <c r="AC55" i="9"/>
  <c r="AS55" i="9" s="1"/>
  <c r="AD55" i="9"/>
  <c r="AT55" i="9" s="1"/>
  <c r="AE55" i="9"/>
  <c r="AU55" i="9" s="1"/>
  <c r="AF55" i="9"/>
  <c r="AV55" i="9" s="1"/>
  <c r="AG55" i="9"/>
  <c r="AW55" i="9" s="1"/>
  <c r="AH55" i="9"/>
  <c r="AX55" i="9" s="1"/>
  <c r="AI55" i="9"/>
  <c r="AY55" i="9" s="1"/>
  <c r="AJ55" i="9"/>
  <c r="AZ55" i="9" s="1"/>
  <c r="AK55" i="9"/>
  <c r="BA55" i="9" s="1"/>
  <c r="AL55" i="9"/>
  <c r="BB55" i="9" s="1"/>
  <c r="AN55" i="9"/>
  <c r="U55" i="9"/>
  <c r="B55" i="9"/>
  <c r="X54" i="9"/>
  <c r="AN54" i="9" s="1"/>
  <c r="Y54" i="9"/>
  <c r="AO54" i="9" s="1"/>
  <c r="Z54" i="9"/>
  <c r="AP54" i="9" s="1"/>
  <c r="AA54" i="9"/>
  <c r="AQ54" i="9" s="1"/>
  <c r="AB54" i="9"/>
  <c r="AR54" i="9" s="1"/>
  <c r="AC54" i="9"/>
  <c r="AS54" i="9" s="1"/>
  <c r="AD54" i="9"/>
  <c r="AT54" i="9" s="1"/>
  <c r="AE54" i="9"/>
  <c r="AU54" i="9" s="1"/>
  <c r="AF54" i="9"/>
  <c r="AV54" i="9" s="1"/>
  <c r="AG54" i="9"/>
  <c r="AW54" i="9" s="1"/>
  <c r="AH54" i="9"/>
  <c r="AX54" i="9" s="1"/>
  <c r="AI54" i="9"/>
  <c r="AY54" i="9" s="1"/>
  <c r="AJ54" i="9"/>
  <c r="AZ54" i="9" s="1"/>
  <c r="AK54" i="9"/>
  <c r="BA54" i="9" s="1"/>
  <c r="T54" i="9"/>
  <c r="AL54" i="9" s="1"/>
  <c r="BB54" i="9" s="1"/>
  <c r="B54" i="9"/>
  <c r="BD53" i="9"/>
  <c r="BD52" i="9"/>
  <c r="X51" i="9"/>
  <c r="Y51" i="9"/>
  <c r="Z51" i="9"/>
  <c r="AA51" i="9"/>
  <c r="AB51" i="9"/>
  <c r="AC51" i="9"/>
  <c r="AD51" i="9"/>
  <c r="AE51" i="9"/>
  <c r="AF51" i="9"/>
  <c r="AG51" i="9"/>
  <c r="AH51" i="9"/>
  <c r="AI51" i="9"/>
  <c r="AJ51" i="9"/>
  <c r="AK51" i="9"/>
  <c r="AL51" i="9"/>
  <c r="AN51" i="9"/>
  <c r="AO51" i="9"/>
  <c r="AP51" i="9"/>
  <c r="AR51" i="9"/>
  <c r="AS51" i="9"/>
  <c r="AT51" i="9"/>
  <c r="AV51" i="9"/>
  <c r="AW51" i="9"/>
  <c r="AX51" i="9"/>
  <c r="AZ51" i="9"/>
  <c r="BA51" i="9"/>
  <c r="BB51" i="9"/>
  <c r="U51" i="9"/>
  <c r="I50" i="9"/>
  <c r="J50" i="9"/>
  <c r="K50" i="9"/>
  <c r="L50" i="9"/>
  <c r="M50" i="9"/>
  <c r="N50" i="9"/>
  <c r="O50" i="9"/>
  <c r="P50" i="9"/>
  <c r="B50" i="9"/>
  <c r="X49" i="9"/>
  <c r="Y49" i="9"/>
  <c r="Z49" i="9"/>
  <c r="AB49" i="9"/>
  <c r="AC49" i="9"/>
  <c r="AD49" i="9"/>
  <c r="AG49" i="9"/>
  <c r="AK49" i="9"/>
  <c r="AL49" i="9"/>
  <c r="AN49" i="9"/>
  <c r="AP49" i="9"/>
  <c r="AQ49" i="9"/>
  <c r="AR49" i="9"/>
  <c r="AT49" i="9"/>
  <c r="AU49" i="9"/>
  <c r="AV49" i="9"/>
  <c r="AX49" i="9"/>
  <c r="AY49" i="9"/>
  <c r="AZ49" i="9"/>
  <c r="BB49" i="9"/>
  <c r="B49" i="9"/>
  <c r="X48" i="9"/>
  <c r="Y48" i="9"/>
  <c r="Z48" i="9"/>
  <c r="AD48" i="9"/>
  <c r="AH48" i="9"/>
  <c r="AL48" i="9"/>
  <c r="AN48" i="9"/>
  <c r="AP48" i="9"/>
  <c r="AQ48" i="9"/>
  <c r="AR48" i="9"/>
  <c r="AT48" i="9"/>
  <c r="AU48" i="9"/>
  <c r="AV48" i="9"/>
  <c r="AX48" i="9"/>
  <c r="AY48" i="9"/>
  <c r="AZ48" i="9"/>
  <c r="BB48" i="9"/>
  <c r="B48" i="9"/>
  <c r="X47" i="9"/>
  <c r="Y47" i="9"/>
  <c r="AA47" i="9"/>
  <c r="AB47" i="9"/>
  <c r="AC47" i="9"/>
  <c r="AD47" i="9"/>
  <c r="AE47" i="9"/>
  <c r="AF47" i="9"/>
  <c r="AG47" i="9"/>
  <c r="AH47" i="9"/>
  <c r="AI47" i="9"/>
  <c r="AJ47" i="9"/>
  <c r="AK47" i="9"/>
  <c r="AL47" i="9"/>
  <c r="AN47" i="9"/>
  <c r="AP47" i="9"/>
  <c r="AQ47" i="9"/>
  <c r="AR47" i="9"/>
  <c r="AT47" i="9"/>
  <c r="AU47" i="9"/>
  <c r="AV47" i="9"/>
  <c r="AX47" i="9"/>
  <c r="AY47" i="9"/>
  <c r="AZ47" i="9"/>
  <c r="BB47" i="9"/>
  <c r="B47" i="9"/>
  <c r="X46" i="9"/>
  <c r="Y46" i="9"/>
  <c r="Z46" i="9"/>
  <c r="AA46" i="9"/>
  <c r="AB46" i="9"/>
  <c r="AC46" i="9"/>
  <c r="AD46" i="9"/>
  <c r="AE46" i="9"/>
  <c r="AF46" i="9"/>
  <c r="AG46" i="9"/>
  <c r="AH46" i="9"/>
  <c r="AI46" i="9"/>
  <c r="AJ46" i="9"/>
  <c r="AK46" i="9"/>
  <c r="AL46" i="9"/>
  <c r="BB46" i="9" s="1"/>
  <c r="AN46" i="9"/>
  <c r="AO46" i="9"/>
  <c r="AQ46" i="9"/>
  <c r="AR46" i="9"/>
  <c r="AS46" i="9"/>
  <c r="AU46" i="9"/>
  <c r="AV46" i="9"/>
  <c r="AW46" i="9"/>
  <c r="AY46" i="9"/>
  <c r="AZ46" i="9"/>
  <c r="BA46" i="9"/>
  <c r="U46" i="9"/>
  <c r="B46" i="9"/>
  <c r="X45" i="9"/>
  <c r="Z45" i="9"/>
  <c r="AA45" i="9"/>
  <c r="AB45" i="9"/>
  <c r="AC45" i="9"/>
  <c r="AD45" i="9"/>
  <c r="AE45" i="9"/>
  <c r="AF45" i="9"/>
  <c r="AG45" i="9"/>
  <c r="AH45" i="9"/>
  <c r="AI45" i="9"/>
  <c r="AJ45" i="9"/>
  <c r="AK45" i="9"/>
  <c r="AL45" i="9"/>
  <c r="AO45" i="9"/>
  <c r="AP45" i="9"/>
  <c r="AQ45" i="9"/>
  <c r="AS45" i="9"/>
  <c r="AT45" i="9"/>
  <c r="AU45" i="9"/>
  <c r="AW45" i="9"/>
  <c r="AX45" i="9"/>
  <c r="AY45" i="9"/>
  <c r="BA45" i="9"/>
  <c r="BB45" i="9"/>
  <c r="B45" i="9"/>
  <c r="X44" i="9"/>
  <c r="Y44" i="9"/>
  <c r="Z44" i="9"/>
  <c r="AA44" i="9"/>
  <c r="AB44" i="9"/>
  <c r="AC44" i="9"/>
  <c r="AD44" i="9"/>
  <c r="AE44" i="9"/>
  <c r="AF44" i="9"/>
  <c r="AG44" i="9"/>
  <c r="AH44" i="9"/>
  <c r="AI44" i="9"/>
  <c r="AJ44" i="9"/>
  <c r="AK44" i="9"/>
  <c r="AL44" i="9"/>
  <c r="BB44" i="9" s="1"/>
  <c r="AN44" i="9"/>
  <c r="AO44" i="9"/>
  <c r="AQ44" i="9"/>
  <c r="AR44" i="9"/>
  <c r="AS44" i="9"/>
  <c r="AU44" i="9"/>
  <c r="AV44" i="9"/>
  <c r="AW44" i="9"/>
  <c r="AY44" i="9"/>
  <c r="AZ44" i="9"/>
  <c r="BA44" i="9"/>
  <c r="U44" i="9"/>
  <c r="X43" i="9"/>
  <c r="Y43" i="9"/>
  <c r="Z43" i="9"/>
  <c r="AA43" i="9"/>
  <c r="AB43" i="9"/>
  <c r="AC43" i="9"/>
  <c r="AD43" i="9"/>
  <c r="AE43" i="9"/>
  <c r="AF43" i="9"/>
  <c r="AG43" i="9"/>
  <c r="AH43" i="9"/>
  <c r="AI43" i="9"/>
  <c r="AJ43" i="9"/>
  <c r="AK43" i="9"/>
  <c r="AL43" i="9"/>
  <c r="AN43" i="9"/>
  <c r="AP43" i="9"/>
  <c r="AQ43" i="9"/>
  <c r="AR43" i="9"/>
  <c r="AT43" i="9"/>
  <c r="AU43" i="9"/>
  <c r="AV43" i="9"/>
  <c r="AX43" i="9"/>
  <c r="AY43" i="9"/>
  <c r="AZ43" i="9"/>
  <c r="BB43" i="9"/>
  <c r="U43" i="9"/>
  <c r="BD42" i="9"/>
  <c r="BD41" i="9"/>
  <c r="X40" i="9"/>
  <c r="Y40" i="9"/>
  <c r="Z40" i="9"/>
  <c r="AA40" i="9"/>
  <c r="AB40" i="9"/>
  <c r="AC40" i="9"/>
  <c r="AD40" i="9"/>
  <c r="AE40" i="9"/>
  <c r="AF40" i="9"/>
  <c r="AG40" i="9"/>
  <c r="AH40" i="9"/>
  <c r="AI40" i="9"/>
  <c r="AJ40" i="9"/>
  <c r="AK40" i="9"/>
  <c r="AL40" i="9"/>
  <c r="AN40" i="9"/>
  <c r="AO40" i="9"/>
  <c r="AP40" i="9"/>
  <c r="AQ40" i="9"/>
  <c r="AR40" i="9"/>
  <c r="AS40" i="9"/>
  <c r="AT40" i="9"/>
  <c r="AU40" i="9"/>
  <c r="AV40" i="9"/>
  <c r="AW40" i="9"/>
  <c r="AX40" i="9"/>
  <c r="AY40" i="9"/>
  <c r="AZ40" i="9"/>
  <c r="BA40" i="9"/>
  <c r="BB40" i="9"/>
  <c r="A34" i="1"/>
  <c r="A35" i="1"/>
  <c r="A25" i="1"/>
  <c r="A26" i="1"/>
  <c r="A27" i="1"/>
  <c r="X38" i="9"/>
  <c r="Y38" i="9"/>
  <c r="Z38" i="9"/>
  <c r="AA38" i="9"/>
  <c r="AB38" i="9"/>
  <c r="AC38" i="9"/>
  <c r="AD38" i="9"/>
  <c r="AE38" i="9"/>
  <c r="AF38" i="9"/>
  <c r="AG38" i="9"/>
  <c r="AH38" i="9"/>
  <c r="AI38" i="9"/>
  <c r="AJ38" i="9"/>
  <c r="AK38" i="9"/>
  <c r="AL38" i="9"/>
  <c r="AN38" i="9"/>
  <c r="AO38" i="9"/>
  <c r="AP38" i="9"/>
  <c r="AQ38" i="9"/>
  <c r="AR38" i="9"/>
  <c r="AS38" i="9"/>
  <c r="AT38" i="9"/>
  <c r="AU38" i="9"/>
  <c r="AV38" i="9"/>
  <c r="AW38" i="9"/>
  <c r="AX38" i="9"/>
  <c r="AY38" i="9"/>
  <c r="AZ38" i="9"/>
  <c r="BA38" i="9"/>
  <c r="BB38" i="9"/>
  <c r="U38" i="9"/>
  <c r="B38" i="9"/>
  <c r="X37" i="9"/>
  <c r="Y37" i="9"/>
  <c r="Z37" i="9"/>
  <c r="AA37" i="9"/>
  <c r="AB37" i="9"/>
  <c r="AC37" i="9"/>
  <c r="L37" i="9"/>
  <c r="AD37" i="9" s="1"/>
  <c r="M37" i="9"/>
  <c r="AE37" i="9" s="1"/>
  <c r="AF37" i="9"/>
  <c r="AG37" i="9"/>
  <c r="P37" i="9"/>
  <c r="AH37" i="9" s="1"/>
  <c r="Q37" i="9"/>
  <c r="AI37" i="9" s="1"/>
  <c r="AJ37" i="9"/>
  <c r="AK37" i="9"/>
  <c r="T37" i="9"/>
  <c r="AL37" i="9" s="1"/>
  <c r="AN37" i="9"/>
  <c r="AO37" i="9"/>
  <c r="AP37" i="9"/>
  <c r="AQ37" i="9"/>
  <c r="AR37" i="9"/>
  <c r="AS37" i="9"/>
  <c r="AT37" i="9"/>
  <c r="AU37" i="9"/>
  <c r="AV37" i="9"/>
  <c r="AW37" i="9"/>
  <c r="AX37" i="9"/>
  <c r="AY37" i="9"/>
  <c r="AZ37" i="9"/>
  <c r="BA37" i="9"/>
  <c r="BB37" i="9"/>
  <c r="B37" i="9"/>
  <c r="X36" i="9"/>
  <c r="Y36" i="9"/>
  <c r="Z36" i="9"/>
  <c r="AA36" i="9"/>
  <c r="AB36" i="9"/>
  <c r="AC36" i="9"/>
  <c r="AD36" i="9"/>
  <c r="AE36" i="9"/>
  <c r="AF36" i="9"/>
  <c r="AG36" i="9"/>
  <c r="AH36" i="9"/>
  <c r="AI36" i="9"/>
  <c r="AJ36" i="9"/>
  <c r="AK36" i="9"/>
  <c r="AL36" i="9"/>
  <c r="AN36" i="9"/>
  <c r="AO36" i="9"/>
  <c r="AP36" i="9"/>
  <c r="AQ36" i="9"/>
  <c r="AR36" i="9"/>
  <c r="AS36" i="9"/>
  <c r="AT36" i="9"/>
  <c r="AU36" i="9"/>
  <c r="AV36" i="9"/>
  <c r="AW36" i="9"/>
  <c r="AX36" i="9"/>
  <c r="AY36" i="9"/>
  <c r="AZ36" i="9"/>
  <c r="BA36" i="9"/>
  <c r="BB36" i="9"/>
  <c r="U36" i="9"/>
  <c r="B36" i="9"/>
  <c r="X35" i="9"/>
  <c r="Y35" i="9"/>
  <c r="Z35" i="9"/>
  <c r="AA35" i="9"/>
  <c r="AB35" i="9"/>
  <c r="AC35" i="9"/>
  <c r="AD35" i="9"/>
  <c r="AE35" i="9"/>
  <c r="AF35" i="9"/>
  <c r="AG35" i="9"/>
  <c r="AH35" i="9"/>
  <c r="AI35" i="9"/>
  <c r="AJ35" i="9"/>
  <c r="AK35" i="9"/>
  <c r="AL35" i="9"/>
  <c r="AN35" i="9"/>
  <c r="AO35" i="9"/>
  <c r="AP35" i="9"/>
  <c r="AQ35" i="9"/>
  <c r="AR35" i="9"/>
  <c r="AS35" i="9"/>
  <c r="AT35" i="9"/>
  <c r="AU35" i="9"/>
  <c r="AV35" i="9"/>
  <c r="AW35" i="9"/>
  <c r="AX35" i="9"/>
  <c r="AY35" i="9"/>
  <c r="AZ35" i="9"/>
  <c r="BA35" i="9"/>
  <c r="BB35" i="9"/>
  <c r="U35" i="9"/>
  <c r="B35" i="9"/>
  <c r="X34" i="9"/>
  <c r="Y34" i="9"/>
  <c r="Z34" i="9"/>
  <c r="AA34" i="9"/>
  <c r="AB34" i="9"/>
  <c r="AC34" i="9"/>
  <c r="AD34" i="9"/>
  <c r="AE34" i="9"/>
  <c r="AF34" i="9"/>
  <c r="AG34" i="9"/>
  <c r="AH34" i="9"/>
  <c r="AI34" i="9"/>
  <c r="AJ34" i="9"/>
  <c r="AK34" i="9"/>
  <c r="AL34" i="9"/>
  <c r="AN34" i="9"/>
  <c r="AO34" i="9"/>
  <c r="AP34" i="9"/>
  <c r="AQ34" i="9"/>
  <c r="AR34" i="9"/>
  <c r="AS34" i="9"/>
  <c r="AT34" i="9"/>
  <c r="AU34" i="9"/>
  <c r="AV34" i="9"/>
  <c r="AW34" i="9"/>
  <c r="AX34" i="9"/>
  <c r="AY34" i="9"/>
  <c r="AZ34" i="9"/>
  <c r="BA34" i="9"/>
  <c r="BB34" i="9"/>
  <c r="U34" i="9"/>
  <c r="B34" i="9"/>
  <c r="X33" i="9"/>
  <c r="Y33" i="9"/>
  <c r="Z33" i="9"/>
  <c r="AA33" i="9"/>
  <c r="AB33" i="9"/>
  <c r="AC33" i="9"/>
  <c r="AD33" i="9"/>
  <c r="AE33" i="9"/>
  <c r="AF33" i="9"/>
  <c r="AG33" i="9"/>
  <c r="AH33" i="9"/>
  <c r="AI33" i="9"/>
  <c r="AJ33" i="9"/>
  <c r="AK33" i="9"/>
  <c r="AL33" i="9"/>
  <c r="AN33" i="9"/>
  <c r="AO33" i="9"/>
  <c r="AP33" i="9"/>
  <c r="AQ33" i="9"/>
  <c r="AR33" i="9"/>
  <c r="AS33" i="9"/>
  <c r="AT33" i="9"/>
  <c r="AU33" i="9"/>
  <c r="AV33" i="9"/>
  <c r="AW33" i="9"/>
  <c r="AX33" i="9"/>
  <c r="AY33" i="9"/>
  <c r="AZ33" i="9"/>
  <c r="BA33" i="9"/>
  <c r="BB33" i="9"/>
  <c r="U33" i="9"/>
  <c r="B33" i="9"/>
  <c r="X32" i="9"/>
  <c r="Y32" i="9"/>
  <c r="Z32" i="9"/>
  <c r="AA32" i="9"/>
  <c r="AB32" i="9"/>
  <c r="AC32" i="9"/>
  <c r="AD32" i="9"/>
  <c r="AE32" i="9"/>
  <c r="AF32" i="9"/>
  <c r="AG32" i="9"/>
  <c r="AH32" i="9"/>
  <c r="AI32" i="9"/>
  <c r="AJ32" i="9"/>
  <c r="AK32" i="9"/>
  <c r="AL32" i="9"/>
  <c r="AN32" i="9"/>
  <c r="AO32" i="9"/>
  <c r="AP32" i="9"/>
  <c r="AQ32" i="9"/>
  <c r="AR32" i="9"/>
  <c r="AS32" i="9"/>
  <c r="AT32" i="9"/>
  <c r="AU32" i="9"/>
  <c r="AV32" i="9"/>
  <c r="AW32" i="9"/>
  <c r="AX32" i="9"/>
  <c r="AY32" i="9"/>
  <c r="AZ32" i="9"/>
  <c r="BA32" i="9"/>
  <c r="BB32" i="9"/>
  <c r="U32" i="9"/>
  <c r="B32" i="9"/>
  <c r="BB31" i="9"/>
  <c r="BA31" i="9"/>
  <c r="AZ31" i="9"/>
  <c r="AY31" i="9"/>
  <c r="AX31" i="9"/>
  <c r="AW31" i="9"/>
  <c r="AV31" i="9"/>
  <c r="AU31" i="9"/>
  <c r="AT31" i="9"/>
  <c r="AS31" i="9"/>
  <c r="AR31" i="9"/>
  <c r="AQ31" i="9"/>
  <c r="AP31" i="9"/>
  <c r="AO31" i="9"/>
  <c r="AN31" i="9"/>
  <c r="AL31" i="9"/>
  <c r="AK31" i="9"/>
  <c r="AJ31" i="9"/>
  <c r="AI31" i="9"/>
  <c r="AH31" i="9"/>
  <c r="AG31" i="9"/>
  <c r="AF31" i="9"/>
  <c r="AE31" i="9"/>
  <c r="AD31" i="9"/>
  <c r="AC31" i="9"/>
  <c r="AB31" i="9"/>
  <c r="AA31" i="9"/>
  <c r="Z31" i="9"/>
  <c r="Y31" i="9"/>
  <c r="X31" i="9"/>
  <c r="U31" i="9"/>
  <c r="BB30" i="9"/>
  <c r="BA30" i="9"/>
  <c r="AZ30" i="9"/>
  <c r="AY30" i="9"/>
  <c r="AX30" i="9"/>
  <c r="AW30" i="9"/>
  <c r="AV30" i="9"/>
  <c r="AU30" i="9"/>
  <c r="AT30" i="9"/>
  <c r="AS30" i="9"/>
  <c r="AR30" i="9"/>
  <c r="AQ30" i="9"/>
  <c r="AP30" i="9"/>
  <c r="AO30" i="9"/>
  <c r="AN30" i="9"/>
  <c r="AL30" i="9"/>
  <c r="AK30" i="9"/>
  <c r="AJ30" i="9"/>
  <c r="AI30" i="9"/>
  <c r="AH30" i="9"/>
  <c r="AG30" i="9"/>
  <c r="AF30" i="9"/>
  <c r="AE30" i="9"/>
  <c r="AD30" i="9"/>
  <c r="AC30" i="9"/>
  <c r="AB30" i="9"/>
  <c r="AA30" i="9"/>
  <c r="Z30" i="9"/>
  <c r="Y30" i="9"/>
  <c r="X30" i="9"/>
  <c r="U30" i="9"/>
  <c r="BB29" i="9"/>
  <c r="BA29" i="9"/>
  <c r="AZ29" i="9"/>
  <c r="AY29" i="9"/>
  <c r="AX29" i="9"/>
  <c r="AW29" i="9"/>
  <c r="AV29" i="9"/>
  <c r="AU29" i="9"/>
  <c r="AT29" i="9"/>
  <c r="AS29" i="9"/>
  <c r="AR29" i="9"/>
  <c r="AQ29" i="9"/>
  <c r="AP29" i="9"/>
  <c r="AO29" i="9"/>
  <c r="AN29" i="9"/>
  <c r="AL29" i="9"/>
  <c r="AK29" i="9"/>
  <c r="AJ29" i="9"/>
  <c r="AI29" i="9"/>
  <c r="AH29" i="9"/>
  <c r="AG29" i="9"/>
  <c r="AF29" i="9"/>
  <c r="AE29" i="9"/>
  <c r="AD29" i="9"/>
  <c r="AC29" i="9"/>
  <c r="AB29" i="9"/>
  <c r="AA29" i="9"/>
  <c r="Z29" i="9"/>
  <c r="Y29" i="9"/>
  <c r="X29" i="9"/>
  <c r="U29" i="9"/>
  <c r="BB28" i="9"/>
  <c r="BA28" i="9"/>
  <c r="AZ28" i="9"/>
  <c r="AY28" i="9"/>
  <c r="AX28" i="9"/>
  <c r="AW28" i="9"/>
  <c r="AV28" i="9"/>
  <c r="AU28" i="9"/>
  <c r="AT28" i="9"/>
  <c r="AS28" i="9"/>
  <c r="AR28" i="9"/>
  <c r="AQ28" i="9"/>
  <c r="AP28" i="9"/>
  <c r="AO28" i="9"/>
  <c r="AN28" i="9"/>
  <c r="AL28" i="9"/>
  <c r="AK28" i="9"/>
  <c r="AJ28" i="9"/>
  <c r="AI28" i="9"/>
  <c r="AH28" i="9"/>
  <c r="AG28" i="9"/>
  <c r="AF28" i="9"/>
  <c r="AE28" i="9"/>
  <c r="AD28" i="9"/>
  <c r="AC28" i="9"/>
  <c r="AB28" i="9"/>
  <c r="AA28" i="9"/>
  <c r="Z28" i="9"/>
  <c r="Y28" i="9"/>
  <c r="X28" i="9"/>
  <c r="U28" i="9"/>
  <c r="X27" i="9"/>
  <c r="Y27" i="9"/>
  <c r="Z27" i="9"/>
  <c r="AA27" i="9"/>
  <c r="AB27" i="9"/>
  <c r="AC27" i="9"/>
  <c r="AD27" i="9"/>
  <c r="AE27" i="9"/>
  <c r="AF27" i="9"/>
  <c r="AG27" i="9"/>
  <c r="AH27" i="9"/>
  <c r="AI27" i="9"/>
  <c r="AJ27" i="9"/>
  <c r="AK27" i="9"/>
  <c r="AL27" i="9"/>
  <c r="AN27" i="9"/>
  <c r="AO27" i="9"/>
  <c r="AP27" i="9"/>
  <c r="AQ27" i="9"/>
  <c r="AR27" i="9"/>
  <c r="AS27" i="9"/>
  <c r="AT27" i="9"/>
  <c r="AU27" i="9"/>
  <c r="AV27" i="9"/>
  <c r="AW27" i="9"/>
  <c r="AX27" i="9"/>
  <c r="AY27" i="9"/>
  <c r="AZ27" i="9"/>
  <c r="BA27" i="9"/>
  <c r="BB27" i="9"/>
  <c r="U27" i="9"/>
  <c r="X26" i="9"/>
  <c r="Y26" i="9"/>
  <c r="Z26" i="9"/>
  <c r="AA26" i="9"/>
  <c r="AB26" i="9"/>
  <c r="AC26" i="9"/>
  <c r="AD26" i="9"/>
  <c r="AE26" i="9"/>
  <c r="AF26" i="9"/>
  <c r="AG26" i="9"/>
  <c r="AH26" i="9"/>
  <c r="AI26" i="9"/>
  <c r="AJ26" i="9"/>
  <c r="AK26" i="9"/>
  <c r="AL26" i="9"/>
  <c r="AN26" i="9"/>
  <c r="AO26" i="9"/>
  <c r="AP26" i="9"/>
  <c r="AQ26" i="9"/>
  <c r="AR26" i="9"/>
  <c r="AS26" i="9"/>
  <c r="AT26" i="9"/>
  <c r="AU26" i="9"/>
  <c r="AV26" i="9"/>
  <c r="AW26" i="9"/>
  <c r="AX26" i="9"/>
  <c r="AY26" i="9"/>
  <c r="AZ26" i="9"/>
  <c r="BA26" i="9"/>
  <c r="BB26" i="9"/>
  <c r="U26" i="9"/>
  <c r="X25" i="9"/>
  <c r="Y25" i="9"/>
  <c r="Z25" i="9"/>
  <c r="AA25" i="9"/>
  <c r="AB25" i="9"/>
  <c r="AC25" i="9"/>
  <c r="AD25" i="9"/>
  <c r="AE25" i="9"/>
  <c r="AF25" i="9"/>
  <c r="AG25" i="9"/>
  <c r="AH25" i="9"/>
  <c r="AI25" i="9"/>
  <c r="AJ25" i="9"/>
  <c r="AK25" i="9"/>
  <c r="AL25" i="9"/>
  <c r="AN25" i="9"/>
  <c r="AO25" i="9"/>
  <c r="AP25" i="9"/>
  <c r="AQ25" i="9"/>
  <c r="AR25" i="9"/>
  <c r="AS25" i="9"/>
  <c r="AT25" i="9"/>
  <c r="AU25" i="9"/>
  <c r="AV25" i="9"/>
  <c r="AW25" i="9"/>
  <c r="AX25" i="9"/>
  <c r="AY25" i="9"/>
  <c r="AZ25" i="9"/>
  <c r="BA25" i="9"/>
  <c r="BB25" i="9"/>
  <c r="U25" i="9"/>
  <c r="B25" i="9"/>
  <c r="X24" i="9"/>
  <c r="Y24" i="9"/>
  <c r="Z24" i="9"/>
  <c r="AA24" i="9"/>
  <c r="AB24" i="9"/>
  <c r="AC24" i="9"/>
  <c r="AD24" i="9"/>
  <c r="AE24" i="9"/>
  <c r="AF24" i="9"/>
  <c r="AG24" i="9"/>
  <c r="AH24" i="9"/>
  <c r="AI24" i="9"/>
  <c r="AJ24" i="9"/>
  <c r="AK24" i="9"/>
  <c r="AL24" i="9"/>
  <c r="AN24" i="9"/>
  <c r="AO24" i="9"/>
  <c r="AP24" i="9"/>
  <c r="AQ24" i="9"/>
  <c r="AR24" i="9"/>
  <c r="AS24" i="9"/>
  <c r="AT24" i="9"/>
  <c r="AU24" i="9"/>
  <c r="AV24" i="9"/>
  <c r="AW24" i="9"/>
  <c r="AX24" i="9"/>
  <c r="AY24" i="9"/>
  <c r="AZ24" i="9"/>
  <c r="BA24" i="9"/>
  <c r="BB24" i="9"/>
  <c r="U24" i="9"/>
  <c r="B24" i="9"/>
  <c r="X23" i="9"/>
  <c r="Y23" i="9"/>
  <c r="Z23" i="9"/>
  <c r="AA23" i="9"/>
  <c r="AB23" i="9"/>
  <c r="AC23" i="9"/>
  <c r="AD23" i="9"/>
  <c r="AE23" i="9"/>
  <c r="AF23" i="9"/>
  <c r="AG23" i="9"/>
  <c r="AH23" i="9"/>
  <c r="AI23" i="9"/>
  <c r="AJ23" i="9"/>
  <c r="AK23" i="9"/>
  <c r="AL23" i="9"/>
  <c r="AN23" i="9"/>
  <c r="AO23" i="9"/>
  <c r="AP23" i="9"/>
  <c r="AQ23" i="9"/>
  <c r="AR23" i="9"/>
  <c r="AS23" i="9"/>
  <c r="AT23" i="9"/>
  <c r="AU23" i="9"/>
  <c r="AV23" i="9"/>
  <c r="AW23" i="9"/>
  <c r="AX23" i="9"/>
  <c r="AY23" i="9"/>
  <c r="AZ23" i="9"/>
  <c r="BA23" i="9"/>
  <c r="BB23" i="9"/>
  <c r="U23" i="9"/>
  <c r="B23" i="9"/>
  <c r="X22" i="9"/>
  <c r="Y22" i="9"/>
  <c r="Z22" i="9"/>
  <c r="AA22" i="9"/>
  <c r="AB22" i="9"/>
  <c r="AC22" i="9"/>
  <c r="AD22" i="9"/>
  <c r="AE22" i="9"/>
  <c r="AF22" i="9"/>
  <c r="AG22" i="9"/>
  <c r="AH22" i="9"/>
  <c r="AI22" i="9"/>
  <c r="AJ22" i="9"/>
  <c r="AK22" i="9"/>
  <c r="AL22" i="9"/>
  <c r="AN22" i="9"/>
  <c r="AO22" i="9"/>
  <c r="AP22" i="9"/>
  <c r="AQ22" i="9"/>
  <c r="AR22" i="9"/>
  <c r="AS22" i="9"/>
  <c r="AT22" i="9"/>
  <c r="AU22" i="9"/>
  <c r="AV22" i="9"/>
  <c r="AW22" i="9"/>
  <c r="AX22" i="9"/>
  <c r="AY22" i="9"/>
  <c r="AZ22" i="9"/>
  <c r="BA22" i="9"/>
  <c r="BB22" i="9"/>
  <c r="U22" i="9"/>
  <c r="B22" i="9"/>
  <c r="X21" i="9"/>
  <c r="Y21" i="9"/>
  <c r="Z21" i="9"/>
  <c r="AA21" i="9"/>
  <c r="AB21" i="9"/>
  <c r="AC21" i="9"/>
  <c r="AD21" i="9"/>
  <c r="AE21" i="9"/>
  <c r="AF21" i="9"/>
  <c r="AG21" i="9"/>
  <c r="AH21" i="9"/>
  <c r="AI21" i="9"/>
  <c r="AJ21" i="9"/>
  <c r="AK21" i="9"/>
  <c r="AL21" i="9"/>
  <c r="AN21" i="9"/>
  <c r="AO21" i="9"/>
  <c r="AP21" i="9"/>
  <c r="AQ21" i="9"/>
  <c r="AR21" i="9"/>
  <c r="AS21" i="9"/>
  <c r="AT21" i="9"/>
  <c r="AU21" i="9"/>
  <c r="AV21" i="9"/>
  <c r="AW21" i="9"/>
  <c r="AX21" i="9"/>
  <c r="AY21" i="9"/>
  <c r="AZ21" i="9"/>
  <c r="BA21" i="9"/>
  <c r="BB21" i="9"/>
  <c r="U21" i="9"/>
  <c r="B21" i="9"/>
  <c r="X20" i="9"/>
  <c r="Y20" i="9"/>
  <c r="Z20" i="9"/>
  <c r="AA20" i="9"/>
  <c r="AB20" i="9"/>
  <c r="AC20" i="9"/>
  <c r="AD20" i="9"/>
  <c r="AE20" i="9"/>
  <c r="AF20" i="9"/>
  <c r="AG20" i="9"/>
  <c r="AH20" i="9"/>
  <c r="AI20" i="9"/>
  <c r="AJ20" i="9"/>
  <c r="AK20" i="9"/>
  <c r="AL20" i="9"/>
  <c r="AN20" i="9"/>
  <c r="AO20" i="9"/>
  <c r="AP20" i="9"/>
  <c r="AQ20" i="9"/>
  <c r="AR20" i="9"/>
  <c r="AS20" i="9"/>
  <c r="AT20" i="9"/>
  <c r="AU20" i="9"/>
  <c r="AV20" i="9"/>
  <c r="AW20" i="9"/>
  <c r="AX20" i="9"/>
  <c r="AY20" i="9"/>
  <c r="AZ20" i="9"/>
  <c r="BA20" i="9"/>
  <c r="BB20" i="9"/>
  <c r="U20" i="9"/>
  <c r="B20" i="9"/>
  <c r="X19" i="9"/>
  <c r="Y19" i="9"/>
  <c r="Z19" i="9"/>
  <c r="AA19" i="9"/>
  <c r="AB19" i="9"/>
  <c r="AC19" i="9"/>
  <c r="AD19" i="9"/>
  <c r="AE19" i="9"/>
  <c r="AF19" i="9"/>
  <c r="AG19" i="9"/>
  <c r="AH19" i="9"/>
  <c r="AI19" i="9"/>
  <c r="AJ19" i="9"/>
  <c r="AK19" i="9"/>
  <c r="AL19" i="9"/>
  <c r="AN19" i="9"/>
  <c r="AO19" i="9"/>
  <c r="AP19" i="9"/>
  <c r="AQ19" i="9"/>
  <c r="AR19" i="9"/>
  <c r="AS19" i="9"/>
  <c r="AT19" i="9"/>
  <c r="AU19" i="9"/>
  <c r="AV19" i="9"/>
  <c r="AW19" i="9"/>
  <c r="AX19" i="9"/>
  <c r="AY19" i="9"/>
  <c r="AZ19" i="9"/>
  <c r="BA19" i="9"/>
  <c r="BB19" i="9"/>
  <c r="U19" i="9"/>
  <c r="B19" i="9"/>
  <c r="AI18" i="9"/>
  <c r="AN18" i="9"/>
  <c r="AO18" i="9"/>
  <c r="AP18" i="9"/>
  <c r="AQ18" i="9"/>
  <c r="AR18" i="9"/>
  <c r="AS18" i="9"/>
  <c r="AT18" i="9"/>
  <c r="AV18" i="9"/>
  <c r="AW18" i="9"/>
  <c r="AX18" i="9"/>
  <c r="AY18" i="9"/>
  <c r="AZ18" i="9"/>
  <c r="BA18" i="9"/>
  <c r="BB18" i="9"/>
  <c r="U18" i="9"/>
  <c r="B18" i="9"/>
  <c r="Z17" i="9"/>
  <c r="AA17" i="9"/>
  <c r="AD17" i="9"/>
  <c r="AE17" i="9"/>
  <c r="AH17" i="9"/>
  <c r="AI17" i="9"/>
  <c r="AL17" i="9"/>
  <c r="AN17" i="9"/>
  <c r="AO17" i="9"/>
  <c r="AP17" i="9"/>
  <c r="AQ17" i="9"/>
  <c r="AR17" i="9"/>
  <c r="AT17" i="9"/>
  <c r="AU17" i="9"/>
  <c r="AV17" i="9"/>
  <c r="AW17" i="9"/>
  <c r="AX17" i="9"/>
  <c r="AY17" i="9"/>
  <c r="AZ17" i="9"/>
  <c r="BA17" i="9"/>
  <c r="BB17" i="9"/>
  <c r="U17" i="9"/>
  <c r="B17" i="9"/>
  <c r="X16" i="9"/>
  <c r="Y16" i="9"/>
  <c r="Z16" i="9"/>
  <c r="AA16" i="9"/>
  <c r="AB16" i="9"/>
  <c r="AC16" i="9"/>
  <c r="AD16" i="9"/>
  <c r="AE16" i="9"/>
  <c r="AF16" i="9"/>
  <c r="AG16" i="9"/>
  <c r="AH16" i="9"/>
  <c r="AI16" i="9"/>
  <c r="AJ16" i="9"/>
  <c r="AK16" i="9"/>
  <c r="AL16" i="9"/>
  <c r="AN16" i="9"/>
  <c r="AO16" i="9"/>
  <c r="AP16" i="9"/>
  <c r="AQ16" i="9"/>
  <c r="AR16" i="9"/>
  <c r="AS16" i="9"/>
  <c r="AT16" i="9"/>
  <c r="AU16" i="9"/>
  <c r="AV16" i="9"/>
  <c r="AW16" i="9"/>
  <c r="AX16" i="9"/>
  <c r="AY16" i="9"/>
  <c r="AZ16" i="9"/>
  <c r="BA16" i="9"/>
  <c r="BB16" i="9"/>
  <c r="U16" i="9"/>
  <c r="B16" i="9"/>
  <c r="X15" i="9"/>
  <c r="Y15" i="9"/>
  <c r="Z15" i="9"/>
  <c r="AA15" i="9"/>
  <c r="AB15" i="9"/>
  <c r="AC15" i="9"/>
  <c r="AD15" i="9"/>
  <c r="AE15" i="9"/>
  <c r="AF15" i="9"/>
  <c r="AG15" i="9"/>
  <c r="AH15" i="9"/>
  <c r="AI15" i="9"/>
  <c r="AJ15" i="9"/>
  <c r="AK15" i="9"/>
  <c r="AL15" i="9"/>
  <c r="AN15" i="9"/>
  <c r="AO15" i="9"/>
  <c r="AP15" i="9"/>
  <c r="AQ15" i="9"/>
  <c r="AR15" i="9"/>
  <c r="AS15" i="9"/>
  <c r="AT15" i="9"/>
  <c r="AU15" i="9"/>
  <c r="AV15" i="9"/>
  <c r="AW15" i="9"/>
  <c r="AX15" i="9"/>
  <c r="AY15" i="9"/>
  <c r="AZ15" i="9"/>
  <c r="BA15" i="9"/>
  <c r="BB15" i="9"/>
  <c r="U15" i="9"/>
  <c r="B15" i="9"/>
  <c r="X14" i="9"/>
  <c r="Y14" i="9"/>
  <c r="Z14" i="9"/>
  <c r="AA14" i="9"/>
  <c r="AB14" i="9"/>
  <c r="AC14" i="9"/>
  <c r="AD14" i="9"/>
  <c r="AE14" i="9"/>
  <c r="AF14" i="9"/>
  <c r="AG14" i="9"/>
  <c r="AH14" i="9"/>
  <c r="AI14" i="9"/>
  <c r="AJ14" i="9"/>
  <c r="AK14" i="9"/>
  <c r="AL14" i="9"/>
  <c r="AN14" i="9"/>
  <c r="AO14" i="9"/>
  <c r="AP14" i="9"/>
  <c r="AQ14" i="9"/>
  <c r="AR14" i="9"/>
  <c r="AS14" i="9"/>
  <c r="AT14" i="9"/>
  <c r="AU14" i="9"/>
  <c r="AV14" i="9"/>
  <c r="AW14" i="9"/>
  <c r="AX14" i="9"/>
  <c r="AY14" i="9"/>
  <c r="AZ14" i="9"/>
  <c r="BA14" i="9"/>
  <c r="BB14" i="9"/>
  <c r="U14" i="9"/>
  <c r="B14" i="9"/>
  <c r="X13" i="9"/>
  <c r="Y13" i="9"/>
  <c r="Z13" i="9"/>
  <c r="AA13" i="9"/>
  <c r="AB13" i="9"/>
  <c r="AC13" i="9"/>
  <c r="AD13" i="9"/>
  <c r="AE13" i="9"/>
  <c r="AF13" i="9"/>
  <c r="AG13" i="9"/>
  <c r="AH13" i="9"/>
  <c r="AI13" i="9"/>
  <c r="AJ13" i="9"/>
  <c r="AK13" i="9"/>
  <c r="AL13" i="9"/>
  <c r="AN13" i="9"/>
  <c r="AO13" i="9"/>
  <c r="AP13" i="9"/>
  <c r="AQ13" i="9"/>
  <c r="AR13" i="9"/>
  <c r="AS13" i="9"/>
  <c r="AT13" i="9"/>
  <c r="AU13" i="9"/>
  <c r="AV13" i="9"/>
  <c r="AW13" i="9"/>
  <c r="AX13" i="9"/>
  <c r="AY13" i="9"/>
  <c r="AZ13" i="9"/>
  <c r="BA13" i="9"/>
  <c r="BB13" i="9"/>
  <c r="U13" i="9"/>
  <c r="B13" i="9"/>
  <c r="X12" i="9"/>
  <c r="Y12" i="9"/>
  <c r="Z12" i="9"/>
  <c r="AA12" i="9"/>
  <c r="AB12" i="9"/>
  <c r="AC12" i="9"/>
  <c r="AD12" i="9"/>
  <c r="AE12" i="9"/>
  <c r="AF12" i="9"/>
  <c r="AG12" i="9"/>
  <c r="AH12" i="9"/>
  <c r="AI12" i="9"/>
  <c r="AJ12" i="9"/>
  <c r="AK12" i="9"/>
  <c r="AL12" i="9"/>
  <c r="AN12" i="9"/>
  <c r="AO12" i="9"/>
  <c r="AP12" i="9"/>
  <c r="AQ12" i="9"/>
  <c r="AR12" i="9"/>
  <c r="AS12" i="9"/>
  <c r="AT12" i="9"/>
  <c r="AU12" i="9"/>
  <c r="AV12" i="9"/>
  <c r="AW12" i="9"/>
  <c r="AX12" i="9"/>
  <c r="AY12" i="9"/>
  <c r="AZ12" i="9"/>
  <c r="BA12" i="9"/>
  <c r="BB12" i="9"/>
  <c r="U12" i="9"/>
  <c r="B12" i="9"/>
  <c r="X11" i="9"/>
  <c r="Y11" i="9"/>
  <c r="Z11" i="9"/>
  <c r="AA11" i="9"/>
  <c r="AB11" i="9"/>
  <c r="AC11" i="9"/>
  <c r="AD11" i="9"/>
  <c r="AE11" i="9"/>
  <c r="AF11" i="9"/>
  <c r="AG11" i="9"/>
  <c r="AH11" i="9"/>
  <c r="AI11" i="9"/>
  <c r="AJ11" i="9"/>
  <c r="AK11" i="9"/>
  <c r="AL11" i="9"/>
  <c r="AN11" i="9"/>
  <c r="AO11" i="9"/>
  <c r="AP11" i="9"/>
  <c r="AQ11" i="9"/>
  <c r="AR11" i="9"/>
  <c r="AS11" i="9"/>
  <c r="AT11" i="9"/>
  <c r="AU11" i="9"/>
  <c r="AV11" i="9"/>
  <c r="AW11" i="9"/>
  <c r="AX11" i="9"/>
  <c r="AY11" i="9"/>
  <c r="AZ11" i="9"/>
  <c r="BA11" i="9"/>
  <c r="BB11" i="9"/>
  <c r="U11" i="9"/>
  <c r="B11" i="9"/>
  <c r="X10" i="9"/>
  <c r="Y10" i="9"/>
  <c r="Z10" i="9"/>
  <c r="AA10" i="9"/>
  <c r="AB10" i="9"/>
  <c r="AC10" i="9"/>
  <c r="AD10" i="9"/>
  <c r="AE10" i="9"/>
  <c r="AF10" i="9"/>
  <c r="AG10" i="9"/>
  <c r="AH10" i="9"/>
  <c r="AI10" i="9"/>
  <c r="AJ10" i="9"/>
  <c r="AK10" i="9"/>
  <c r="AL10" i="9"/>
  <c r="AN10" i="9"/>
  <c r="AO10" i="9"/>
  <c r="AP10" i="9"/>
  <c r="AQ10" i="9"/>
  <c r="AR10" i="9"/>
  <c r="AS10" i="9"/>
  <c r="AT10" i="9"/>
  <c r="AU10" i="9"/>
  <c r="AV10" i="9"/>
  <c r="AW10" i="9"/>
  <c r="AX10" i="9"/>
  <c r="AY10" i="9"/>
  <c r="AZ10" i="9"/>
  <c r="BA10" i="9"/>
  <c r="BB10" i="9"/>
  <c r="U10" i="9"/>
  <c r="B10" i="9"/>
  <c r="X9" i="9"/>
  <c r="Y9" i="9"/>
  <c r="Z9" i="9"/>
  <c r="AA9" i="9"/>
  <c r="AB9" i="9"/>
  <c r="AC9" i="9"/>
  <c r="AD9" i="9"/>
  <c r="AE9" i="9"/>
  <c r="AF9" i="9"/>
  <c r="AG9" i="9"/>
  <c r="AH9" i="9"/>
  <c r="AI9" i="9"/>
  <c r="AJ9" i="9"/>
  <c r="AK9" i="9"/>
  <c r="AL9" i="9"/>
  <c r="AN9" i="9"/>
  <c r="AO9" i="9"/>
  <c r="AP9" i="9"/>
  <c r="AQ9" i="9"/>
  <c r="AR9" i="9"/>
  <c r="AS9" i="9"/>
  <c r="AT9" i="9"/>
  <c r="AU9" i="9"/>
  <c r="AV9" i="9"/>
  <c r="AW9" i="9"/>
  <c r="AX9" i="9"/>
  <c r="AY9" i="9"/>
  <c r="AZ9" i="9"/>
  <c r="BA9" i="9"/>
  <c r="BB9" i="9"/>
  <c r="U9" i="9"/>
  <c r="B9" i="9"/>
  <c r="X8" i="9"/>
  <c r="Y8" i="9"/>
  <c r="Z8" i="9"/>
  <c r="AA8" i="9"/>
  <c r="AB8" i="9"/>
  <c r="AC8" i="9"/>
  <c r="AD8" i="9"/>
  <c r="AE8" i="9"/>
  <c r="AF8" i="9"/>
  <c r="AG8" i="9"/>
  <c r="AH8" i="9"/>
  <c r="AI8" i="9"/>
  <c r="AJ8" i="9"/>
  <c r="AK8" i="9"/>
  <c r="AL8" i="9"/>
  <c r="AN8" i="9"/>
  <c r="AO8" i="9"/>
  <c r="AP8" i="9"/>
  <c r="AQ8" i="9"/>
  <c r="AR8" i="9"/>
  <c r="AS8" i="9"/>
  <c r="AT8" i="9"/>
  <c r="AU8" i="9"/>
  <c r="AV8" i="9"/>
  <c r="AW8" i="9"/>
  <c r="AX8" i="9"/>
  <c r="AY8" i="9"/>
  <c r="AZ8" i="9"/>
  <c r="BA8" i="9"/>
  <c r="BB8" i="9"/>
  <c r="U8" i="9"/>
  <c r="X7" i="9"/>
  <c r="Y7" i="9"/>
  <c r="Z7" i="9"/>
  <c r="AA7" i="9"/>
  <c r="AB7" i="9"/>
  <c r="AC7" i="9"/>
  <c r="AD7" i="9"/>
  <c r="AE7" i="9"/>
  <c r="AF7" i="9"/>
  <c r="AG7" i="9"/>
  <c r="AH7" i="9"/>
  <c r="AI7" i="9"/>
  <c r="AJ7" i="9"/>
  <c r="AK7" i="9"/>
  <c r="AL7" i="9"/>
  <c r="AN7" i="9"/>
  <c r="AO7" i="9"/>
  <c r="AP7" i="9"/>
  <c r="AQ7" i="9"/>
  <c r="AR7" i="9"/>
  <c r="AS7" i="9"/>
  <c r="AT7" i="9"/>
  <c r="AU7" i="9"/>
  <c r="AV7" i="9"/>
  <c r="AW7" i="9"/>
  <c r="AX7" i="9"/>
  <c r="AY7" i="9"/>
  <c r="AZ7" i="9"/>
  <c r="BA7" i="9"/>
  <c r="BB7" i="9"/>
  <c r="U7" i="9"/>
  <c r="X6" i="9"/>
  <c r="Y6" i="9"/>
  <c r="Z6" i="9"/>
  <c r="AA6" i="9"/>
  <c r="AB6" i="9"/>
  <c r="AC6" i="9"/>
  <c r="AD6" i="9"/>
  <c r="AE6" i="9"/>
  <c r="AF6" i="9"/>
  <c r="AG6" i="9"/>
  <c r="AH6" i="9"/>
  <c r="AI6" i="9"/>
  <c r="AJ6" i="9"/>
  <c r="AK6" i="9"/>
  <c r="AL6" i="9"/>
  <c r="AN6" i="9"/>
  <c r="AO6" i="9"/>
  <c r="AP6" i="9"/>
  <c r="AQ6" i="9"/>
  <c r="AR6" i="9"/>
  <c r="AS6" i="9"/>
  <c r="AT6" i="9"/>
  <c r="AU6" i="9"/>
  <c r="AV6" i="9"/>
  <c r="AW6" i="9"/>
  <c r="AX6" i="9"/>
  <c r="AY6" i="9"/>
  <c r="AZ6" i="9"/>
  <c r="BA6" i="9"/>
  <c r="BB6" i="9"/>
  <c r="U6" i="9"/>
  <c r="X5" i="9"/>
  <c r="Y5" i="9"/>
  <c r="Z5" i="9"/>
  <c r="AA5" i="9"/>
  <c r="AB5" i="9"/>
  <c r="AC5" i="9"/>
  <c r="AD5" i="9"/>
  <c r="AE5" i="9"/>
  <c r="AF5" i="9"/>
  <c r="AG5" i="9"/>
  <c r="AH5" i="9"/>
  <c r="AI5" i="9"/>
  <c r="AJ5" i="9"/>
  <c r="AK5" i="9"/>
  <c r="AL5" i="9"/>
  <c r="AN5" i="9"/>
  <c r="AO5" i="9"/>
  <c r="AP5" i="9"/>
  <c r="AQ5" i="9"/>
  <c r="AR5" i="9"/>
  <c r="AS5" i="9"/>
  <c r="AT5" i="9"/>
  <c r="AU5" i="9"/>
  <c r="AV5" i="9"/>
  <c r="AW5" i="9"/>
  <c r="AX5" i="9"/>
  <c r="AY5" i="9"/>
  <c r="AZ5" i="9"/>
  <c r="BA5" i="9"/>
  <c r="BB5" i="9"/>
  <c r="U5" i="9"/>
  <c r="X4" i="9"/>
  <c r="Y4" i="9"/>
  <c r="Z4" i="9"/>
  <c r="AA4" i="9"/>
  <c r="AB4" i="9"/>
  <c r="AC4" i="9"/>
  <c r="AD4" i="9"/>
  <c r="AE4" i="9"/>
  <c r="AF4" i="9"/>
  <c r="AG4" i="9"/>
  <c r="AH4" i="9"/>
  <c r="AI4" i="9"/>
  <c r="AJ4" i="9"/>
  <c r="AK4" i="9"/>
  <c r="AL4" i="9"/>
  <c r="AN4" i="9"/>
  <c r="AO4" i="9"/>
  <c r="AP4" i="9"/>
  <c r="AQ4" i="9"/>
  <c r="AR4" i="9"/>
  <c r="AS4" i="9"/>
  <c r="AT4" i="9"/>
  <c r="AU4" i="9"/>
  <c r="AV4" i="9"/>
  <c r="AW4" i="9"/>
  <c r="AX4" i="9"/>
  <c r="AY4" i="9"/>
  <c r="AZ4" i="9"/>
  <c r="BA4" i="9"/>
  <c r="BB4" i="9"/>
  <c r="U4" i="9"/>
  <c r="AZ103" i="6"/>
  <c r="AE143" i="6"/>
  <c r="AZ143" i="6" s="1"/>
  <c r="AE103" i="6"/>
  <c r="AE107" i="6"/>
  <c r="AE4" i="6"/>
  <c r="AE5" i="6"/>
  <c r="AE6" i="6"/>
  <c r="AE10" i="6"/>
  <c r="AE22" i="6"/>
  <c r="AE27" i="6"/>
  <c r="AE26" i="6"/>
  <c r="AE51" i="6"/>
  <c r="AE48" i="6"/>
  <c r="AE52" i="6"/>
  <c r="AE57" i="6"/>
  <c r="AE54" i="6"/>
  <c r="AE60" i="6"/>
  <c r="AE65" i="6"/>
  <c r="AE69" i="6"/>
  <c r="AE63" i="6"/>
  <c r="AE64" i="6"/>
  <c r="AE61" i="6"/>
  <c r="AE62" i="6"/>
  <c r="AE75" i="6"/>
  <c r="AE67" i="6"/>
  <c r="AE102" i="6"/>
  <c r="AE122" i="6"/>
  <c r="AE133" i="6"/>
  <c r="AE140" i="6"/>
  <c r="AE145" i="6"/>
  <c r="AZ145" i="6" s="1"/>
  <c r="AZ65" i="6"/>
  <c r="AZ69" i="6"/>
  <c r="AZ63" i="6"/>
  <c r="AZ64" i="6"/>
  <c r="AZ4" i="6"/>
  <c r="AZ5" i="6"/>
  <c r="AZ6" i="6"/>
  <c r="AZ10" i="6"/>
  <c r="AZ22" i="6"/>
  <c r="AZ27" i="6"/>
  <c r="AZ26" i="6"/>
  <c r="AZ51" i="6"/>
  <c r="AZ48" i="6"/>
  <c r="AZ52" i="6"/>
  <c r="AZ57" i="6"/>
  <c r="AZ54" i="6"/>
  <c r="AZ60" i="6"/>
  <c r="AZ61" i="6"/>
  <c r="AZ62" i="6"/>
  <c r="AZ75" i="6"/>
  <c r="AZ67" i="6"/>
  <c r="AZ102" i="6"/>
  <c r="AG128" i="6"/>
  <c r="AH128" i="6"/>
  <c r="AG107" i="6"/>
  <c r="AH107" i="6"/>
  <c r="AY4" i="6"/>
  <c r="AX51" i="6"/>
  <c r="AX48" i="6"/>
  <c r="AX52" i="6"/>
  <c r="AX57" i="6"/>
  <c r="AD128" i="6"/>
  <c r="AD22" i="6"/>
  <c r="AD107" i="6"/>
  <c r="AY22" i="6"/>
  <c r="AG22" i="6"/>
  <c r="AH22" i="6"/>
  <c r="AI22" i="6"/>
  <c r="AJ22" i="6"/>
  <c r="AX22" i="6"/>
  <c r="BA22" i="6"/>
  <c r="BB22" i="6"/>
  <c r="BC22" i="6"/>
  <c r="BD22" i="6"/>
  <c r="BE22" i="6"/>
  <c r="BF22" i="6"/>
  <c r="BG22" i="6"/>
  <c r="BL25" i="6"/>
  <c r="BK25" i="6"/>
  <c r="BJ25" i="6"/>
  <c r="BI25" i="6"/>
  <c r="BH25" i="6"/>
  <c r="BG25" i="6"/>
  <c r="BF25" i="6"/>
  <c r="BE25" i="6"/>
  <c r="BD25" i="6"/>
  <c r="BC25" i="6"/>
  <c r="BB25" i="6"/>
  <c r="AY25" i="6"/>
  <c r="AX25" i="6"/>
  <c r="D149" i="6"/>
  <c r="D167" i="6"/>
  <c r="D163" i="6"/>
  <c r="D162" i="6"/>
  <c r="D161" i="6"/>
  <c r="D160" i="6"/>
  <c r="D158" i="6"/>
  <c r="D152" i="6"/>
  <c r="D150" i="6"/>
  <c r="E164" i="6"/>
  <c r="E159" i="6"/>
  <c r="AX64" i="6"/>
  <c r="AY64" i="6"/>
  <c r="BA64" i="6"/>
  <c r="BB64" i="6"/>
  <c r="BC64" i="6"/>
  <c r="BD64" i="6"/>
  <c r="BE64" i="6"/>
  <c r="BF64" i="6"/>
  <c r="BG64" i="6"/>
  <c r="BH64" i="6"/>
  <c r="BI64" i="6"/>
  <c r="BJ64" i="6"/>
  <c r="BK64" i="6"/>
  <c r="AX61" i="6"/>
  <c r="AY61" i="6"/>
  <c r="BA61" i="6"/>
  <c r="BB61" i="6"/>
  <c r="BC61" i="6"/>
  <c r="BD61" i="6"/>
  <c r="BE61" i="6"/>
  <c r="BF61" i="6"/>
  <c r="BG61" i="6"/>
  <c r="BH61" i="6"/>
  <c r="BI61" i="6"/>
  <c r="BJ61" i="6"/>
  <c r="BK61" i="6"/>
  <c r="AX62" i="6"/>
  <c r="AY62" i="6"/>
  <c r="BA62" i="6"/>
  <c r="BB62" i="6"/>
  <c r="BC62" i="6"/>
  <c r="BD62" i="6"/>
  <c r="BE62" i="6"/>
  <c r="BF62" i="6"/>
  <c r="BG62" i="6"/>
  <c r="BH62" i="6"/>
  <c r="BI62" i="6"/>
  <c r="BJ62" i="6"/>
  <c r="BK62" i="6"/>
  <c r="AC63" i="6"/>
  <c r="AD63" i="6"/>
  <c r="AG63" i="6"/>
  <c r="AH63" i="6"/>
  <c r="AI63" i="6"/>
  <c r="AJ63" i="6"/>
  <c r="AK63" i="6"/>
  <c r="AL63" i="6"/>
  <c r="AM63" i="6"/>
  <c r="AN63" i="6"/>
  <c r="AO63" i="6"/>
  <c r="AP63" i="6"/>
  <c r="AQ63" i="6"/>
  <c r="AC64" i="6"/>
  <c r="AD64" i="6"/>
  <c r="AG64" i="6"/>
  <c r="AH64" i="6"/>
  <c r="AI64" i="6"/>
  <c r="AJ64" i="6"/>
  <c r="AK64" i="6"/>
  <c r="AL64" i="6"/>
  <c r="AM64" i="6"/>
  <c r="AN64" i="6"/>
  <c r="AO64" i="6"/>
  <c r="AP64" i="6"/>
  <c r="AQ64" i="6"/>
  <c r="AC61" i="6"/>
  <c r="AD61" i="6"/>
  <c r="AG61" i="6"/>
  <c r="AH61" i="6"/>
  <c r="AI61" i="6"/>
  <c r="AJ61" i="6"/>
  <c r="AK61" i="6"/>
  <c r="AL61" i="6"/>
  <c r="AM61" i="6"/>
  <c r="AN61" i="6"/>
  <c r="AO61" i="6"/>
  <c r="AP61" i="6"/>
  <c r="AQ61" i="6"/>
  <c r="AC62" i="6"/>
  <c r="AD62" i="6"/>
  <c r="AG62" i="6"/>
  <c r="AH62" i="6"/>
  <c r="AI62" i="6"/>
  <c r="AJ62" i="6"/>
  <c r="AK62" i="6"/>
  <c r="AL62" i="6"/>
  <c r="AM62" i="6"/>
  <c r="AN62" i="6"/>
  <c r="AO62" i="6"/>
  <c r="AP62" i="6"/>
  <c r="AQ62" i="6"/>
  <c r="AX63" i="6"/>
  <c r="AY63" i="6"/>
  <c r="BA63" i="6"/>
  <c r="BB63" i="6"/>
  <c r="BC63" i="6"/>
  <c r="BD63" i="6"/>
  <c r="BE63" i="6"/>
  <c r="BF63" i="6"/>
  <c r="BG63" i="6"/>
  <c r="BH63" i="6"/>
  <c r="BI63" i="6"/>
  <c r="BJ63" i="6"/>
  <c r="BK63" i="6"/>
  <c r="AY51" i="6"/>
  <c r="AY48" i="6"/>
  <c r="AY52" i="6"/>
  <c r="AY6" i="6"/>
  <c r="AY5" i="6"/>
  <c r="AY54" i="6"/>
  <c r="AY60" i="6"/>
  <c r="AY57" i="6"/>
  <c r="AY102" i="6"/>
  <c r="AY27" i="6"/>
  <c r="AY26" i="6"/>
  <c r="AY10" i="6"/>
  <c r="AY65" i="6"/>
  <c r="AY75" i="6"/>
  <c r="AY69" i="6"/>
  <c r="AY67" i="6"/>
  <c r="AY122" i="6"/>
  <c r="AG127" i="6"/>
  <c r="AH127" i="6"/>
  <c r="AY130" i="6"/>
  <c r="AD131" i="6"/>
  <c r="AG131" i="6"/>
  <c r="AD133" i="6"/>
  <c r="AG133" i="6"/>
  <c r="AD140" i="6"/>
  <c r="AG140" i="6"/>
  <c r="AH140" i="6"/>
  <c r="AD143" i="6"/>
  <c r="AY143" i="6" s="1"/>
  <c r="AD145" i="6"/>
  <c r="AY145" i="6" s="1"/>
  <c r="AD102" i="6"/>
  <c r="AD4" i="6"/>
  <c r="AD6" i="6"/>
  <c r="AD5" i="6"/>
  <c r="AD51" i="6"/>
  <c r="AD54" i="6"/>
  <c r="AD60" i="6"/>
  <c r="AD48" i="6"/>
  <c r="AD27" i="6"/>
  <c r="AD26" i="6"/>
  <c r="AD10" i="6"/>
  <c r="AD65" i="6"/>
  <c r="AD75" i="6"/>
  <c r="AD69" i="6"/>
  <c r="AD67" i="6"/>
  <c r="AD122" i="6"/>
  <c r="AC27" i="6"/>
  <c r="AG27" i="6"/>
  <c r="AH27" i="6"/>
  <c r="AI27" i="6"/>
  <c r="AJ27" i="6"/>
  <c r="AK27" i="6"/>
  <c r="AL27" i="6"/>
  <c r="AM27" i="6"/>
  <c r="AN27" i="6"/>
  <c r="AO27" i="6"/>
  <c r="AP27" i="6"/>
  <c r="AQ27" i="6"/>
  <c r="AC26" i="6"/>
  <c r="AG26" i="6"/>
  <c r="AI26" i="6"/>
  <c r="AJ26" i="6"/>
  <c r="AK26" i="6"/>
  <c r="AL26" i="6"/>
  <c r="AM26" i="6"/>
  <c r="AN26" i="6"/>
  <c r="AO26" i="6"/>
  <c r="AP26" i="6"/>
  <c r="AQ26" i="6"/>
  <c r="AX26" i="6"/>
  <c r="BB26" i="6"/>
  <c r="BC26" i="6"/>
  <c r="BD26" i="6"/>
  <c r="BE26" i="6"/>
  <c r="BF26" i="6"/>
  <c r="BG26" i="6"/>
  <c r="BH26" i="6"/>
  <c r="BI26" i="6"/>
  <c r="BJ26" i="6"/>
  <c r="BK26" i="6"/>
  <c r="BL26" i="6"/>
  <c r="AC10" i="6"/>
  <c r="AG10" i="6"/>
  <c r="AH10" i="6"/>
  <c r="AI10" i="6"/>
  <c r="AJ10" i="6"/>
  <c r="AL10" i="6"/>
  <c r="AM10" i="6"/>
  <c r="AN10" i="6"/>
  <c r="AO10" i="6"/>
  <c r="AP10" i="6"/>
  <c r="AQ10" i="6"/>
  <c r="AC65" i="6"/>
  <c r="AG65" i="6"/>
  <c r="AH65" i="6"/>
  <c r="AI65" i="6"/>
  <c r="AJ65" i="6"/>
  <c r="AK65" i="6"/>
  <c r="AL65" i="6"/>
  <c r="AM65" i="6"/>
  <c r="AN65" i="6"/>
  <c r="AO65" i="6"/>
  <c r="AP65" i="6"/>
  <c r="AQ65" i="6"/>
  <c r="AC75" i="6"/>
  <c r="AG75" i="6"/>
  <c r="AH75" i="6"/>
  <c r="AI75" i="6"/>
  <c r="AJ75" i="6"/>
  <c r="AK75" i="6"/>
  <c r="AL75" i="6"/>
  <c r="AM75" i="6"/>
  <c r="AN75" i="6"/>
  <c r="AO75" i="6"/>
  <c r="AP75" i="6"/>
  <c r="AQ75" i="6"/>
  <c r="AC69" i="6"/>
  <c r="AG69" i="6"/>
  <c r="AH69" i="6"/>
  <c r="AI69" i="6"/>
  <c r="AJ69" i="6"/>
  <c r="AK69" i="6"/>
  <c r="AL69" i="6"/>
  <c r="AM69" i="6"/>
  <c r="AN69" i="6"/>
  <c r="AO69" i="6"/>
  <c r="AP69" i="6"/>
  <c r="AQ69" i="6"/>
  <c r="H42" i="2"/>
  <c r="AX27" i="6"/>
  <c r="BB27" i="6"/>
  <c r="BC27" i="6"/>
  <c r="BD27" i="6"/>
  <c r="BE27" i="6"/>
  <c r="BF27" i="6"/>
  <c r="BG27" i="6"/>
  <c r="BH27" i="6"/>
  <c r="BI27" i="6"/>
  <c r="BJ27" i="6"/>
  <c r="BK27" i="6"/>
  <c r="BL27" i="6"/>
  <c r="AC57" i="6"/>
  <c r="BA57" i="6"/>
  <c r="BB57" i="6"/>
  <c r="BC57" i="6"/>
  <c r="BD57" i="6"/>
  <c r="BF57" i="6"/>
  <c r="BG57" i="6"/>
  <c r="BH57" i="6"/>
  <c r="BI57" i="6"/>
  <c r="BJ57" i="6"/>
  <c r="BK57" i="6"/>
  <c r="BL57" i="6"/>
  <c r="BB52" i="6"/>
  <c r="BC52" i="6"/>
  <c r="BD52" i="6"/>
  <c r="BE52" i="6"/>
  <c r="BF52" i="6"/>
  <c r="BG52" i="6"/>
  <c r="BH52" i="6"/>
  <c r="BI52" i="6"/>
  <c r="BJ52" i="6"/>
  <c r="BK52" i="6"/>
  <c r="BL52" i="6"/>
  <c r="D151" i="6"/>
  <c r="AC143" i="6"/>
  <c r="AC145" i="6"/>
  <c r="AC4" i="6"/>
  <c r="AC22" i="6"/>
  <c r="AC6" i="6"/>
  <c r="AC5" i="6"/>
  <c r="AC51" i="6"/>
  <c r="AC54" i="6"/>
  <c r="AC60" i="6"/>
  <c r="AC48" i="6"/>
  <c r="AC102" i="6"/>
  <c r="AC67" i="6"/>
  <c r="AC122" i="6"/>
  <c r="AC128" i="6"/>
  <c r="AC107" i="6"/>
  <c r="AC131" i="6"/>
  <c r="AC133" i="6"/>
  <c r="AC140" i="6"/>
  <c r="AX4" i="6"/>
  <c r="AX5" i="6"/>
  <c r="AX6" i="6"/>
  <c r="AX54" i="6"/>
  <c r="AX60" i="6"/>
  <c r="AX102" i="6"/>
  <c r="AX103" i="6"/>
  <c r="AX10" i="6"/>
  <c r="AX65" i="6"/>
  <c r="AX69" i="6"/>
  <c r="AX75" i="6"/>
  <c r="AX67" i="6"/>
  <c r="AX122" i="6"/>
  <c r="AX107" i="6"/>
  <c r="AX133" i="6"/>
  <c r="AG143" i="6"/>
  <c r="BB143" i="6" s="1"/>
  <c r="AH143" i="6"/>
  <c r="BC143" i="6" s="1"/>
  <c r="AI143" i="6"/>
  <c r="BD143" i="6" s="1"/>
  <c r="AJ143" i="6"/>
  <c r="BE143" i="6" s="1"/>
  <c r="AK143" i="6"/>
  <c r="AK103" i="6"/>
  <c r="AL143" i="6"/>
  <c r="BG143" i="6" s="1"/>
  <c r="AM143" i="6"/>
  <c r="BH143" i="6" s="1"/>
  <c r="AN143" i="6"/>
  <c r="BI143" i="6" s="1"/>
  <c r="AN103" i="6"/>
  <c r="AO143" i="6"/>
  <c r="BJ143" i="6" s="1"/>
  <c r="AP143" i="6"/>
  <c r="BK143" i="6" s="1"/>
  <c r="AQ103" i="6"/>
  <c r="BI4" i="6"/>
  <c r="BI5" i="6"/>
  <c r="BJ4" i="6"/>
  <c r="BJ5" i="6"/>
  <c r="BJ6" i="6"/>
  <c r="BK4" i="6"/>
  <c r="BK5" i="6"/>
  <c r="BL4" i="6"/>
  <c r="BL5" i="6"/>
  <c r="BI6" i="6"/>
  <c r="BK6" i="6"/>
  <c r="BL6" i="6"/>
  <c r="H20" i="7"/>
  <c r="BI10" i="6"/>
  <c r="AP140" i="6"/>
  <c r="BJ10" i="6"/>
  <c r="BK10" i="6"/>
  <c r="BL10" i="6"/>
  <c r="BI22" i="6"/>
  <c r="BJ22" i="6"/>
  <c r="BK22" i="6"/>
  <c r="BL22" i="6"/>
  <c r="H22" i="1" s="1"/>
  <c r="AQ128" i="6"/>
  <c r="H23" i="1"/>
  <c r="AN128" i="6"/>
  <c r="AO128" i="6"/>
  <c r="AP128" i="6"/>
  <c r="AP127" i="6"/>
  <c r="AQ127" i="6"/>
  <c r="H26" i="7"/>
  <c r="BI51" i="6"/>
  <c r="BI48" i="6"/>
  <c r="BJ51" i="6"/>
  <c r="BJ48" i="6"/>
  <c r="BK51" i="6"/>
  <c r="BK48" i="6"/>
  <c r="BL51" i="6"/>
  <c r="BL48" i="6"/>
  <c r="BI54" i="6"/>
  <c r="BI60" i="6"/>
  <c r="BI102" i="6"/>
  <c r="BI103" i="6"/>
  <c r="BI65" i="6"/>
  <c r="BI75" i="6"/>
  <c r="BI69" i="6"/>
  <c r="BI67" i="6"/>
  <c r="BI122" i="6"/>
  <c r="BI107" i="6"/>
  <c r="AN145" i="6"/>
  <c r="BI145" i="6" s="1"/>
  <c r="BJ54" i="6"/>
  <c r="BJ60" i="6"/>
  <c r="BJ102" i="6"/>
  <c r="BJ103" i="6"/>
  <c r="BJ65" i="6"/>
  <c r="BJ75" i="6"/>
  <c r="BJ69" i="6"/>
  <c r="BJ67" i="6"/>
  <c r="BJ122" i="6"/>
  <c r="BJ107" i="6"/>
  <c r="AO131" i="6"/>
  <c r="AP131" i="6"/>
  <c r="AQ131" i="6"/>
  <c r="BK54" i="6"/>
  <c r="BK60" i="6"/>
  <c r="BK102" i="6"/>
  <c r="BK103" i="6"/>
  <c r="BK65" i="6"/>
  <c r="BK75" i="6"/>
  <c r="BK69" i="6"/>
  <c r="BK67" i="6"/>
  <c r="BK122" i="6"/>
  <c r="AP107" i="6"/>
  <c r="AQ107" i="6"/>
  <c r="BL107" i="6" s="1"/>
  <c r="AP133" i="6"/>
  <c r="AQ133" i="6"/>
  <c r="BL54" i="6"/>
  <c r="BL60" i="6"/>
  <c r="BL102" i="6"/>
  <c r="H48" i="1" s="1"/>
  <c r="BL103" i="6"/>
  <c r="BL65" i="6"/>
  <c r="BL69" i="6"/>
  <c r="H40" i="1"/>
  <c r="BL67" i="6"/>
  <c r="H41" i="1" s="1"/>
  <c r="BL122" i="6"/>
  <c r="H35" i="7"/>
  <c r="AQ145" i="6"/>
  <c r="H49" i="2" s="1"/>
  <c r="AN4" i="6"/>
  <c r="AN5" i="6"/>
  <c r="AN6" i="6"/>
  <c r="AN22" i="6"/>
  <c r="AN127" i="6"/>
  <c r="AM127" i="6"/>
  <c r="AO127" i="6"/>
  <c r="AL128" i="6"/>
  <c r="AM128" i="6"/>
  <c r="AN51" i="6"/>
  <c r="AN48" i="6"/>
  <c r="AN54" i="6"/>
  <c r="AN60" i="6"/>
  <c r="AN102" i="6"/>
  <c r="AN67" i="6"/>
  <c r="AN122" i="6"/>
  <c r="AN107" i="6"/>
  <c r="AN131" i="6"/>
  <c r="AN133" i="6"/>
  <c r="AO4" i="6"/>
  <c r="AO5" i="6"/>
  <c r="AP4" i="6"/>
  <c r="AP5" i="6"/>
  <c r="AQ4" i="6"/>
  <c r="AQ5" i="6"/>
  <c r="AG5" i="6"/>
  <c r="AK5" i="6"/>
  <c r="AL5" i="6"/>
  <c r="AM5" i="6"/>
  <c r="BA5" i="6"/>
  <c r="BB5" i="6"/>
  <c r="BC5" i="6"/>
  <c r="BD5" i="6"/>
  <c r="BG5" i="6"/>
  <c r="BH5" i="6"/>
  <c r="AO6" i="6"/>
  <c r="AP6" i="6"/>
  <c r="AQ6" i="6"/>
  <c r="AO22" i="6"/>
  <c r="AP22" i="6"/>
  <c r="AQ22" i="6"/>
  <c r="H24" i="2" s="1"/>
  <c r="AP51" i="6"/>
  <c r="AP48" i="6"/>
  <c r="AP54" i="6"/>
  <c r="AP60" i="6"/>
  <c r="AP102" i="6"/>
  <c r="AP67" i="6"/>
  <c r="AP122" i="6"/>
  <c r="AO51" i="6"/>
  <c r="AO48" i="6"/>
  <c r="AQ51" i="6"/>
  <c r="AQ48" i="6"/>
  <c r="AO54" i="6"/>
  <c r="AO60" i="6"/>
  <c r="AO102" i="6"/>
  <c r="AO67" i="6"/>
  <c r="AO122" i="6"/>
  <c r="AO107" i="6"/>
  <c r="AO133" i="6"/>
  <c r="AQ54" i="6"/>
  <c r="AQ60" i="6"/>
  <c r="AQ102" i="6"/>
  <c r="H50" i="2" s="1"/>
  <c r="AQ67" i="6"/>
  <c r="H43" i="2" s="1"/>
  <c r="AQ122" i="6"/>
  <c r="AL102" i="6"/>
  <c r="AK102" i="6"/>
  <c r="AJ102" i="6"/>
  <c r="AH102" i="6"/>
  <c r="AG102" i="6"/>
  <c r="AM145" i="6"/>
  <c r="BH145" i="6" s="1"/>
  <c r="AK145" i="6"/>
  <c r="BF145" i="6" s="1"/>
  <c r="AI145" i="6"/>
  <c r="BD145" i="6" s="1"/>
  <c r="AH145" i="6"/>
  <c r="AG145" i="6"/>
  <c r="AM107" i="6"/>
  <c r="AM131" i="6"/>
  <c r="AI107" i="6"/>
  <c r="AI131" i="6"/>
  <c r="AI133" i="6"/>
  <c r="AI127" i="6"/>
  <c r="AI128" i="6"/>
  <c r="AJ140" i="6"/>
  <c r="AK140" i="6"/>
  <c r="AL140" i="6"/>
  <c r="AM54" i="6"/>
  <c r="AM60" i="6"/>
  <c r="AM22" i="6"/>
  <c r="AM6" i="6"/>
  <c r="AM51" i="6"/>
  <c r="AM48" i="6"/>
  <c r="AM102" i="6"/>
  <c r="AM67" i="6"/>
  <c r="AM122" i="6"/>
  <c r="AL54" i="6"/>
  <c r="AL6" i="6"/>
  <c r="AL51" i="6"/>
  <c r="AL60" i="6"/>
  <c r="AL48" i="6"/>
  <c r="AL67" i="6"/>
  <c r="AL122" i="6"/>
  <c r="AL127" i="6"/>
  <c r="AL107" i="6"/>
  <c r="AL131" i="6"/>
  <c r="AL133" i="6"/>
  <c r="AK54" i="6"/>
  <c r="AK6" i="6"/>
  <c r="AK51" i="6"/>
  <c r="AK60" i="6"/>
  <c r="AK48" i="6"/>
  <c r="AK67" i="6"/>
  <c r="AK122" i="6"/>
  <c r="AK127" i="6"/>
  <c r="AK128" i="6"/>
  <c r="AK107" i="6"/>
  <c r="AK131" i="6"/>
  <c r="AJ54" i="6"/>
  <c r="AJ6" i="6"/>
  <c r="AJ51" i="6"/>
  <c r="AJ60" i="6"/>
  <c r="AJ48" i="6"/>
  <c r="AJ67" i="6"/>
  <c r="AJ122" i="6"/>
  <c r="AJ127" i="6"/>
  <c r="AJ128" i="6"/>
  <c r="AJ107" i="6"/>
  <c r="AJ133" i="6"/>
  <c r="AI54" i="6"/>
  <c r="AI60" i="6"/>
  <c r="AI6" i="6"/>
  <c r="AI48" i="6"/>
  <c r="AI102" i="6"/>
  <c r="AI67" i="6"/>
  <c r="AI122" i="6"/>
  <c r="AH6" i="6"/>
  <c r="AH51" i="6"/>
  <c r="AH60" i="6"/>
  <c r="AH48" i="6"/>
  <c r="AH103" i="6"/>
  <c r="AH67" i="6"/>
  <c r="AH122" i="6"/>
  <c r="AH131" i="6"/>
  <c r="AH133" i="6"/>
  <c r="AG54" i="6"/>
  <c r="AG6" i="6"/>
  <c r="AG48" i="6"/>
  <c r="AG60" i="6"/>
  <c r="AG67" i="6"/>
  <c r="AG122" i="6"/>
  <c r="BH103" i="6"/>
  <c r="BG103" i="6"/>
  <c r="BF103" i="6"/>
  <c r="BE103" i="6"/>
  <c r="BD103" i="6"/>
  <c r="BC103" i="6"/>
  <c r="BB103" i="6"/>
  <c r="BA103" i="6"/>
  <c r="BH102" i="6"/>
  <c r="BG102" i="6"/>
  <c r="BF102" i="6"/>
  <c r="BE102" i="6"/>
  <c r="BD102" i="6"/>
  <c r="BC102" i="6"/>
  <c r="BB102" i="6"/>
  <c r="BA102" i="6"/>
  <c r="BH4" i="6"/>
  <c r="BH22" i="6"/>
  <c r="BH6" i="6"/>
  <c r="BH51" i="6"/>
  <c r="BH54" i="6"/>
  <c r="BH60" i="6"/>
  <c r="BH48" i="6"/>
  <c r="BH10" i="6"/>
  <c r="BH65" i="6"/>
  <c r="BH69" i="6"/>
  <c r="BH75" i="6"/>
  <c r="BH67" i="6"/>
  <c r="BH122" i="6"/>
  <c r="BF107" i="6"/>
  <c r="BF4" i="6"/>
  <c r="BF6" i="6"/>
  <c r="BF51" i="6"/>
  <c r="BF54" i="6"/>
  <c r="BF60" i="6"/>
  <c r="BF48" i="6"/>
  <c r="BF10" i="6"/>
  <c r="BF65" i="6"/>
  <c r="BF75" i="6"/>
  <c r="BF69" i="6"/>
  <c r="BF67" i="6"/>
  <c r="BF122" i="6"/>
  <c r="BF133" i="6"/>
  <c r="BD4" i="6"/>
  <c r="BD51" i="6"/>
  <c r="BD54" i="6"/>
  <c r="BD60" i="6"/>
  <c r="BD48" i="6"/>
  <c r="BD10" i="6"/>
  <c r="BD65" i="6"/>
  <c r="BD75" i="6"/>
  <c r="BD69" i="6"/>
  <c r="BD67" i="6"/>
  <c r="BD122" i="6"/>
  <c r="BB4" i="6"/>
  <c r="BB6" i="6"/>
  <c r="BB10" i="6"/>
  <c r="BB51" i="6"/>
  <c r="BB48" i="6"/>
  <c r="BB54" i="6"/>
  <c r="BB60" i="6"/>
  <c r="BA60" i="6"/>
  <c r="BC60" i="6"/>
  <c r="BE60" i="6"/>
  <c r="BG60" i="6"/>
  <c r="BB65" i="6"/>
  <c r="BB75" i="6"/>
  <c r="BB69" i="6"/>
  <c r="BB67" i="6"/>
  <c r="BB122" i="6"/>
  <c r="BB133" i="6"/>
  <c r="AZ131" i="6"/>
  <c r="AZ122" i="6"/>
  <c r="AZ133" i="6"/>
  <c r="BG54" i="6"/>
  <c r="BG4" i="6"/>
  <c r="BG6" i="6"/>
  <c r="BG51" i="6"/>
  <c r="BG48" i="6"/>
  <c r="BG10" i="6"/>
  <c r="BG65" i="6"/>
  <c r="BG75" i="6"/>
  <c r="BG69" i="6"/>
  <c r="BG67" i="6"/>
  <c r="BG122" i="6"/>
  <c r="BE54" i="6"/>
  <c r="BE4" i="6"/>
  <c r="BE10" i="6"/>
  <c r="BE6" i="6"/>
  <c r="BE51" i="6"/>
  <c r="BE48" i="6"/>
  <c r="BE65" i="6"/>
  <c r="BE75" i="6"/>
  <c r="BE69" i="6"/>
  <c r="BE67" i="6"/>
  <c r="BE122" i="6"/>
  <c r="BE107" i="6"/>
  <c r="BC54" i="6"/>
  <c r="BC4" i="6"/>
  <c r="BC6" i="6"/>
  <c r="BC51" i="6"/>
  <c r="BC48" i="6"/>
  <c r="BC10" i="6"/>
  <c r="BC65" i="6"/>
  <c r="BC75" i="6"/>
  <c r="BC69" i="6"/>
  <c r="BC67" i="6"/>
  <c r="BC122" i="6"/>
  <c r="BA54" i="6"/>
  <c r="BA4" i="6"/>
  <c r="BA6" i="6"/>
  <c r="BA51" i="6"/>
  <c r="BA48" i="6"/>
  <c r="BA10" i="6"/>
  <c r="BA65" i="6"/>
  <c r="BA75" i="6"/>
  <c r="BA67" i="6"/>
  <c r="BA69" i="6"/>
  <c r="BA122" i="6"/>
  <c r="BA133" i="6"/>
  <c r="A15" i="1"/>
  <c r="C50" i="1"/>
  <c r="H15" i="4"/>
  <c r="D16" i="3" s="1"/>
  <c r="C47" i="2"/>
  <c r="E44" i="2"/>
  <c r="C44" i="2"/>
  <c r="E32" i="2"/>
  <c r="E30" i="2"/>
  <c r="C32" i="2"/>
  <c r="C30" i="2"/>
  <c r="E23" i="2"/>
  <c r="C23" i="2"/>
  <c r="G21" i="2"/>
  <c r="F21" i="2"/>
  <c r="E21" i="2"/>
  <c r="C21" i="2"/>
  <c r="C17" i="2"/>
  <c r="G17" i="2"/>
  <c r="D33" i="4"/>
  <c r="E33" i="4"/>
  <c r="F33" i="4"/>
  <c r="H33" i="4"/>
  <c r="H37" i="4" s="1"/>
  <c r="F37" i="4"/>
  <c r="C37" i="4"/>
  <c r="C33" i="4"/>
  <c r="H16" i="4"/>
  <c r="D17" i="3" s="1"/>
  <c r="G17" i="3" s="1"/>
  <c r="H17" i="4"/>
  <c r="O21" i="1" s="1"/>
  <c r="E26" i="4"/>
  <c r="E23" i="4"/>
  <c r="E19" i="4"/>
  <c r="D13" i="4"/>
  <c r="C19" i="4"/>
  <c r="C23" i="4"/>
  <c r="C26" i="4"/>
  <c r="F26" i="4"/>
  <c r="F23" i="4"/>
  <c r="F19" i="4"/>
  <c r="D26" i="4"/>
  <c r="D23" i="4"/>
  <c r="D19" i="4"/>
  <c r="B10" i="4"/>
  <c r="C27" i="3"/>
  <c r="C24" i="3"/>
  <c r="C20" i="3"/>
  <c r="C15" i="3"/>
  <c r="D4" i="4"/>
  <c r="D4" i="3"/>
  <c r="B8" i="3"/>
  <c r="B8" i="4" s="1"/>
  <c r="F27" i="3"/>
  <c r="E27" i="3"/>
  <c r="F24" i="3"/>
  <c r="E24" i="3"/>
  <c r="F20" i="3"/>
  <c r="F15" i="3"/>
  <c r="E20" i="3"/>
  <c r="E15" i="3"/>
  <c r="D37" i="4"/>
  <c r="O47" i="2"/>
  <c r="O52" i="2" s="1"/>
  <c r="H26" i="4"/>
  <c r="D28" i="3"/>
  <c r="D27" i="3" s="1"/>
  <c r="H23" i="4"/>
  <c r="D25" i="3"/>
  <c r="D24" i="3" s="1"/>
  <c r="BB131" i="6"/>
  <c r="O39" i="2"/>
  <c r="O44" i="2" s="1"/>
  <c r="AX131" i="6"/>
  <c r="D22" i="3"/>
  <c r="G22" i="3" s="1"/>
  <c r="AI103" i="6"/>
  <c r="AM103" i="6"/>
  <c r="AP103" i="6"/>
  <c r="AQ57" i="6"/>
  <c r="D157" i="6"/>
  <c r="AY103" i="6"/>
  <c r="D168" i="6"/>
  <c r="AD57" i="6"/>
  <c r="AL57" i="6"/>
  <c r="AM57" i="6"/>
  <c r="AO57" i="6"/>
  <c r="AJ57" i="6"/>
  <c r="AG103" i="6"/>
  <c r="AJ103" i="6"/>
  <c r="AD103" i="6"/>
  <c r="AC103" i="6"/>
  <c r="AO103" i="6"/>
  <c r="AD52" i="6"/>
  <c r="BA52" i="6"/>
  <c r="AC52" i="6"/>
  <c r="AL103" i="6"/>
  <c r="AH52" i="6"/>
  <c r="AG57" i="6"/>
  <c r="AM52" i="6"/>
  <c r="AJ52" i="6"/>
  <c r="AK52" i="6"/>
  <c r="AL52" i="6"/>
  <c r="AN52" i="6"/>
  <c r="AG52" i="6"/>
  <c r="BG107" i="6"/>
  <c r="AP52" i="6"/>
  <c r="AI52" i="6"/>
  <c r="AO52" i="6"/>
  <c r="AQ52" i="6"/>
  <c r="AY107" i="6"/>
  <c r="H19" i="4"/>
  <c r="O32" i="2"/>
  <c r="O30" i="1"/>
  <c r="BC107" i="6"/>
  <c r="AK57" i="6"/>
  <c r="AN57" i="6"/>
  <c r="BE57" i="6"/>
  <c r="AH57" i="6"/>
  <c r="AP57" i="6"/>
  <c r="AI57" i="6"/>
  <c r="E47" i="2"/>
  <c r="F23" i="2"/>
  <c r="G44" i="2"/>
  <c r="G30" i="2"/>
  <c r="G23" i="2"/>
  <c r="G32" i="2"/>
  <c r="F44" i="2"/>
  <c r="G47" i="2"/>
  <c r="G52" i="2" s="1"/>
  <c r="F30" i="2"/>
  <c r="F47" i="2"/>
  <c r="F52" i="2" s="1"/>
  <c r="F32" i="2"/>
  <c r="H24" i="7" l="1"/>
  <c r="E17" i="7"/>
  <c r="D17" i="7"/>
  <c r="F17" i="7"/>
  <c r="H50" i="7"/>
  <c r="H43" i="7"/>
  <c r="G49" i="7"/>
  <c r="D49" i="7"/>
  <c r="G17" i="7"/>
  <c r="D23" i="7"/>
  <c r="D32" i="7"/>
  <c r="G32" i="7"/>
  <c r="D21" i="7"/>
  <c r="D47" i="7"/>
  <c r="E23" i="7"/>
  <c r="F23" i="7"/>
  <c r="E21" i="7"/>
  <c r="F21" i="7"/>
  <c r="G21" i="7"/>
  <c r="D30" i="7"/>
  <c r="D44" i="7"/>
  <c r="E44" i="7"/>
  <c r="F44" i="7"/>
  <c r="G44" i="7"/>
  <c r="E52" i="2"/>
  <c r="G47" i="7"/>
  <c r="E47" i="7"/>
  <c r="F47" i="7"/>
  <c r="N26" i="2"/>
  <c r="N20" i="2"/>
  <c r="K24" i="7"/>
  <c r="J24" i="7"/>
  <c r="I24" i="7"/>
  <c r="J20" i="7"/>
  <c r="K20" i="7"/>
  <c r="I20" i="7"/>
  <c r="J50" i="7"/>
  <c r="K50" i="7"/>
  <c r="I50" i="7"/>
  <c r="I54" i="2"/>
  <c r="N35" i="2"/>
  <c r="J35" i="7"/>
  <c r="K35" i="7"/>
  <c r="I35" i="7"/>
  <c r="G43" i="7"/>
  <c r="K43" i="7"/>
  <c r="J43" i="7"/>
  <c r="I43" i="7"/>
  <c r="K26" i="7"/>
  <c r="J26" i="7"/>
  <c r="I26" i="7"/>
  <c r="N41" i="1"/>
  <c r="BR132" i="6"/>
  <c r="O17" i="2"/>
  <c r="N43" i="2"/>
  <c r="N50" i="2"/>
  <c r="N22" i="1"/>
  <c r="N24" i="2"/>
  <c r="BR140" i="6"/>
  <c r="BR51" i="6"/>
  <c r="BR64" i="6"/>
  <c r="BR127" i="6"/>
  <c r="BR5" i="6"/>
  <c r="BR75" i="6"/>
  <c r="BR110" i="6"/>
  <c r="BR52" i="6"/>
  <c r="BR122" i="6"/>
  <c r="BR6" i="6"/>
  <c r="BR27" i="6"/>
  <c r="BR67" i="6"/>
  <c r="BR22" i="6"/>
  <c r="BR57" i="6"/>
  <c r="BR61" i="6"/>
  <c r="BR28" i="6"/>
  <c r="BR133" i="6"/>
  <c r="BR102" i="6"/>
  <c r="BR4" i="6"/>
  <c r="BR49" i="6"/>
  <c r="BR48" i="6"/>
  <c r="BR69" i="6"/>
  <c r="BR65" i="6"/>
  <c r="BR63" i="6"/>
  <c r="BR103" i="6"/>
  <c r="BR60" i="6"/>
  <c r="BR26" i="6"/>
  <c r="BR62" i="6"/>
  <c r="BR10" i="6"/>
  <c r="BR54" i="6"/>
  <c r="C17" i="7"/>
  <c r="C32" i="7"/>
  <c r="C21" i="7"/>
  <c r="C44" i="7"/>
  <c r="C23" i="7"/>
  <c r="C47" i="7"/>
  <c r="C30" i="7"/>
  <c r="K36" i="2"/>
  <c r="J36" i="2"/>
  <c r="AW47" i="9"/>
  <c r="BA47" i="9"/>
  <c r="AS47" i="9"/>
  <c r="B4" i="9"/>
  <c r="H19" i="2"/>
  <c r="H17" i="1"/>
  <c r="C52" i="2"/>
  <c r="E74" i="9"/>
  <c r="O37" i="1"/>
  <c r="O42" i="1" s="1"/>
  <c r="O15" i="1"/>
  <c r="BA43" i="9"/>
  <c r="AZ45" i="9"/>
  <c r="BA49" i="9"/>
  <c r="F66" i="9"/>
  <c r="BD25" i="9"/>
  <c r="F29" i="4"/>
  <c r="H14" i="4"/>
  <c r="E64" i="9" s="1"/>
  <c r="BB130" i="6"/>
  <c r="N48" i="1"/>
  <c r="N33" i="1"/>
  <c r="N24" i="1"/>
  <c r="BD9" i="9"/>
  <c r="AE18" i="9"/>
  <c r="BD34" i="9"/>
  <c r="AX44" i="9"/>
  <c r="AT44" i="9"/>
  <c r="AP44" i="9"/>
  <c r="U45" i="9"/>
  <c r="C29" i="4"/>
  <c r="O28" i="1"/>
  <c r="O34" i="1" s="1"/>
  <c r="O30" i="2"/>
  <c r="O36" i="2" s="1"/>
  <c r="AK17" i="9"/>
  <c r="AG17" i="9"/>
  <c r="AC17" i="9"/>
  <c r="Y17" i="9"/>
  <c r="AA18" i="9"/>
  <c r="BD21" i="9"/>
  <c r="Y45" i="9"/>
  <c r="U47" i="9"/>
  <c r="Z47" i="9"/>
  <c r="AO47" i="9" s="1"/>
  <c r="U50" i="9"/>
  <c r="O19" i="1"/>
  <c r="D21" i="3"/>
  <c r="G21" i="3" s="1"/>
  <c r="E169" i="6"/>
  <c r="BD13" i="9"/>
  <c r="AS17" i="9"/>
  <c r="AJ17" i="9"/>
  <c r="AF17" i="9"/>
  <c r="AB17" i="9"/>
  <c r="D49" i="9"/>
  <c r="BA48" i="9"/>
  <c r="AW48" i="9"/>
  <c r="N18" i="1"/>
  <c r="AY171" i="6"/>
  <c r="AF171" i="6"/>
  <c r="BD171" i="6"/>
  <c r="BA171" i="6"/>
  <c r="BK171" i="6"/>
  <c r="D29" i="4"/>
  <c r="I46" i="1"/>
  <c r="AX145" i="6"/>
  <c r="BF143" i="6"/>
  <c r="BJ171" i="6"/>
  <c r="H38" i="1"/>
  <c r="H32" i="1"/>
  <c r="AZ107" i="6"/>
  <c r="BR107" i="6" s="1"/>
  <c r="H16" i="1"/>
  <c r="H21" i="1"/>
  <c r="H46" i="1"/>
  <c r="H20" i="1"/>
  <c r="H19" i="1" s="1"/>
  <c r="H31" i="1"/>
  <c r="H29" i="1"/>
  <c r="H28" i="1" s="1"/>
  <c r="H18" i="2"/>
  <c r="H34" i="2"/>
  <c r="H25" i="2"/>
  <c r="H33" i="2"/>
  <c r="H48" i="2"/>
  <c r="H40" i="2"/>
  <c r="C30" i="3"/>
  <c r="E79" i="9"/>
  <c r="O50" i="1"/>
  <c r="AX143" i="6"/>
  <c r="BD5" i="9"/>
  <c r="BD14" i="9"/>
  <c r="BD15" i="9"/>
  <c r="BD19" i="9"/>
  <c r="BD24" i="9"/>
  <c r="BD27" i="9"/>
  <c r="BD32" i="9"/>
  <c r="BD38" i="9"/>
  <c r="U48" i="9"/>
  <c r="E30" i="3"/>
  <c r="C27" i="2"/>
  <c r="E156" i="6"/>
  <c r="BD4" i="9"/>
  <c r="BD8" i="9"/>
  <c r="BD22" i="9"/>
  <c r="BD23" i="9"/>
  <c r="BD26" i="9"/>
  <c r="BD35" i="9"/>
  <c r="BD36" i="9"/>
  <c r="AV45" i="9"/>
  <c r="AR45" i="9"/>
  <c r="AN45" i="9"/>
  <c r="AX46" i="9"/>
  <c r="AT46" i="9"/>
  <c r="AP46" i="9"/>
  <c r="AO49" i="9"/>
  <c r="AY51" i="9"/>
  <c r="AU51" i="9"/>
  <c r="AQ51" i="9"/>
  <c r="U54" i="9"/>
  <c r="D74" i="9"/>
  <c r="F74" i="9" s="1"/>
  <c r="D48" i="9"/>
  <c r="O21" i="2"/>
  <c r="F30" i="3"/>
  <c r="E29" i="4"/>
  <c r="BD7" i="9"/>
  <c r="BD12" i="9"/>
  <c r="AC48" i="9"/>
  <c r="AS48" i="9" s="1"/>
  <c r="AS49" i="9"/>
  <c r="BD54" i="9"/>
  <c r="D64" i="9"/>
  <c r="BD6" i="9"/>
  <c r="BD10" i="9"/>
  <c r="BD11" i="9"/>
  <c r="BD16" i="9"/>
  <c r="BD20" i="9"/>
  <c r="BD33" i="9"/>
  <c r="BD40" i="9"/>
  <c r="AW43" i="9"/>
  <c r="AS43" i="9"/>
  <c r="AW49" i="9"/>
  <c r="B31" i="9"/>
  <c r="B28" i="9"/>
  <c r="B29" i="9"/>
  <c r="B30" i="9"/>
  <c r="B61" i="9"/>
  <c r="AQ143" i="6"/>
  <c r="BL143" i="6" s="1"/>
  <c r="H49" i="1" s="1"/>
  <c r="D153" i="6"/>
  <c r="D154" i="6" s="1"/>
  <c r="AD25" i="6"/>
  <c r="AJ25" i="6"/>
  <c r="AJ171" i="6" s="1"/>
  <c r="AN25" i="6"/>
  <c r="D155" i="6"/>
  <c r="AG25" i="6"/>
  <c r="AG171" i="6" s="1"/>
  <c r="AK25" i="6"/>
  <c r="AO25" i="6"/>
  <c r="AH25" i="6"/>
  <c r="AH171" i="6" s="1"/>
  <c r="AL25" i="6"/>
  <c r="AP25" i="6"/>
  <c r="AC25" i="6"/>
  <c r="AI25" i="6"/>
  <c r="AI171" i="6" s="1"/>
  <c r="AM25" i="6"/>
  <c r="AQ25" i="6"/>
  <c r="H31" i="2" s="1"/>
  <c r="AE25" i="6"/>
  <c r="D159" i="6"/>
  <c r="F159" i="6" s="1"/>
  <c r="G16" i="3"/>
  <c r="BD37" i="9"/>
  <c r="F69" i="9"/>
  <c r="G28" i="3"/>
  <c r="G27" i="3" s="1"/>
  <c r="BL145" i="6"/>
  <c r="H47" i="1" s="1"/>
  <c r="H49" i="7" s="1"/>
  <c r="O23" i="2"/>
  <c r="AX130" i="6"/>
  <c r="AE131" i="6"/>
  <c r="BR131" i="6" s="1"/>
  <c r="AU18" i="9"/>
  <c r="AL18" i="9"/>
  <c r="AH18" i="9"/>
  <c r="AD18" i="9"/>
  <c r="Z18" i="9"/>
  <c r="AO43" i="9"/>
  <c r="AO48" i="9"/>
  <c r="BD48" i="9" s="1"/>
  <c r="AO55" i="9"/>
  <c r="BD55" i="9" s="1"/>
  <c r="AK18" i="9"/>
  <c r="AG18" i="9"/>
  <c r="AC18" i="9"/>
  <c r="Y18" i="9"/>
  <c r="U37" i="9"/>
  <c r="D18" i="3"/>
  <c r="G18" i="3" s="1"/>
  <c r="C36" i="2"/>
  <c r="G25" i="3"/>
  <c r="G24" i="3" s="1"/>
  <c r="AJ18" i="9"/>
  <c r="AF18" i="9"/>
  <c r="AB18" i="9"/>
  <c r="B26" i="9"/>
  <c r="U49" i="9"/>
  <c r="BC145" i="6"/>
  <c r="BC171" i="6" s="1"/>
  <c r="H42" i="7"/>
  <c r="B62" i="9"/>
  <c r="B27" i="9"/>
  <c r="B63" i="9"/>
  <c r="E27" i="2"/>
  <c r="B5" i="9"/>
  <c r="B6" i="9"/>
  <c r="B7" i="9"/>
  <c r="B43" i="9"/>
  <c r="B59" i="9"/>
  <c r="F27" i="2"/>
  <c r="B8" i="9"/>
  <c r="B40" i="9"/>
  <c r="B44" i="9"/>
  <c r="B51" i="9"/>
  <c r="B60" i="9"/>
  <c r="B70" i="9"/>
  <c r="G36" i="2"/>
  <c r="G27" i="2"/>
  <c r="E36" i="2"/>
  <c r="F36" i="2"/>
  <c r="BE145" i="6"/>
  <c r="H41" i="7"/>
  <c r="BH108" i="6"/>
  <c r="BR108" i="6" s="1"/>
  <c r="BG145" i="6"/>
  <c r="BB145" i="6"/>
  <c r="BR128" i="6"/>
  <c r="D164" i="6"/>
  <c r="F164" i="6" s="1"/>
  <c r="H19" i="7" l="1"/>
  <c r="N19" i="2"/>
  <c r="J23" i="7"/>
  <c r="I23" i="7"/>
  <c r="F49" i="7"/>
  <c r="E49" i="7"/>
  <c r="H31" i="7"/>
  <c r="H40" i="7"/>
  <c r="H33" i="7"/>
  <c r="H25" i="7"/>
  <c r="H34" i="7"/>
  <c r="H18" i="7"/>
  <c r="K18" i="7"/>
  <c r="J18" i="7"/>
  <c r="I18" i="7"/>
  <c r="E32" i="7"/>
  <c r="F32" i="7"/>
  <c r="J49" i="7"/>
  <c r="C52" i="7"/>
  <c r="D52" i="7"/>
  <c r="D36" i="7"/>
  <c r="F52" i="7"/>
  <c r="E52" i="7"/>
  <c r="G52" i="7"/>
  <c r="N42" i="2"/>
  <c r="H30" i="2"/>
  <c r="K19" i="7"/>
  <c r="J19" i="7"/>
  <c r="I19" i="7"/>
  <c r="J54" i="2"/>
  <c r="N49" i="2"/>
  <c r="J51" i="7"/>
  <c r="K51" i="7"/>
  <c r="K54" i="2"/>
  <c r="N41" i="2"/>
  <c r="K34" i="7"/>
  <c r="J34" i="7"/>
  <c r="I34" i="7"/>
  <c r="K42" i="7"/>
  <c r="J42" i="7"/>
  <c r="I42" i="7"/>
  <c r="I33" i="7"/>
  <c r="J33" i="7"/>
  <c r="K33" i="7"/>
  <c r="G31" i="7"/>
  <c r="J31" i="7"/>
  <c r="K31" i="7"/>
  <c r="I31" i="7"/>
  <c r="K25" i="7"/>
  <c r="J25" i="7"/>
  <c r="I25" i="7"/>
  <c r="K41" i="7"/>
  <c r="J41" i="7"/>
  <c r="I41" i="7"/>
  <c r="I49" i="7"/>
  <c r="K49" i="7"/>
  <c r="J40" i="7"/>
  <c r="K40" i="7"/>
  <c r="I40" i="7"/>
  <c r="N39" i="1"/>
  <c r="N38" i="1"/>
  <c r="N40" i="1"/>
  <c r="N18" i="2"/>
  <c r="BD44" i="9"/>
  <c r="H29" i="4"/>
  <c r="BD51" i="9"/>
  <c r="N40" i="2"/>
  <c r="N34" i="2"/>
  <c r="N48" i="2"/>
  <c r="N33" i="2"/>
  <c r="N31" i="2"/>
  <c r="N25" i="2"/>
  <c r="N23" i="1"/>
  <c r="BR145" i="6"/>
  <c r="BR143" i="6"/>
  <c r="BR25" i="6"/>
  <c r="BR130" i="6"/>
  <c r="D156" i="6"/>
  <c r="F156" i="6" s="1"/>
  <c r="C27" i="7"/>
  <c r="C36" i="7"/>
  <c r="H23" i="2"/>
  <c r="BD49" i="9"/>
  <c r="H15" i="1"/>
  <c r="H25" i="1" s="1"/>
  <c r="H17" i="2"/>
  <c r="N16" i="1"/>
  <c r="N17" i="1"/>
  <c r="O25" i="1"/>
  <c r="O52" i="1" s="1"/>
  <c r="D20" i="3"/>
  <c r="G20" i="3" s="1"/>
  <c r="G54" i="2"/>
  <c r="B50" i="7"/>
  <c r="B43" i="7"/>
  <c r="B20" i="7"/>
  <c r="B26" i="7"/>
  <c r="B35" i="7"/>
  <c r="B24" i="7"/>
  <c r="BD47" i="9"/>
  <c r="BD17" i="9"/>
  <c r="H39" i="2"/>
  <c r="D57" i="9"/>
  <c r="BD45" i="9"/>
  <c r="BD46" i="9"/>
  <c r="BB171" i="6"/>
  <c r="H37" i="1"/>
  <c r="H42" i="1" s="1"/>
  <c r="N49" i="1"/>
  <c r="I45" i="1"/>
  <c r="I50" i="1" s="1"/>
  <c r="I52" i="1" s="1"/>
  <c r="N31" i="1"/>
  <c r="N32" i="1"/>
  <c r="N29" i="1"/>
  <c r="BE171" i="6"/>
  <c r="AC171" i="6"/>
  <c r="F64" i="9"/>
  <c r="BD43" i="9"/>
  <c r="D1" i="9"/>
  <c r="AX171" i="6"/>
  <c r="AX172" i="6" s="1"/>
  <c r="AY172" i="6" s="1"/>
  <c r="E171" i="6"/>
  <c r="AE171" i="6"/>
  <c r="AD171" i="6"/>
  <c r="BL171" i="6"/>
  <c r="BH171" i="6"/>
  <c r="AK171" i="6"/>
  <c r="BF171" i="6"/>
  <c r="AZ171" i="6"/>
  <c r="AO171" i="6"/>
  <c r="BG171" i="6"/>
  <c r="AN171" i="6"/>
  <c r="AL171" i="6"/>
  <c r="AM171" i="6"/>
  <c r="AP171" i="6"/>
  <c r="H30" i="1"/>
  <c r="H34" i="1" s="1"/>
  <c r="H45" i="1"/>
  <c r="H50" i="1" s="1"/>
  <c r="H32" i="2"/>
  <c r="H51" i="2"/>
  <c r="O27" i="2"/>
  <c r="O54" i="2" s="1"/>
  <c r="C52" i="1"/>
  <c r="D52" i="1"/>
  <c r="C54" i="2"/>
  <c r="BD18" i="9"/>
  <c r="D15" i="3"/>
  <c r="G15" i="3" s="1"/>
  <c r="D75" i="9"/>
  <c r="D79" i="9" s="1"/>
  <c r="F79" i="9" s="1"/>
  <c r="F54" i="2"/>
  <c r="E54" i="2"/>
  <c r="D165" i="6"/>
  <c r="N46" i="1"/>
  <c r="H23" i="7" l="1"/>
  <c r="N23" i="2"/>
  <c r="P23" i="2" s="1"/>
  <c r="H39" i="7"/>
  <c r="H17" i="7"/>
  <c r="I51" i="7"/>
  <c r="H51" i="7"/>
  <c r="H32" i="7"/>
  <c r="H48" i="7"/>
  <c r="G23" i="7"/>
  <c r="K23" i="7"/>
  <c r="J17" i="7"/>
  <c r="K17" i="7"/>
  <c r="I17" i="7"/>
  <c r="N51" i="2"/>
  <c r="K48" i="7"/>
  <c r="J48" i="7"/>
  <c r="I48" i="7"/>
  <c r="I32" i="7"/>
  <c r="K32" i="7"/>
  <c r="J32" i="7"/>
  <c r="K39" i="7"/>
  <c r="J39" i="7"/>
  <c r="I39" i="7"/>
  <c r="N32" i="2"/>
  <c r="AC172" i="6"/>
  <c r="AD172" i="6" s="1"/>
  <c r="AE172" i="6" s="1"/>
  <c r="AF172" i="6" s="1"/>
  <c r="AG172" i="6" s="1"/>
  <c r="AH172" i="6" s="1"/>
  <c r="AI172" i="6" s="1"/>
  <c r="AJ172" i="6" s="1"/>
  <c r="H47" i="2"/>
  <c r="H36" i="2"/>
  <c r="H44" i="2"/>
  <c r="B19" i="7"/>
  <c r="G30" i="3"/>
  <c r="N15" i="1"/>
  <c r="B40" i="7"/>
  <c r="N47" i="1"/>
  <c r="B49" i="7" s="1"/>
  <c r="N17" i="2"/>
  <c r="P17" i="2" s="1"/>
  <c r="B18" i="7"/>
  <c r="B41" i="7"/>
  <c r="B34" i="7"/>
  <c r="N30" i="1"/>
  <c r="N21" i="1"/>
  <c r="B25" i="7"/>
  <c r="B42" i="7"/>
  <c r="N28" i="1"/>
  <c r="B31" i="7"/>
  <c r="B33" i="7"/>
  <c r="B48" i="7"/>
  <c r="AZ172" i="6"/>
  <c r="BA172" i="6" s="1"/>
  <c r="BB172" i="6" s="1"/>
  <c r="BC172" i="6" s="1"/>
  <c r="BD172" i="6" s="1"/>
  <c r="BE172" i="6" s="1"/>
  <c r="BF172" i="6" s="1"/>
  <c r="D30" i="3"/>
  <c r="N37" i="1"/>
  <c r="N39" i="2"/>
  <c r="N44" i="2" s="1"/>
  <c r="H52" i="1"/>
  <c r="N30" i="2"/>
  <c r="P30" i="2" s="1"/>
  <c r="H44" i="7" l="1"/>
  <c r="B23" i="7"/>
  <c r="H47" i="7"/>
  <c r="N47" i="2"/>
  <c r="N52" i="2" s="1"/>
  <c r="K47" i="7"/>
  <c r="J47" i="7"/>
  <c r="I47" i="7"/>
  <c r="K44" i="7"/>
  <c r="J44" i="7"/>
  <c r="I44" i="7"/>
  <c r="H52" i="2"/>
  <c r="B21" i="5"/>
  <c r="B17" i="7"/>
  <c r="B30" i="7"/>
  <c r="B51" i="7"/>
  <c r="P28" i="1"/>
  <c r="N34" i="1"/>
  <c r="B32" i="7"/>
  <c r="N42" i="1"/>
  <c r="B44" i="7" s="1"/>
  <c r="B39" i="7"/>
  <c r="N45" i="1"/>
  <c r="AK172" i="6"/>
  <c r="BG172" i="6"/>
  <c r="P15" i="1"/>
  <c r="N36" i="2"/>
  <c r="P32" i="2"/>
  <c r="P37" i="1"/>
  <c r="P30" i="1"/>
  <c r="P39" i="2"/>
  <c r="P44" i="2" l="1"/>
  <c r="H52" i="7"/>
  <c r="P47" i="2"/>
  <c r="N61" i="2" s="1"/>
  <c r="J52" i="7"/>
  <c r="K52" i="7"/>
  <c r="I52" i="7"/>
  <c r="P42" i="1"/>
  <c r="P34" i="1"/>
  <c r="B36" i="7"/>
  <c r="N50" i="1"/>
  <c r="B47" i="7"/>
  <c r="BH172" i="6"/>
  <c r="AL172" i="6"/>
  <c r="P36" i="2"/>
  <c r="P21" i="1"/>
  <c r="P45" i="1"/>
  <c r="P52" i="2" l="1"/>
  <c r="B52" i="7"/>
  <c r="AM172" i="6"/>
  <c r="P50" i="1"/>
  <c r="D27" i="2"/>
  <c r="D27" i="7" l="1"/>
  <c r="E27" i="7"/>
  <c r="F27" i="7"/>
  <c r="G27" i="7"/>
  <c r="AN172" i="6"/>
  <c r="D54" i="2"/>
  <c r="AO172" i="6" l="1"/>
  <c r="AQ171" i="6"/>
  <c r="H22" i="2"/>
  <c r="H22" i="7" l="1"/>
  <c r="N22" i="2"/>
  <c r="N21" i="2" s="1"/>
  <c r="P21" i="2" s="1"/>
  <c r="AP172" i="6"/>
  <c r="K22" i="7"/>
  <c r="J22" i="7"/>
  <c r="I22" i="7"/>
  <c r="BI171" i="6"/>
  <c r="BI172" i="6" s="1"/>
  <c r="H21" i="2"/>
  <c r="H21" i="7" l="1"/>
  <c r="AQ172" i="6"/>
  <c r="AR172" i="6" s="1"/>
  <c r="AS172" i="6" s="1"/>
  <c r="AT172" i="6" s="1"/>
  <c r="AU172" i="6" s="1"/>
  <c r="AV172" i="6" s="1"/>
  <c r="J21" i="7"/>
  <c r="K21" i="7"/>
  <c r="I21" i="7"/>
  <c r="BR171" i="6"/>
  <c r="BJ172" i="6"/>
  <c r="H27" i="2"/>
  <c r="N20" i="1"/>
  <c r="N27" i="2"/>
  <c r="P27" i="2"/>
  <c r="H27" i="7" l="1"/>
  <c r="P54" i="2"/>
  <c r="BK172" i="6"/>
  <c r="I27" i="7"/>
  <c r="J27" i="7"/>
  <c r="K27" i="7"/>
  <c r="N19" i="1"/>
  <c r="B21" i="7" s="1"/>
  <c r="B22" i="7"/>
  <c r="H54" i="2"/>
  <c r="N54" i="2"/>
  <c r="BL172" i="6" l="1"/>
  <c r="BM172" i="6" s="1"/>
  <c r="BN172" i="6" s="1"/>
  <c r="BO172" i="6" s="1"/>
  <c r="BP172" i="6" s="1"/>
  <c r="BQ172" i="6" s="1"/>
  <c r="N25" i="1"/>
  <c r="N52" i="1" s="1"/>
  <c r="P19" i="1"/>
  <c r="D1" i="6"/>
  <c r="D147" i="6"/>
  <c r="D166" i="6"/>
  <c r="D169" i="6" s="1"/>
  <c r="F169" i="6" s="1"/>
  <c r="P25" i="1" l="1"/>
  <c r="F171" i="6"/>
  <c r="B27" i="7"/>
  <c r="D171" i="6"/>
  <c r="P52" i="1" l="1"/>
  <c r="Z171" i="6"/>
  <c r="R171" i="6"/>
  <c r="F28" i="1" l="1"/>
  <c r="H30" i="7" l="1"/>
  <c r="F30" i="7"/>
  <c r="E30" i="7"/>
  <c r="K30" i="7"/>
  <c r="J30" i="7"/>
  <c r="I30" i="7"/>
  <c r="G30" i="7"/>
  <c r="F34" i="1"/>
  <c r="H36" i="7" l="1"/>
  <c r="G36" i="7"/>
  <c r="F36" i="7"/>
  <c r="E36" i="7"/>
  <c r="J36" i="7"/>
  <c r="K36" i="7"/>
  <c r="I36" i="7"/>
  <c r="F52" i="1"/>
</calcChain>
</file>

<file path=xl/comments1.xml><?xml version="1.0" encoding="utf-8"?>
<comments xmlns="http://schemas.openxmlformats.org/spreadsheetml/2006/main">
  <authors>
    <author>Josue Andreé Ricart Vásquez</author>
  </authors>
  <commentList>
    <comment ref="C4" authorId="0" shapeId="0">
      <text>
        <r>
          <rPr>
            <b/>
            <sz val="9"/>
            <color indexed="81"/>
            <rFont val="Tahoma"/>
            <family val="2"/>
          </rPr>
          <t>Josue Andreé Ricart Vásquez:</t>
        </r>
        <r>
          <rPr>
            <sz val="9"/>
            <color indexed="81"/>
            <rFont val="Tahoma"/>
            <family val="2"/>
          </rPr>
          <t xml:space="preserve">
FHI</t>
        </r>
      </text>
    </comment>
    <comment ref="C6" authorId="0" shapeId="0">
      <text>
        <r>
          <rPr>
            <b/>
            <sz val="9"/>
            <color indexed="81"/>
            <rFont val="Tahoma"/>
            <family val="2"/>
          </rPr>
          <t>Josue Andreé Ricart Vásquez:</t>
        </r>
        <r>
          <rPr>
            <sz val="9"/>
            <color indexed="81"/>
            <rFont val="Tahoma"/>
            <family val="2"/>
          </rPr>
          <t xml:space="preserve">
Universidades Programas de Formación</t>
        </r>
      </text>
    </comment>
    <comment ref="D6" authorId="0" shapeId="0">
      <text>
        <r>
          <rPr>
            <b/>
            <sz val="9"/>
            <color indexed="81"/>
            <rFont val="Tahoma"/>
            <family val="2"/>
          </rPr>
          <t>Josue Andreé Ricart Vásquez:</t>
        </r>
        <r>
          <rPr>
            <sz val="9"/>
            <color indexed="81"/>
            <rFont val="Tahoma"/>
            <family val="2"/>
          </rPr>
          <t xml:space="preserve">
Cambia de 3M a 4M ya *****
ADJUDICADO***
UPANA 1,185,760.00
INTERNACIONES 1,866,155.00
UNIVERSIDAD DEL VALLE 972,082.83</t>
        </r>
      </text>
    </comment>
    <comment ref="C11" authorId="0" shapeId="0">
      <text>
        <r>
          <rPr>
            <b/>
            <sz val="9"/>
            <color indexed="81"/>
            <rFont val="Tahoma"/>
            <family val="2"/>
          </rPr>
          <t>Josue Andreé Ricart Vásquez:</t>
        </r>
        <r>
          <rPr>
            <sz val="9"/>
            <color indexed="81"/>
            <rFont val="Tahoma"/>
            <family val="2"/>
          </rPr>
          <t xml:space="preserve">
Firma Consultora para la Revisión de dos carreras y creación de dos nuevas ENCA</t>
        </r>
      </text>
    </comment>
    <comment ref="D11" authorId="0" shapeId="0">
      <text>
        <r>
          <rPr>
            <b/>
            <sz val="9"/>
            <color indexed="81"/>
            <rFont val="Tahoma"/>
            <family val="2"/>
          </rPr>
          <t>Josue Andreé Ricart Vásquez:</t>
        </r>
        <r>
          <rPr>
            <sz val="9"/>
            <color indexed="81"/>
            <rFont val="Tahoma"/>
            <family val="2"/>
          </rPr>
          <t xml:space="preserve">
actualizar a 1,200,000.00
actualizado
</t>
        </r>
      </text>
    </comment>
    <comment ref="D12" authorId="0" shapeId="0">
      <text>
        <r>
          <rPr>
            <b/>
            <sz val="9"/>
            <color indexed="81"/>
            <rFont val="Tahoma"/>
            <family val="2"/>
          </rPr>
          <t>Josue Andreé Ricart Vásquez:</t>
        </r>
        <r>
          <rPr>
            <sz val="9"/>
            <color indexed="81"/>
            <rFont val="Tahoma"/>
            <family val="2"/>
          </rPr>
          <t xml:space="preserve">
No tienen información sobre para cuando exactamente
</t>
        </r>
      </text>
    </comment>
    <comment ref="D13" authorId="0" shapeId="0">
      <text>
        <r>
          <rPr>
            <b/>
            <sz val="9"/>
            <color indexed="81"/>
            <rFont val="Tahoma"/>
            <family val="2"/>
          </rPr>
          <t>Josue Andreé Ricart Vásquez:</t>
        </r>
        <r>
          <rPr>
            <sz val="9"/>
            <color indexed="81"/>
            <rFont val="Tahoma"/>
            <family val="2"/>
          </rPr>
          <t xml:space="preserve">
no saben el monto exacto, liseth dice un monto pero no se sabe, mejor asi como está, se estima que se van a pagar en noviembre</t>
        </r>
      </text>
    </comment>
    <comment ref="D15" authorId="0" shapeId="0">
      <text>
        <r>
          <rPr>
            <b/>
            <sz val="9"/>
            <color indexed="81"/>
            <rFont val="Tahoma"/>
            <family val="2"/>
          </rPr>
          <t>Josue Andreé Ricart Vásquez:</t>
        </r>
        <r>
          <rPr>
            <sz val="9"/>
            <color indexed="81"/>
            <rFont val="Tahoma"/>
            <family val="2"/>
          </rPr>
          <t xml:space="preserve">
Liseth comentó que no se sabe si se va a dar o no</t>
        </r>
      </text>
    </comment>
    <comment ref="D18" authorId="0" shapeId="0">
      <text>
        <r>
          <rPr>
            <b/>
            <sz val="9"/>
            <color indexed="81"/>
            <rFont val="Tahoma"/>
            <family val="2"/>
          </rPr>
          <t>Josue Andreé Ricart Vásquez:</t>
        </r>
        <r>
          <rPr>
            <sz val="9"/>
            <color indexed="81"/>
            <rFont val="Tahoma"/>
            <family val="2"/>
          </rPr>
          <t xml:space="preserve">
solo 35,000 resto pasar a otra linea de los 90000 iniciales, monto varió en el q15, los 35000 resulta que eran quetzales pero el equipo de educación no informó bien</t>
        </r>
      </text>
    </comment>
    <comment ref="D19" authorId="0" shapeId="0">
      <text>
        <r>
          <rPr>
            <b/>
            <sz val="9"/>
            <color indexed="81"/>
            <rFont val="Tahoma"/>
            <family val="2"/>
          </rPr>
          <t>Josue Andreé Ricart Vásquez:</t>
        </r>
        <r>
          <rPr>
            <sz val="9"/>
            <color indexed="81"/>
            <rFont val="Tahoma"/>
            <family val="2"/>
          </rPr>
          <t xml:space="preserve">
inicialmente tenía 90 oeri es necesario rebajar porque si no se desfinancia el componente.
Por rescición de contrato se rebaja el monto de 29954.00 a 1762.00</t>
        </r>
      </text>
    </comment>
    <comment ref="D20" authorId="0" shapeId="0">
      <text>
        <r>
          <rPr>
            <b/>
            <sz val="9"/>
            <color indexed="81"/>
            <rFont val="Tahoma"/>
            <family val="2"/>
          </rPr>
          <t>Josue Andreé Ricart Vásquez:</t>
        </r>
        <r>
          <rPr>
            <sz val="9"/>
            <color indexed="81"/>
            <rFont val="Tahoma"/>
            <family val="2"/>
          </rPr>
          <t xml:space="preserve">
se hará un nuevo evento pero la propuesta que mas barato había ofertado fue por un monto de alrededor de 10,000 dólares mas que la que ganó anteriormente</t>
        </r>
      </text>
    </comment>
    <comment ref="D21" authorId="0" shapeId="0">
      <text>
        <r>
          <rPr>
            <b/>
            <sz val="9"/>
            <color indexed="81"/>
            <rFont val="Tahoma"/>
            <family val="2"/>
          </rPr>
          <t>Josue Andreé Ricart Vásquez:</t>
        </r>
        <r>
          <rPr>
            <sz val="9"/>
            <color indexed="81"/>
            <rFont val="Tahoma"/>
            <family val="2"/>
          </rPr>
          <t xml:space="preserve">
se hará un nuevo evento pero la propuesta que mas barato había ofertado fue por un monto de alrededor de 10,000 dólares mas que la que ganó anteriormente</t>
        </r>
      </text>
    </comment>
    <comment ref="C22" authorId="0" shapeId="0">
      <text>
        <r>
          <rPr>
            <b/>
            <sz val="9"/>
            <color indexed="81"/>
            <rFont val="Tahoma"/>
            <family val="2"/>
          </rPr>
          <t>Josue Andreé Ricart Vásquez:</t>
        </r>
        <r>
          <rPr>
            <sz val="9"/>
            <color indexed="81"/>
            <rFont val="Tahoma"/>
            <family val="2"/>
          </rPr>
          <t xml:space="preserve">
FHI</t>
        </r>
      </text>
    </comment>
    <comment ref="C26" authorId="0" shapeId="0">
      <text>
        <r>
          <rPr>
            <b/>
            <sz val="9"/>
            <color indexed="81"/>
            <rFont val="Tahoma"/>
            <family val="2"/>
          </rPr>
          <t>Josue Andreé Ricart Vásquez:</t>
        </r>
        <r>
          <rPr>
            <sz val="9"/>
            <color indexed="81"/>
            <rFont val="Tahoma"/>
            <family val="2"/>
          </rPr>
          <t xml:space="preserve">
PAGOS DICIEMBRE Y ENERO
</t>
        </r>
      </text>
    </comment>
    <comment ref="C27" authorId="0" shapeId="0">
      <text>
        <r>
          <rPr>
            <b/>
            <sz val="9"/>
            <color indexed="81"/>
            <rFont val="Tahoma"/>
            <family val="2"/>
          </rPr>
          <t>Josue Andreé Ricart Vásquez:</t>
        </r>
        <r>
          <rPr>
            <sz val="9"/>
            <color indexed="81"/>
            <rFont val="Tahoma"/>
            <family val="2"/>
          </rPr>
          <t xml:space="preserve">
LAS DATABASE YA FUERON PAGADAS</t>
        </r>
      </text>
    </comment>
    <comment ref="C28" authorId="0" shapeId="0">
      <text>
        <r>
          <rPr>
            <sz val="9"/>
            <color indexed="81"/>
            <rFont val="Tahoma"/>
            <family val="2"/>
          </rPr>
          <t>pagado</t>
        </r>
      </text>
    </comment>
    <comment ref="C30" authorId="0" shapeId="0">
      <text>
        <r>
          <rPr>
            <b/>
            <sz val="9"/>
            <color indexed="81"/>
            <rFont val="Tahoma"/>
            <family val="2"/>
          </rPr>
          <t>Josue Andreé Ricart Vásquez:</t>
        </r>
        <r>
          <rPr>
            <sz val="9"/>
            <color indexed="81"/>
            <rFont val="Tahoma"/>
            <family val="2"/>
          </rPr>
          <t xml:space="preserve">
Lilian Merlo contrato 2018
</t>
        </r>
      </text>
    </comment>
    <comment ref="C32" authorId="0" shapeId="0">
      <text>
        <r>
          <rPr>
            <b/>
            <sz val="9"/>
            <color indexed="81"/>
            <rFont val="Tahoma"/>
            <family val="2"/>
          </rPr>
          <t>Josue Andreé Ricart Vásquez:</t>
        </r>
        <r>
          <rPr>
            <sz val="9"/>
            <color indexed="81"/>
            <rFont val="Tahoma"/>
            <family val="2"/>
          </rPr>
          <t xml:space="preserve">
CONTRATACIONES 2018 Y PAGO DE FEBRERO 2018</t>
        </r>
      </text>
    </comment>
    <comment ref="D39" authorId="0" shapeId="0">
      <text>
        <r>
          <rPr>
            <b/>
            <sz val="9"/>
            <color indexed="81"/>
            <rFont val="Tahoma"/>
            <family val="2"/>
          </rPr>
          <t>Josue Andreé Ricart Vásquez:</t>
        </r>
        <r>
          <rPr>
            <sz val="9"/>
            <color indexed="81"/>
            <rFont val="Tahoma"/>
            <family val="2"/>
          </rPr>
          <t xml:space="preserve">
se comenzará a pagar en octubre y se suscribirán a partir de octubre el y el de abajo</t>
        </r>
      </text>
    </comment>
    <comment ref="C44" authorId="0" shapeId="0">
      <text>
        <r>
          <rPr>
            <b/>
            <sz val="9"/>
            <color indexed="81"/>
            <rFont val="Tahoma"/>
            <family val="2"/>
          </rPr>
          <t>investigadores de aduanas</t>
        </r>
        <r>
          <rPr>
            <sz val="9"/>
            <color indexed="81"/>
            <rFont val="Tahoma"/>
            <family val="2"/>
          </rPr>
          <t xml:space="preserve">
</t>
        </r>
      </text>
    </comment>
    <comment ref="C47" authorId="0" shapeId="0">
      <text>
        <r>
          <rPr>
            <b/>
            <sz val="9"/>
            <color indexed="81"/>
            <rFont val="Tahoma"/>
            <family val="2"/>
          </rPr>
          <t>Josue Andreé Ricart Vásquez:</t>
        </r>
        <r>
          <rPr>
            <sz val="9"/>
            <color indexed="81"/>
            <rFont val="Tahoma"/>
            <family val="2"/>
          </rPr>
          <t xml:space="preserve">
ya fue pagado en su totalidad PU-MCC-002-2016</t>
        </r>
      </text>
    </comment>
    <comment ref="D49" authorId="0" shapeId="0">
      <text>
        <r>
          <rPr>
            <b/>
            <sz val="9"/>
            <color indexed="81"/>
            <rFont val="Tahoma"/>
            <family val="2"/>
          </rPr>
          <t>Josue Andreé Ricart Vásquez:</t>
        </r>
        <r>
          <rPr>
            <sz val="9"/>
            <color indexed="81"/>
            <rFont val="Tahoma"/>
            <family val="2"/>
          </rPr>
          <t xml:space="preserve">
pago del q13 reprogramar all q14</t>
        </r>
      </text>
    </comment>
    <comment ref="C50" authorId="0" shapeId="0">
      <text>
        <r>
          <rPr>
            <b/>
            <sz val="9"/>
            <color indexed="81"/>
            <rFont val="Tahoma"/>
            <family val="2"/>
          </rPr>
          <t>Josue Andreé Ricart Vásquez:</t>
        </r>
        <r>
          <rPr>
            <sz val="9"/>
            <color indexed="81"/>
            <rFont val="Tahoma"/>
            <family val="2"/>
          </rPr>
          <t xml:space="preserve">
MGO</t>
        </r>
      </text>
    </comment>
    <comment ref="C51" authorId="0" shapeId="0">
      <text>
        <r>
          <rPr>
            <sz val="9"/>
            <color indexed="81"/>
            <rFont val="Tahoma"/>
            <family val="2"/>
          </rPr>
          <t>UNIVERSIDAD INTERNACIONES</t>
        </r>
      </text>
    </comment>
    <comment ref="C54" authorId="0" shapeId="0">
      <text>
        <r>
          <rPr>
            <b/>
            <sz val="9"/>
            <color indexed="81"/>
            <rFont val="Tahoma"/>
            <family val="2"/>
          </rPr>
          <t>Josue Andreé Ricart Vásquez:</t>
        </r>
        <r>
          <rPr>
            <sz val="9"/>
            <color indexed="81"/>
            <rFont val="Tahoma"/>
            <family val="2"/>
          </rPr>
          <t xml:space="preserve">
Deloitte</t>
        </r>
      </text>
    </comment>
    <comment ref="D55" authorId="0" shapeId="0">
      <text>
        <r>
          <rPr>
            <b/>
            <sz val="9"/>
            <color indexed="81"/>
            <rFont val="Tahoma"/>
            <family val="2"/>
          </rPr>
          <t>Josue Andreé Ricart Vásquez:</t>
        </r>
        <r>
          <rPr>
            <sz val="9"/>
            <color indexed="81"/>
            <rFont val="Tahoma"/>
            <family val="2"/>
          </rPr>
          <t xml:space="preserve">
no se va a pagar nada este trimestre</t>
        </r>
      </text>
    </comment>
    <comment ref="D56" authorId="0" shapeId="0">
      <text>
        <r>
          <rPr>
            <b/>
            <sz val="9"/>
            <color indexed="81"/>
            <rFont val="Tahoma"/>
            <family val="2"/>
          </rPr>
          <t>Josue Andreé Ricart Vásquez:</t>
        </r>
        <r>
          <rPr>
            <sz val="9"/>
            <color indexed="81"/>
            <rFont val="Tahoma"/>
            <family val="2"/>
          </rPr>
          <t xml:space="preserve">
Este monto surgió de una rebaja en el monto estimado de Metro Riel, ya que al momento de realizar la SD no se tenían monto suficiente para cubrir este compromiso.</t>
        </r>
      </text>
    </comment>
    <comment ref="C57" authorId="0" shapeId="0">
      <text>
        <r>
          <rPr>
            <sz val="9"/>
            <color indexed="81"/>
            <rFont val="Tahoma"/>
            <family val="2"/>
          </rPr>
          <t xml:space="preserve">Probablemente Sergio Bravo
</t>
        </r>
      </text>
    </comment>
    <comment ref="D59" authorId="0" shapeId="0">
      <text>
        <r>
          <rPr>
            <b/>
            <sz val="9"/>
            <color indexed="81"/>
            <rFont val="Tahoma"/>
            <family val="2"/>
          </rPr>
          <t>Josue Andreé Ricart Vásquez:</t>
        </r>
        <r>
          <rPr>
            <sz val="9"/>
            <color indexed="81"/>
            <rFont val="Tahoma"/>
            <family val="2"/>
          </rPr>
          <t xml:space="preserve">
reprogramar 2020</t>
        </r>
      </text>
    </comment>
    <comment ref="C60" authorId="0" shapeId="0">
      <text>
        <r>
          <rPr>
            <b/>
            <sz val="9"/>
            <color indexed="81"/>
            <rFont val="Tahoma"/>
            <family val="2"/>
          </rPr>
          <t>Josue Andreé Ricart Vásquez:</t>
        </r>
        <r>
          <rPr>
            <sz val="9"/>
            <color indexed="81"/>
            <rFont val="Tahoma"/>
            <family val="2"/>
          </rPr>
          <t xml:space="preserve">
ya están los terminos de referencia
están en proceso de evaluación 02/09/2019</t>
        </r>
      </text>
    </comment>
    <comment ref="D60" authorId="0" shapeId="0">
      <text>
        <r>
          <rPr>
            <b/>
            <sz val="9"/>
            <color indexed="81"/>
            <rFont val="Tahoma"/>
            <family val="2"/>
          </rPr>
          <t>Josue Andreé Ricart Vásquez:</t>
        </r>
        <r>
          <rPr>
            <sz val="9"/>
            <color indexed="81"/>
            <rFont val="Tahoma"/>
            <family val="2"/>
          </rPr>
          <t xml:space="preserve">
ES NECESARIO REBAJAR EL MONTO POR 75,000 DEBIDO A LA CAPACITACIÓN QUE TENDRAN CONGRESISTAS DE GUATEMALA EN EL REINO UNIDO, CASO CONTRARIO SE DESFINANCIA EL PROYECTO.
***De acuerdo a una nueva gestión se dividirá en dos fases Metro Riel. la primera se tiene un estimado de 900,000. y de la segunda desconozco el monto aun.
según nueva información para el siguiente trimestre, estiman que el valor de la consultoría será de 1.3 millones (18 de febrero 2019)</t>
        </r>
      </text>
    </comment>
    <comment ref="C67" authorId="0" shapeId="0">
      <text>
        <r>
          <rPr>
            <b/>
            <sz val="9"/>
            <color indexed="81"/>
            <rFont val="Tahoma"/>
            <family val="2"/>
          </rPr>
          <t>Josue Andreé Ricart Vásquez:</t>
        </r>
        <r>
          <rPr>
            <sz val="9"/>
            <color indexed="81"/>
            <rFont val="Tahoma"/>
            <family val="2"/>
          </rPr>
          <t xml:space="preserve">
incluye pago de corporación abiansha por 1652.68</t>
        </r>
      </text>
    </comment>
    <comment ref="C68" authorId="0" shapeId="0">
      <text>
        <r>
          <rPr>
            <b/>
            <sz val="9"/>
            <color indexed="81"/>
            <rFont val="Tahoma"/>
            <family val="2"/>
          </rPr>
          <t>Josue Andreé Ricart Vásquez:</t>
        </r>
        <r>
          <rPr>
            <sz val="9"/>
            <color indexed="81"/>
            <rFont val="Tahoma"/>
            <family val="2"/>
          </rPr>
          <t xml:space="preserve">
Incluye pago de rustika</t>
        </r>
      </text>
    </comment>
    <comment ref="D69" authorId="0" shapeId="0">
      <text>
        <r>
          <rPr>
            <b/>
            <sz val="9"/>
            <color indexed="81"/>
            <rFont val="Tahoma"/>
            <family val="2"/>
          </rPr>
          <t>Josue Andreé Ricart Vásquez:</t>
        </r>
        <r>
          <rPr>
            <sz val="9"/>
            <color indexed="81"/>
            <rFont val="Tahoma"/>
            <family val="2"/>
          </rPr>
          <t xml:space="preserve">
PARA LA ELABORACIÓN DEL Q13 CONSIGNAR VALOR PAGADO TOTAL DE 47118.49, PARA QUE AJUSTE CON MCDR DE ENERO</t>
        </r>
      </text>
    </comment>
    <comment ref="D70" authorId="0" shapeId="0">
      <text>
        <r>
          <rPr>
            <b/>
            <sz val="9"/>
            <color indexed="81"/>
            <rFont val="Tahoma"/>
            <family val="2"/>
          </rPr>
          <t>Josue Andreé Ricart Vásquez:</t>
        </r>
        <r>
          <rPr>
            <sz val="9"/>
            <color indexed="81"/>
            <rFont val="Tahoma"/>
            <family val="2"/>
          </rPr>
          <t xml:space="preserve">
original 45,000, se dejó de utilizar 6498.00 se reversó</t>
        </r>
      </text>
    </comment>
    <comment ref="C75" authorId="0" shapeId="0">
      <text>
        <r>
          <rPr>
            <sz val="9"/>
            <color indexed="81"/>
            <rFont val="Tahoma"/>
            <family val="2"/>
          </rPr>
          <t>Experto en escala vertical</t>
        </r>
      </text>
    </comment>
    <comment ref="C103" authorId="0" shapeId="0">
      <text>
        <r>
          <rPr>
            <b/>
            <sz val="9"/>
            <color indexed="81"/>
            <rFont val="Tahoma"/>
            <family val="2"/>
          </rPr>
          <t>Josue Andreé Ricart Grupo Sega</t>
        </r>
      </text>
    </comment>
    <comment ref="C104" authorId="0" shapeId="0">
      <text>
        <r>
          <rPr>
            <b/>
            <sz val="9"/>
            <color indexed="81"/>
            <rFont val="Tahoma"/>
            <family val="2"/>
          </rPr>
          <t>Josue Andreé Ricart Vásquez:</t>
        </r>
        <r>
          <rPr>
            <sz val="9"/>
            <color indexed="81"/>
            <rFont val="Tahoma"/>
            <family val="2"/>
          </rPr>
          <t xml:space="preserve">
Tecnasa</t>
        </r>
      </text>
    </comment>
    <comment ref="C105" authorId="0" shapeId="0">
      <text>
        <r>
          <rPr>
            <b/>
            <sz val="9"/>
            <color indexed="81"/>
            <rFont val="Tahoma"/>
            <family val="2"/>
          </rPr>
          <t>Josue Andreé Ricart Vásquez:</t>
        </r>
        <r>
          <rPr>
            <sz val="9"/>
            <color indexed="81"/>
            <rFont val="Tahoma"/>
            <family val="2"/>
          </rPr>
          <t xml:space="preserve">
Tecnasa</t>
        </r>
      </text>
    </comment>
    <comment ref="C106" authorId="0" shapeId="0">
      <text>
        <r>
          <rPr>
            <b/>
            <sz val="9"/>
            <color indexed="81"/>
            <rFont val="Tahoma"/>
            <family val="2"/>
          </rPr>
          <t>Josue Andreé Ricart Vásquez:</t>
        </r>
        <r>
          <rPr>
            <sz val="9"/>
            <color indexed="81"/>
            <rFont val="Tahoma"/>
            <family val="2"/>
          </rPr>
          <t xml:space="preserve">
01-2017</t>
        </r>
      </text>
    </comment>
    <comment ref="C109" authorId="0" shapeId="0">
      <text>
        <r>
          <rPr>
            <b/>
            <sz val="9"/>
            <color indexed="81"/>
            <rFont val="Tahoma"/>
            <family val="2"/>
          </rPr>
          <t>Josue Andreé Ricart Vásquez:</t>
        </r>
        <r>
          <rPr>
            <sz val="9"/>
            <color indexed="81"/>
            <rFont val="Tahoma"/>
            <family val="2"/>
          </rPr>
          <t xml:space="preserve">
Reparación Impresora</t>
        </r>
      </text>
    </comment>
    <comment ref="C112" authorId="0" shapeId="0">
      <text>
        <r>
          <rPr>
            <b/>
            <sz val="9"/>
            <color indexed="81"/>
            <rFont val="Tahoma"/>
            <family val="2"/>
          </rPr>
          <t>Josue Andreé Ricart Vásquez:</t>
        </r>
        <r>
          <rPr>
            <sz val="9"/>
            <color indexed="81"/>
            <rFont val="Tahoma"/>
            <family val="2"/>
          </rPr>
          <t xml:space="preserve">
poliycom phone</t>
        </r>
      </text>
    </comment>
    <comment ref="C113" authorId="0" shapeId="0">
      <text>
        <r>
          <rPr>
            <b/>
            <sz val="9"/>
            <color indexed="81"/>
            <rFont val="Tahoma"/>
            <family val="2"/>
          </rPr>
          <t>Josue Andreé Ricart Vásquez:</t>
        </r>
        <r>
          <rPr>
            <sz val="9"/>
            <color indexed="81"/>
            <rFont val="Tahoma"/>
            <family val="2"/>
          </rPr>
          <t xml:space="preserve">
compra de credenzas</t>
        </r>
      </text>
    </comment>
    <comment ref="C114" authorId="0" shapeId="0">
      <text>
        <r>
          <rPr>
            <b/>
            <sz val="9"/>
            <color indexed="81"/>
            <rFont val="Tahoma"/>
            <family val="2"/>
          </rPr>
          <t>Josue Andreé Ricart Vásquez:</t>
        </r>
        <r>
          <rPr>
            <sz val="9"/>
            <color indexed="81"/>
            <rFont val="Tahoma"/>
            <family val="2"/>
          </rPr>
          <t xml:space="preserve">
PU-MCC-SNC-001-2016
</t>
        </r>
      </text>
    </comment>
    <comment ref="C115" authorId="0" shapeId="0">
      <text>
        <r>
          <rPr>
            <b/>
            <sz val="9"/>
            <color indexed="81"/>
            <rFont val="Tahoma"/>
            <family val="2"/>
          </rPr>
          <t>Josue Andreé Ricart Vásquez:</t>
        </r>
        <r>
          <rPr>
            <sz val="9"/>
            <color indexed="81"/>
            <rFont val="Tahoma"/>
            <family val="2"/>
          </rPr>
          <t xml:space="preserve">
03-2017
</t>
        </r>
      </text>
    </comment>
    <comment ref="C117" authorId="0" shapeId="0">
      <text>
        <r>
          <rPr>
            <b/>
            <sz val="9"/>
            <color indexed="81"/>
            <rFont val="Tahoma"/>
            <family val="2"/>
          </rPr>
          <t>Josue Andreé Ricart Vásquez:</t>
        </r>
        <r>
          <rPr>
            <sz val="9"/>
            <color indexed="81"/>
            <rFont val="Tahoma"/>
            <family val="2"/>
          </rPr>
          <t xml:space="preserve">
01-2018</t>
        </r>
      </text>
    </comment>
    <comment ref="BC128" authorId="0" shapeId="0">
      <text>
        <r>
          <rPr>
            <b/>
            <sz val="9"/>
            <color indexed="81"/>
            <rFont val="Tahoma"/>
            <family val="2"/>
          </rPr>
          <t>Josue Andreé Ricart Vásquez:</t>
        </r>
        <r>
          <rPr>
            <sz val="9"/>
            <color indexed="81"/>
            <rFont val="Tahoma"/>
            <family val="2"/>
          </rPr>
          <t xml:space="preserve">
ojo se debe quitar un usd 1.00 solo ejecuto 24999
</t>
        </r>
      </text>
    </comment>
  </commentList>
</comments>
</file>

<file path=xl/sharedStrings.xml><?xml version="1.0" encoding="utf-8"?>
<sst xmlns="http://schemas.openxmlformats.org/spreadsheetml/2006/main" count="996" uniqueCount="286">
  <si>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</si>
  <si>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</si>
  <si>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</si>
  <si>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</si>
  <si>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</si>
  <si>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</si>
  <si>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</si>
  <si>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</si>
  <si>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</si>
  <si>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</si>
  <si>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</si>
  <si>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</si>
  <si>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Actual Cumulative Commitments at Beginning of Current Period</t>
  </si>
  <si>
    <t>Projected Commitments during Current Period</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</si>
  <si>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</si>
  <si>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</si>
  <si>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</si>
  <si>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</si>
  <si>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</si>
  <si>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</si>
  <si>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</si>
  <si>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</si>
  <si>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</si>
  <si>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</si>
  <si>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</si>
  <si>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</si>
  <si>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</si>
  <si>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</si>
  <si>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</si>
  <si>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</si>
  <si>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</si>
  <si>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</si>
  <si>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</si>
  <si>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</si>
  <si>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</si>
  <si>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</si>
  <si>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</si>
  <si>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</si>
  <si>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</si>
  <si>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</si>
  <si>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</si>
  <si>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</si>
  <si>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</si>
  <si>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</si>
  <si>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</si>
  <si>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</si>
  <si>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</si>
  <si>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</si>
  <si>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</si>
  <si>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</si>
  <si>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</si>
  <si>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</si>
  <si>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</si>
  <si>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</si>
  <si>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</si>
  <si>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</si>
  <si>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</si>
  <si>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</si>
  <si>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</si>
  <si>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</si>
  <si>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 xml:space="preserve">Name: </t>
  </si>
  <si>
    <t>TOTAL - Education</t>
  </si>
  <si>
    <t>TOTAL - Resource Mobilization</t>
  </si>
  <si>
    <t>Guatemala</t>
  </si>
  <si>
    <t>PRONACOM</t>
  </si>
  <si>
    <t>TR14GTM15001</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</si>
  <si>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</si>
  <si>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</si>
  <si>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</si>
  <si>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</si>
  <si>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</si>
  <si>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</si>
  <si>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</si>
  <si>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</si>
  <si>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</si>
  <si>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</si>
  <si>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</si>
  <si>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</si>
  <si>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</si>
  <si>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</si>
  <si>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</si>
  <si>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</si>
  <si>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</si>
  <si>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</si>
  <si>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</si>
  <si>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</si>
  <si>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</si>
  <si>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</si>
  <si>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</si>
  <si>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</si>
  <si>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</si>
  <si>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14</t>
  </si>
  <si>
    <t>Column 15</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</si>
  <si>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</si>
  <si>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</si>
  <si>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</si>
  <si>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</si>
  <si>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</si>
  <si>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</si>
  <si>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</si>
  <si>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</si>
  <si>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</si>
  <si>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</si>
  <si>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</si>
  <si>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</si>
  <si>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</si>
  <si>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</si>
  <si>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</si>
  <si>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</si>
  <si>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</si>
  <si>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</si>
  <si>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</si>
  <si>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</si>
  <si>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</si>
  <si>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</si>
  <si>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</si>
  <si>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</si>
  <si>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</si>
  <si>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</si>
  <si>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</si>
  <si>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</si>
  <si>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</si>
  <si>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</si>
  <si>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</si>
  <si>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</si>
  <si>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</si>
  <si>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</si>
  <si>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</si>
  <si>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</si>
  <si>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</si>
  <si>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</si>
  <si>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</si>
  <si>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</si>
  <si>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</si>
  <si>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</si>
  <si>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</si>
  <si>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</si>
  <si>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</si>
  <si>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</si>
  <si>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</si>
  <si>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</si>
  <si>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</si>
  <si>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</si>
  <si>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</si>
  <si>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</si>
  <si>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</si>
  <si>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</si>
  <si>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</si>
  <si>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</si>
  <si>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</si>
  <si>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</si>
  <si>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</si>
  <si>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</si>
  <si>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</si>
  <si>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</si>
  <si>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</si>
  <si>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</si>
  <si>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</si>
  <si>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</si>
  <si>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</si>
  <si>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</si>
  <si>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</si>
  <si>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</si>
  <si>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</si>
  <si>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</si>
  <si>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</si>
  <si>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</si>
  <si>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</si>
  <si>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</si>
  <si>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</si>
  <si>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</si>
  <si>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</si>
  <si>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</si>
  <si>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</si>
  <si>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</si>
  <si>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</si>
  <si>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</si>
  <si>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</si>
  <si>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</si>
  <si>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</si>
  <si>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</si>
  <si>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</si>
  <si>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</si>
  <si>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</si>
  <si>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</si>
  <si>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</si>
  <si>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</si>
  <si>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</si>
  <si>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</si>
  <si>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</si>
  <si>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</si>
  <si>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</si>
  <si>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</si>
  <si>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</si>
  <si>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</si>
  <si>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</si>
  <si>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</si>
  <si>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</si>
  <si>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</si>
  <si>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</si>
  <si>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Grant Quarter #15</t>
  </si>
  <si>
    <t>Grant Quarter #16</t>
  </si>
  <si>
    <t>Jan '20
Mar '20</t>
  </si>
  <si>
    <t>FxT Coordinator</t>
  </si>
  <si>
    <t>Actual Cumulative Disbursements at Beginning of Current Period</t>
  </si>
  <si>
    <t>Out of Cycle Report:  Yes [ ] | No [ x ]</t>
  </si>
  <si>
    <t>M&amp;E</t>
  </si>
  <si>
    <t>Total Comprometido a la fecha</t>
  </si>
  <si>
    <t>TVET place holder</t>
  </si>
  <si>
    <t>place holder</t>
  </si>
  <si>
    <t>q15</t>
  </si>
  <si>
    <t>MCC (Acting Fiscal Agent)</t>
  </si>
  <si>
    <t>Adjustment Reported/
Approved
(Q1 - 9/10/2016)</t>
  </si>
  <si>
    <t>data subscriptions</t>
  </si>
  <si>
    <t>IT consultants</t>
  </si>
  <si>
    <t>Managaement coach for customs and audit</t>
  </si>
  <si>
    <t>PPP coach option 1</t>
  </si>
  <si>
    <t>PPP coach option 2</t>
  </si>
  <si>
    <t>q8</t>
  </si>
  <si>
    <t xml:space="preserve">Date:  </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</si>
  <si>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</si>
  <si>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</si>
  <si>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</si>
  <si>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</si>
  <si>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</si>
  <si>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</si>
  <si>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</si>
  <si>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</si>
  <si>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</si>
  <si>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</si>
  <si>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</si>
  <si>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</si>
  <si>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</si>
  <si>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</si>
  <si>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</si>
  <si>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Apr '20
Jun '20</t>
  </si>
  <si>
    <t>* This activity has  MCC Managed (commitments and disbursements are reported on the quarterly MCC-Managed Report)</t>
  </si>
  <si>
    <t>* This activity (0443) is partially MCC-Managed</t>
  </si>
  <si>
    <t>Projected Disbursements during Current Period</t>
  </si>
  <si>
    <t>q10</t>
  </si>
  <si>
    <t>q9</t>
  </si>
  <si>
    <t>Adjustment Reported/
Approved
(Q6 - 10/11/2017)</t>
  </si>
  <si>
    <t>Q16</t>
  </si>
  <si>
    <t>Threshold Program / Program Administration and Monitoring and Evaluation</t>
  </si>
  <si>
    <t>April 8, 2015/May 16, 2016</t>
  </si>
  <si>
    <t>Q17</t>
  </si>
  <si>
    <t>Q18</t>
  </si>
  <si>
    <t>Close Out</t>
  </si>
  <si>
    <t>Q19</t>
  </si>
  <si>
    <t>Jul '20
Sep '20</t>
  </si>
  <si>
    <t>Oct '20
Dec '20</t>
  </si>
  <si>
    <t>Jan '21
Mar '21</t>
  </si>
  <si>
    <t>Grant Quarter #17</t>
  </si>
  <si>
    <t>Grant Quarter #18</t>
  </si>
  <si>
    <t>Column 16</t>
  </si>
  <si>
    <t>Column 17</t>
  </si>
  <si>
    <t>Column 18</t>
  </si>
  <si>
    <t>q11</t>
  </si>
  <si>
    <t>q14</t>
  </si>
  <si>
    <t>q13</t>
  </si>
  <si>
    <t>Adjustment Reported/ 
Approved 
(Q10 - 05/11/2018)</t>
  </si>
  <si>
    <t>Adjustment Reported/ 
Approved 
(Q12- 01/04/2019)</t>
  </si>
  <si>
    <t>Name:  Francisca de Jesús Cárdenas Morán</t>
  </si>
  <si>
    <t>Name: Manfredo Octavio Chocano</t>
  </si>
  <si>
    <t>Certified by the Executive Director of PRONACOM</t>
  </si>
  <si>
    <t>Signed by the  THP Deputy Executive Director</t>
  </si>
  <si>
    <t>q17</t>
  </si>
  <si>
    <t>q18</t>
  </si>
  <si>
    <t>Apr-21</t>
  </si>
  <si>
    <t>Q20</t>
  </si>
  <si>
    <t>Column 19</t>
  </si>
  <si>
    <t>Apr '21
Jun '21</t>
  </si>
  <si>
    <t>q19</t>
  </si>
  <si>
    <t>Close Out
Grant Quarter #19</t>
  </si>
  <si>
    <t>Post Close Out
Grant Quarter #20</t>
  </si>
  <si>
    <t>Sep '2019</t>
  </si>
  <si>
    <t>Sep '19
Dec '19</t>
  </si>
  <si>
    <t>Jan '20</t>
  </si>
  <si>
    <t>Feb`20</t>
  </si>
  <si>
    <t>Mar´20</t>
  </si>
  <si>
    <t xml:space="preserve">cash, cash cash cash cash cash, cash cash cash cash cash, cash cash cash cash cash, cash cash cash cash cash, cash cash cash cash cash, cash cash cash cash cash, cash cash cash cash cash, cash cash cash cash cash, cash cash cash cash cash, cash cash cash cash </t>
  </si>
  <si>
    <t xml:space="preserve">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t>
  </si>
  <si>
    <t>q16</t>
  </si>
  <si>
    <t>Two million five hundred eighty-one thousand three hundred fifty-seven and 20/100 dollars</t>
  </si>
  <si>
    <t>Date: December 19, 2019</t>
  </si>
  <si>
    <t>Date:  December 19, 2019____________________________________________________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</si>
</sst>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quot;#,##0;[Red]\-&quot;Q&quot;#,##0"/>
    <numFmt numFmtId="43" formatCode="_-* #,##0.00_-;\-* #,##0.00_-;_-* &quot;-&quot;??_-;_-@_-"/>
    <numFmt numFmtId="164" formatCode="&quot;$&quot;#,##0.00_);\(&quot;$&quot;#,##0.00\)"/>
    <numFmt numFmtId="165" formatCode="_(&quot;$&quot;* #,##0.00_);_(&quot;$&quot;* \(#,##0.00\);_(&quot;$&quot;* &quot;-&quot;??_);_(@_)"/>
    <numFmt numFmtId="166" formatCode="_(* #,##0.00_);_(* \(#,##0.00\);_(* &quot;-&quot;??_);_(@_)"/>
    <numFmt numFmtId="167" formatCode="_(* #,##0_);_(* \(#,##0\);_(* &quot;-&quot;??_);_(@_)"/>
    <numFmt numFmtId="168" formatCode="0_);[Red]\(0\)"/>
    <numFmt numFmtId="169" formatCode="[$-409]mmmm\ d\,\ yyyy;@"/>
    <numFmt numFmtId="170" formatCode="[$-409]mmm\-yy;@"/>
    <numFmt numFmtId="171" formatCode="m/d/yy;@"/>
    <numFmt numFmtId="172" formatCode="_(&quot;$&quot;* #,##0_);_(&quot;$&quot;* \(#,##0\);_(&quot;$&quot;* &quot;-&quot;??_);_(@_)"/>
    <numFmt numFmtId="173" formatCode="0.0%"/>
    <numFmt numFmtId="174" formatCode="[$-409]dd\-mmm\-yy;@"/>
    <numFmt numFmtId="175" formatCode="_(&quot;$&quot;* #,##0.0000_);_(&quot;$&quot;* \(#,##0.0000\);_(&quot;$&quot;* &quot;-&quot;??_);_(@_)"/>
    <numFmt numFmtId="176" formatCode="_(&quot;$&quot;* #,##0.00000_);_(&quot;$&quot;* \(#,##0.00000\);_(&quot;$&quot;* &quot;-&quot;??_);_(@_)"/>
    <numFmt numFmtId="177" formatCode="_(&quot;$&quot;* #,##0.000000_);_(&quot;$&quot;* \(#,##0.000000\);_(&quot;$&quot;* &quot;-&quot;??_);_(@_)"/>
  </numFmts>
  <fonts count="39" x14ac:knownFonts="1">
    <font>
      <sz val="11"/>
      <color theme="1"/>
      <name val="Calibri"/>
      <family val="2"/>
      <scheme val="minor"/>
    </font>
    <font>
      <sz val="11"/>
      <color theme="1"/>
      <name val="Calibri"/>
      <family val="2"/>
      <scheme val="minor"/>
    </font>
    <font>
      <sz val="10"/>
      <name val="Arial"/>
      <family val="2"/>
    </font>
    <font>
      <b/>
      <sz val="10"/>
      <name val="Arial Narrow"/>
      <family val="2"/>
    </font>
    <font>
      <b/>
      <sz val="10"/>
      <name val="Arial"/>
      <family val="2"/>
    </font>
    <font>
      <b/>
      <u/>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name val="Arial"/>
      <family val="2"/>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0"/>
      <name val="Arial"/>
      <family val="2"/>
    </font>
    <font>
      <sz val="11"/>
      <name val="Calibri"/>
      <family val="2"/>
      <scheme val="minor"/>
    </font>
    <font>
      <b/>
      <sz val="11"/>
      <name val="Calibri"/>
      <family val="2"/>
      <scheme val="minor"/>
    </font>
    <font>
      <sz val="10"/>
      <name val="Calibri"/>
      <family val="2"/>
      <scheme val="minor"/>
    </font>
    <font>
      <b/>
      <sz val="9"/>
      <color indexed="81"/>
      <name val="Tahoma"/>
      <family val="2"/>
    </font>
    <font>
      <sz val="9"/>
      <color indexed="81"/>
      <name val="Tahoma"/>
      <family val="2"/>
    </font>
    <font>
      <sz val="9"/>
      <color theme="1"/>
      <name val="Calibri"/>
      <family val="2"/>
      <scheme val="minor"/>
    </font>
    <font>
      <b/>
      <sz val="16"/>
      <color theme="1"/>
      <name val="Calibri"/>
      <family val="2"/>
      <scheme val="minor"/>
    </font>
    <font>
      <sz val="11"/>
      <color rgb="FF006100"/>
      <name val="Calibri"/>
      <family val="2"/>
      <scheme val="minor"/>
    </font>
    <font>
      <b/>
      <sz val="14"/>
      <color theme="1"/>
      <name val="Calibri"/>
      <family val="2"/>
      <scheme val="minor"/>
    </font>
  </fonts>
  <fills count="32">
    <fill>
      <patternFill patternType="none"/>
    </fill>
    <fill>
      <patternFill patternType="gray125"/>
    </fill>
    <fill>
      <patternFill patternType="solid">
        <fgColor indexed="8"/>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darkTrellis"/>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6EFCE"/>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70C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top/>
      <bottom style="thin">
        <color auto="1"/>
      </bottom>
      <diagonal/>
    </border>
    <border>
      <left style="thin">
        <color indexed="55"/>
      </left>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indexed="64"/>
      </top>
      <bottom/>
      <diagonal/>
    </border>
  </borders>
  <cellStyleXfs count="21">
    <xf numFmtId="0" fontId="0" fillId="0" borderId="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1" fillId="0" borderId="0"/>
    <xf numFmtId="166" fontId="2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0" fontId="25" fillId="0" borderId="0"/>
    <xf numFmtId="43" fontId="25" fillId="0" borderId="0" applyFont="0" applyFill="0" applyBorder="0" applyAlignment="0" applyProtection="0"/>
    <xf numFmtId="0" fontId="29" fillId="0" borderId="0"/>
    <xf numFmtId="166" fontId="29" fillId="0" borderId="0" applyFont="0" applyFill="0" applyBorder="0" applyAlignment="0" applyProtection="0"/>
    <xf numFmtId="166" fontId="29" fillId="0" borderId="0" applyFont="0" applyFill="0" applyBorder="0" applyAlignment="0" applyProtection="0"/>
    <xf numFmtId="165" fontId="29" fillId="0" borderId="0" applyFont="0" applyFill="0" applyBorder="0" applyAlignment="0" applyProtection="0"/>
    <xf numFmtId="9" fontId="1" fillId="0" borderId="0" applyFont="0" applyFill="0" applyBorder="0" applyAlignment="0" applyProtection="0"/>
    <xf numFmtId="0" fontId="37" fillId="23" borderId="0" applyNumberFormat="0" applyBorder="0" applyAlignment="0" applyProtection="0"/>
  </cellStyleXfs>
  <cellXfs count="535">
    <xf numFmtId="0" fontId="0" fillId="0" borderId="0" xfId="0"/>
    <xf numFmtId="167" fontId="2" fillId="0" borderId="0" xfId="2" applyNumberFormat="1"/>
    <xf numFmtId="167" fontId="3" fillId="0" borderId="1" xfId="3" applyNumberFormat="1" applyFont="1" applyBorder="1"/>
    <xf numFmtId="167" fontId="2" fillId="0" borderId="2" xfId="2" applyNumberFormat="1" applyFill="1" applyBorder="1"/>
    <xf numFmtId="167" fontId="2" fillId="0" borderId="3" xfId="2" applyNumberFormat="1" applyBorder="1"/>
    <xf numFmtId="167" fontId="2" fillId="0" borderId="0" xfId="2" applyNumberFormat="1" applyBorder="1"/>
    <xf numFmtId="168" fontId="2" fillId="0" borderId="0" xfId="2" applyNumberFormat="1"/>
    <xf numFmtId="0" fontId="2" fillId="0" borderId="0" xfId="4"/>
    <xf numFmtId="167" fontId="4" fillId="0" borderId="1" xfId="2" applyNumberFormat="1" applyFont="1" applyBorder="1"/>
    <xf numFmtId="0" fontId="2" fillId="0" borderId="0" xfId="4" applyBorder="1"/>
    <xf numFmtId="167" fontId="2" fillId="0" borderId="4" xfId="2" applyNumberFormat="1" applyFill="1" applyBorder="1" applyAlignment="1">
      <alignment horizontal="right"/>
    </xf>
    <xf numFmtId="167" fontId="2" fillId="0" borderId="5" xfId="2" applyNumberFormat="1" applyFill="1" applyBorder="1"/>
    <xf numFmtId="0" fontId="0" fillId="0" borderId="6" xfId="0" applyBorder="1" applyAlignment="1">
      <alignment horizontal="left" indent="1"/>
    </xf>
    <xf numFmtId="167" fontId="2" fillId="0" borderId="7" xfId="2" applyNumberFormat="1" applyFill="1" applyBorder="1" applyAlignment="1">
      <alignment horizontal="right"/>
    </xf>
    <xf numFmtId="167" fontId="2" fillId="0" borderId="0" xfId="2" applyNumberFormat="1" applyFill="1" applyBorder="1"/>
    <xf numFmtId="0" fontId="0" fillId="0" borderId="8" xfId="0" applyBorder="1" applyAlignment="1">
      <alignment horizontal="left" indent="1"/>
    </xf>
    <xf numFmtId="167" fontId="2" fillId="0" borderId="7" xfId="2" applyNumberFormat="1" applyFont="1" applyFill="1" applyBorder="1" applyAlignment="1">
      <alignment horizontal="right"/>
    </xf>
    <xf numFmtId="167" fontId="2" fillId="0" borderId="9" xfId="2" applyNumberFormat="1" applyFont="1" applyBorder="1" applyAlignment="1">
      <alignment horizontal="right"/>
    </xf>
    <xf numFmtId="167" fontId="2" fillId="0" borderId="10" xfId="2" applyNumberFormat="1" applyFill="1" applyBorder="1" applyAlignment="1"/>
    <xf numFmtId="167" fontId="2" fillId="0" borderId="0" xfId="2" applyNumberFormat="1" applyFill="1" applyBorder="1" applyAlignment="1">
      <alignment horizontal="center"/>
    </xf>
    <xf numFmtId="167" fontId="2" fillId="0" borderId="0" xfId="2" applyNumberFormat="1" applyBorder="1" applyAlignment="1">
      <alignment horizontal="center"/>
    </xf>
    <xf numFmtId="167" fontId="5" fillId="0" borderId="0" xfId="2" applyNumberFormat="1" applyFont="1" applyBorder="1" applyAlignment="1">
      <alignment horizontal="left"/>
    </xf>
    <xf numFmtId="168" fontId="4" fillId="0" borderId="0" xfId="2" applyNumberFormat="1" applyFont="1" applyFill="1"/>
    <xf numFmtId="167" fontId="4" fillId="0" borderId="0" xfId="2" applyNumberFormat="1" applyFont="1" applyFill="1"/>
    <xf numFmtId="167" fontId="2" fillId="0" borderId="0" xfId="2" applyNumberFormat="1" applyFont="1" applyFill="1" applyBorder="1" applyAlignment="1">
      <alignment horizontal="left"/>
    </xf>
    <xf numFmtId="167" fontId="5" fillId="0" borderId="0" xfId="2" applyNumberFormat="1" applyFont="1" applyFill="1" applyBorder="1" applyAlignment="1">
      <alignment horizontal="left"/>
    </xf>
    <xf numFmtId="0" fontId="2" fillId="0" borderId="0" xfId="4" applyFont="1" applyFill="1" applyBorder="1" applyAlignment="1">
      <alignment horizontal="left"/>
    </xf>
    <xf numFmtId="49" fontId="7" fillId="3" borderId="13" xfId="3" applyNumberFormat="1" applyFont="1" applyFill="1" applyBorder="1" applyAlignment="1">
      <alignment horizontal="center" vertical="center"/>
    </xf>
    <xf numFmtId="49" fontId="7" fillId="4" borderId="12" xfId="3" applyNumberFormat="1" applyFont="1" applyFill="1" applyBorder="1" applyAlignment="1">
      <alignment horizontal="center" vertical="center"/>
    </xf>
    <xf numFmtId="168" fontId="4" fillId="6" borderId="12" xfId="2" applyNumberFormat="1" applyFont="1" applyFill="1" applyBorder="1" applyAlignment="1">
      <alignment horizontal="center" vertical="center"/>
    </xf>
    <xf numFmtId="49" fontId="3" fillId="3" borderId="13" xfId="3" applyNumberFormat="1" applyFont="1" applyFill="1" applyBorder="1" applyAlignment="1">
      <alignment horizontal="center" vertical="center" wrapText="1"/>
    </xf>
    <xf numFmtId="49" fontId="3" fillId="4" borderId="12" xfId="3" applyNumberFormat="1" applyFont="1" applyFill="1" applyBorder="1" applyAlignment="1">
      <alignment horizontal="center" vertical="center" wrapText="1"/>
    </xf>
    <xf numFmtId="167" fontId="2" fillId="0" borderId="13" xfId="2" applyNumberFormat="1" applyBorder="1"/>
    <xf numFmtId="167" fontId="2" fillId="0" borderId="12" xfId="2" applyNumberFormat="1" applyBorder="1"/>
    <xf numFmtId="167" fontId="9" fillId="7" borderId="12" xfId="3" applyNumberFormat="1" applyFont="1" applyFill="1" applyBorder="1" applyAlignment="1">
      <alignment horizontal="center" vertical="center"/>
    </xf>
    <xf numFmtId="49" fontId="3" fillId="3" borderId="16" xfId="3" applyNumberFormat="1" applyFont="1" applyFill="1" applyBorder="1" applyAlignment="1">
      <alignment horizontal="center" vertical="center" wrapText="1"/>
    </xf>
    <xf numFmtId="49" fontId="3" fillId="4" borderId="17" xfId="3" applyNumberFormat="1" applyFont="1" applyFill="1" applyBorder="1" applyAlignment="1">
      <alignment horizontal="center" vertical="center" wrapText="1"/>
    </xf>
    <xf numFmtId="167" fontId="4" fillId="5" borderId="12" xfId="2" applyNumberFormat="1" applyFont="1" applyFill="1" applyBorder="1"/>
    <xf numFmtId="167" fontId="4" fillId="8" borderId="12" xfId="2" applyNumberFormat="1" applyFont="1" applyFill="1" applyBorder="1" applyAlignment="1">
      <alignment horizontal="center"/>
    </xf>
    <xf numFmtId="167" fontId="4" fillId="8" borderId="13" xfId="2" applyNumberFormat="1" applyFont="1" applyFill="1" applyBorder="1" applyAlignment="1">
      <alignment horizontal="center"/>
    </xf>
    <xf numFmtId="167" fontId="10" fillId="2" borderId="12" xfId="2" applyNumberFormat="1" applyFont="1" applyFill="1" applyBorder="1" applyAlignment="1">
      <alignment wrapText="1"/>
    </xf>
    <xf numFmtId="167" fontId="4" fillId="2" borderId="13" xfId="2" applyNumberFormat="1" applyFont="1" applyFill="1" applyBorder="1" applyAlignment="1">
      <alignment horizontal="center"/>
    </xf>
    <xf numFmtId="167" fontId="4" fillId="2" borderId="12" xfId="2" applyNumberFormat="1" applyFont="1" applyFill="1" applyBorder="1" applyAlignment="1">
      <alignment horizontal="center"/>
    </xf>
    <xf numFmtId="168" fontId="4" fillId="2" borderId="12" xfId="2" applyNumberFormat="1" applyFont="1" applyFill="1" applyBorder="1" applyAlignment="1">
      <alignment horizontal="center"/>
    </xf>
    <xf numFmtId="1" fontId="2" fillId="0" borderId="0" xfId="2" applyNumberFormat="1" applyBorder="1"/>
    <xf numFmtId="167" fontId="3" fillId="5" borderId="12" xfId="2" applyNumberFormat="1" applyFont="1" applyFill="1" applyBorder="1" applyAlignment="1">
      <alignment horizontal="left" vertical="center" wrapText="1"/>
    </xf>
    <xf numFmtId="167" fontId="3" fillId="9" borderId="12" xfId="2" applyNumberFormat="1" applyFont="1" applyFill="1" applyBorder="1" applyAlignment="1">
      <alignment horizontal="left" wrapText="1"/>
    </xf>
    <xf numFmtId="167" fontId="4" fillId="9" borderId="13" xfId="2" applyNumberFormat="1" applyFont="1" applyFill="1" applyBorder="1"/>
    <xf numFmtId="167" fontId="3" fillId="0" borderId="12" xfId="2" applyNumberFormat="1" applyFont="1" applyBorder="1" applyAlignment="1">
      <alignment wrapText="1"/>
    </xf>
    <xf numFmtId="167" fontId="4" fillId="0" borderId="13" xfId="2" applyNumberFormat="1" applyFont="1" applyBorder="1"/>
    <xf numFmtId="167" fontId="4" fillId="0" borderId="12" xfId="2" applyNumberFormat="1" applyFont="1" applyBorder="1"/>
    <xf numFmtId="167" fontId="4" fillId="2" borderId="13" xfId="2" applyNumberFormat="1" applyFont="1" applyFill="1" applyBorder="1"/>
    <xf numFmtId="167" fontId="4" fillId="2" borderId="12" xfId="2" applyNumberFormat="1" applyFont="1" applyFill="1" applyBorder="1"/>
    <xf numFmtId="167" fontId="3" fillId="9" borderId="12" xfId="2" applyNumberFormat="1" applyFont="1" applyFill="1" applyBorder="1" applyAlignment="1">
      <alignment wrapText="1"/>
    </xf>
    <xf numFmtId="1" fontId="2" fillId="0" borderId="0" xfId="4" applyNumberFormat="1" applyBorder="1"/>
    <xf numFmtId="0" fontId="4" fillId="2" borderId="13" xfId="4" applyFont="1" applyFill="1" applyBorder="1"/>
    <xf numFmtId="0" fontId="4" fillId="2" borderId="12" xfId="4" applyFont="1" applyFill="1" applyBorder="1"/>
    <xf numFmtId="0" fontId="2" fillId="0" borderId="13" xfId="4" applyBorder="1"/>
    <xf numFmtId="0" fontId="2" fillId="0" borderId="12" xfId="4" applyBorder="1"/>
    <xf numFmtId="0" fontId="3" fillId="5" borderId="12" xfId="2" applyNumberFormat="1" applyFont="1" applyFill="1" applyBorder="1" applyAlignment="1">
      <alignment horizontal="left" wrapText="1"/>
    </xf>
    <xf numFmtId="167" fontId="3" fillId="5" borderId="12" xfId="2" applyNumberFormat="1" applyFont="1" applyFill="1" applyBorder="1" applyAlignment="1">
      <alignment horizontal="left" wrapText="1"/>
    </xf>
    <xf numFmtId="0" fontId="3" fillId="9" borderId="12" xfId="2" applyNumberFormat="1" applyFont="1" applyFill="1" applyBorder="1" applyAlignment="1">
      <alignment horizontal="left" wrapText="1"/>
    </xf>
    <xf numFmtId="167" fontId="2" fillId="0" borderId="0" xfId="2" applyNumberFormat="1" applyFill="1"/>
    <xf numFmtId="0" fontId="2" fillId="0" borderId="0" xfId="4" applyFont="1"/>
    <xf numFmtId="167" fontId="14" fillId="0" borderId="0" xfId="2" applyNumberFormat="1" applyFont="1"/>
    <xf numFmtId="168" fontId="14" fillId="0" borderId="0" xfId="2" applyNumberFormat="1" applyFont="1"/>
    <xf numFmtId="167" fontId="14" fillId="0" borderId="0" xfId="2" applyNumberFormat="1" applyFont="1" applyFill="1"/>
    <xf numFmtId="0" fontId="4" fillId="0" borderId="4" xfId="0" applyFont="1" applyBorder="1"/>
    <xf numFmtId="0" fontId="0" fillId="0" borderId="5" xfId="0" applyBorder="1"/>
    <xf numFmtId="0" fontId="0" fillId="0" borderId="6" xfId="0" applyBorder="1"/>
    <xf numFmtId="0" fontId="2"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xf numFmtId="0" fontId="2" fillId="0" borderId="0" xfId="0" applyFont="1" applyBorder="1" applyAlignment="1">
      <alignment horizontal="center"/>
    </xf>
    <xf numFmtId="0" fontId="2" fillId="0" borderId="8" xfId="0" applyFont="1" applyBorder="1" applyAlignment="1">
      <alignment horizontal="center"/>
    </xf>
    <xf numFmtId="169" fontId="0" fillId="0" borderId="0" xfId="0" applyNumberFormat="1" applyBorder="1" applyAlignment="1">
      <alignment horizontal="left" indent="1"/>
    </xf>
    <xf numFmtId="0" fontId="2" fillId="0" borderId="9" xfId="0" applyFont="1" applyBorder="1" applyAlignment="1">
      <alignment horizontal="center"/>
    </xf>
    <xf numFmtId="0" fontId="0" fillId="0" borderId="10" xfId="0"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5" fillId="0" borderId="4" xfId="0" applyFont="1" applyBorder="1" applyAlignment="1"/>
    <xf numFmtId="0" fontId="5" fillId="0" borderId="5" xfId="0" applyFont="1" applyBorder="1" applyAlignment="1">
      <alignment horizontal="left"/>
    </xf>
    <xf numFmtId="0" fontId="5" fillId="0" borderId="6" xfId="0" applyFont="1" applyBorder="1" applyAlignment="1">
      <alignment horizontal="left"/>
    </xf>
    <xf numFmtId="167" fontId="2" fillId="0" borderId="0" xfId="1" applyNumberFormat="1" applyFont="1" applyBorder="1"/>
    <xf numFmtId="171" fontId="2" fillId="0" borderId="7" xfId="0" applyNumberFormat="1"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2" fillId="0" borderId="7" xfId="0" applyFont="1" applyBorder="1" applyAlignment="1">
      <alignment horizontal="left"/>
    </xf>
    <xf numFmtId="0" fontId="15" fillId="0" borderId="0" xfId="0" applyFont="1" applyBorder="1" applyAlignment="1"/>
    <xf numFmtId="0" fontId="15" fillId="0" borderId="0" xfId="0" applyFont="1" applyBorder="1"/>
    <xf numFmtId="0" fontId="15" fillId="0" borderId="8" xfId="0" applyFont="1" applyBorder="1"/>
    <xf numFmtId="167" fontId="4" fillId="0" borderId="0" xfId="1" applyNumberFormat="1" applyFont="1" applyBorder="1"/>
    <xf numFmtId="0" fontId="4" fillId="0" borderId="0" xfId="0" applyFont="1"/>
    <xf numFmtId="0" fontId="15" fillId="0" borderId="9" xfId="0" applyFont="1" applyBorder="1" applyAlignment="1"/>
    <xf numFmtId="0" fontId="0" fillId="0" borderId="10" xfId="0" applyBorder="1"/>
    <xf numFmtId="0" fontId="0" fillId="0" borderId="11" xfId="0" applyBorder="1"/>
    <xf numFmtId="0" fontId="16" fillId="0" borderId="1" xfId="0" applyFont="1" applyFill="1" applyBorder="1"/>
    <xf numFmtId="0" fontId="16" fillId="7" borderId="19" xfId="0" applyFont="1" applyFill="1" applyBorder="1" applyAlignment="1">
      <alignment horizont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5" borderId="22" xfId="0" applyFont="1" applyFill="1" applyBorder="1"/>
    <xf numFmtId="0" fontId="16" fillId="0" borderId="17" xfId="0" applyFont="1" applyFill="1" applyBorder="1" applyAlignment="1">
      <alignment horizontal="left"/>
    </xf>
    <xf numFmtId="0" fontId="17" fillId="0" borderId="23" xfId="0" applyFont="1" applyFill="1" applyBorder="1" applyAlignment="1">
      <alignment horizontal="center" wrapText="1"/>
    </xf>
    <xf numFmtId="0" fontId="16" fillId="0" borderId="0" xfId="0" applyFont="1" applyFill="1" applyBorder="1" applyAlignment="1">
      <alignment horizontal="center"/>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5" fillId="0" borderId="26" xfId="0" applyFont="1" applyFill="1" applyBorder="1"/>
    <xf numFmtId="0" fontId="16" fillId="0" borderId="12" xfId="0" applyFont="1" applyFill="1" applyBorder="1" applyAlignment="1">
      <alignment horizontal="center"/>
    </xf>
    <xf numFmtId="0" fontId="16" fillId="0" borderId="27" xfId="0" applyFont="1" applyFill="1" applyBorder="1" applyAlignment="1">
      <alignment horizontal="center"/>
    </xf>
    <xf numFmtId="0" fontId="5" fillId="0" borderId="5" xfId="0" applyFont="1" applyBorder="1" applyAlignment="1"/>
    <xf numFmtId="0" fontId="5" fillId="0" borderId="6" xfId="0" applyFont="1" applyBorder="1" applyAlignment="1"/>
    <xf numFmtId="0" fontId="19" fillId="0" borderId="4" xfId="5" applyFont="1" applyBorder="1"/>
    <xf numFmtId="0" fontId="2" fillId="0" borderId="6" xfId="5" applyBorder="1" applyAlignment="1">
      <alignment horizontal="center"/>
    </xf>
    <xf numFmtId="0" fontId="2" fillId="0" borderId="0" xfId="5"/>
    <xf numFmtId="0" fontId="20" fillId="0" borderId="7" xfId="5" applyFont="1" applyBorder="1"/>
    <xf numFmtId="0" fontId="2" fillId="0" borderId="8" xfId="5" applyBorder="1" applyAlignment="1">
      <alignment horizontal="center"/>
    </xf>
    <xf numFmtId="0" fontId="4" fillId="0" borderId="17" xfId="5" applyFont="1" applyBorder="1"/>
    <xf numFmtId="0" fontId="2" fillId="0" borderId="17" xfId="5" applyFont="1" applyBorder="1" applyAlignment="1">
      <alignment horizontal="left"/>
    </xf>
    <xf numFmtId="0" fontId="4" fillId="0" borderId="12" xfId="5" applyFont="1" applyBorder="1"/>
    <xf numFmtId="0" fontId="2" fillId="0" borderId="12" xfId="4" applyFont="1" applyFill="1" applyBorder="1" applyAlignment="1">
      <alignment horizontal="left" wrapText="1"/>
    </xf>
    <xf numFmtId="0" fontId="2" fillId="0" borderId="0" xfId="4" applyFont="1" applyFill="1" applyBorder="1" applyAlignment="1">
      <alignment wrapText="1"/>
    </xf>
    <xf numFmtId="0" fontId="4" fillId="0" borderId="12" xfId="4" applyFont="1" applyFill="1" applyBorder="1" applyAlignment="1"/>
    <xf numFmtId="0" fontId="2" fillId="0" borderId="12" xfId="5" applyFont="1" applyBorder="1" applyAlignment="1">
      <alignment horizontal="left"/>
    </xf>
    <xf numFmtId="0" fontId="4" fillId="0" borderId="12" xfId="4" applyFont="1" applyFill="1" applyBorder="1" applyAlignment="1">
      <alignment wrapText="1"/>
    </xf>
    <xf numFmtId="0" fontId="2" fillId="0" borderId="12" xfId="5" applyFont="1" applyBorder="1" applyAlignment="1">
      <alignment horizontal="left" wrapText="1"/>
    </xf>
    <xf numFmtId="169" fontId="2" fillId="0" borderId="12" xfId="5" applyNumberFormat="1" applyFont="1" applyBorder="1" applyAlignment="1">
      <alignment horizontal="left"/>
    </xf>
    <xf numFmtId="0" fontId="4" fillId="0" borderId="12" xfId="5" applyFont="1" applyFill="1" applyBorder="1"/>
    <xf numFmtId="0" fontId="4" fillId="0" borderId="12" xfId="5" applyFont="1" applyBorder="1" applyAlignment="1">
      <alignment wrapText="1"/>
    </xf>
    <xf numFmtId="172" fontId="2" fillId="0" borderId="12" xfId="6" applyNumberFormat="1" applyFont="1" applyFill="1" applyBorder="1" applyAlignment="1">
      <alignment horizontal="center"/>
    </xf>
    <xf numFmtId="172" fontId="2" fillId="12" borderId="12" xfId="6" applyNumberFormat="1" applyFont="1" applyFill="1" applyBorder="1" applyAlignment="1">
      <alignment horizontal="center"/>
    </xf>
    <xf numFmtId="0" fontId="2" fillId="0" borderId="31" xfId="5" applyFont="1" applyBorder="1"/>
    <xf numFmtId="0" fontId="2" fillId="0" borderId="32" xfId="5" applyFont="1" applyBorder="1" applyAlignment="1">
      <alignment horizontal="center"/>
    </xf>
    <xf numFmtId="0" fontId="4" fillId="0" borderId="33" xfId="5" applyFont="1" applyBorder="1"/>
    <xf numFmtId="0" fontId="2" fillId="0" borderId="34" xfId="5" applyFont="1" applyBorder="1" applyAlignment="1">
      <alignment horizontal="center"/>
    </xf>
    <xf numFmtId="0" fontId="4" fillId="0" borderId="35" xfId="5" applyFont="1" applyBorder="1"/>
    <xf numFmtId="0" fontId="2" fillId="0" borderId="16" xfId="5" applyFont="1" applyBorder="1" applyAlignment="1">
      <alignment horizontal="center"/>
    </xf>
    <xf numFmtId="0" fontId="4" fillId="0" borderId="36" xfId="5" applyFont="1" applyBorder="1"/>
    <xf numFmtId="0" fontId="2" fillId="0" borderId="35" xfId="5" applyFont="1" applyBorder="1"/>
    <xf numFmtId="0" fontId="2" fillId="0" borderId="0" xfId="5" applyFont="1"/>
    <xf numFmtId="0" fontId="2" fillId="0" borderId="0" xfId="5" applyFont="1" applyAlignment="1">
      <alignment horizontal="center"/>
    </xf>
    <xf numFmtId="0" fontId="2" fillId="0" borderId="0" xfId="5" applyFill="1" applyBorder="1"/>
    <xf numFmtId="0" fontId="2" fillId="0" borderId="0" xfId="5" applyFill="1" applyBorder="1" applyAlignment="1">
      <alignment horizontal="center"/>
    </xf>
    <xf numFmtId="0" fontId="2" fillId="0" borderId="0" xfId="5" applyAlignment="1">
      <alignment horizontal="center"/>
    </xf>
    <xf numFmtId="0" fontId="0" fillId="0" borderId="23" xfId="0" applyBorder="1" applyAlignment="1">
      <alignment horizontal="left" indent="1"/>
    </xf>
    <xf numFmtId="169" fontId="0" fillId="0" borderId="23" xfId="0" applyNumberFormat="1" applyBorder="1" applyAlignment="1">
      <alignment horizontal="left" indent="1"/>
    </xf>
    <xf numFmtId="0" fontId="2" fillId="0" borderId="7" xfId="0" applyFont="1" applyBorder="1" applyAlignment="1"/>
    <xf numFmtId="0" fontId="4" fillId="5" borderId="7" xfId="0" applyFont="1" applyFill="1" applyBorder="1"/>
    <xf numFmtId="0" fontId="15" fillId="0" borderId="4" xfId="0" applyFont="1" applyFill="1" applyBorder="1"/>
    <xf numFmtId="0" fontId="2" fillId="0" borderId="40" xfId="0" applyFont="1" applyFill="1" applyBorder="1"/>
    <xf numFmtId="0" fontId="4" fillId="5" borderId="22" xfId="0" applyFont="1" applyFill="1" applyBorder="1" applyAlignment="1">
      <alignment wrapText="1"/>
    </xf>
    <xf numFmtId="0" fontId="4" fillId="5" borderId="26" xfId="0" applyFont="1" applyFill="1" applyBorder="1" applyAlignment="1">
      <alignment horizontal="left" wrapText="1"/>
    </xf>
    <xf numFmtId="0" fontId="4" fillId="0" borderId="41" xfId="0" applyFont="1" applyFill="1" applyBorder="1" applyAlignment="1">
      <alignment horizontal="center"/>
    </xf>
    <xf numFmtId="4" fontId="4" fillId="5" borderId="12" xfId="0" applyNumberFormat="1" applyFont="1" applyFill="1" applyBorder="1"/>
    <xf numFmtId="166" fontId="4" fillId="5" borderId="12" xfId="0" applyNumberFormat="1" applyFont="1" applyFill="1" applyBorder="1"/>
    <xf numFmtId="4" fontId="4" fillId="5" borderId="27" xfId="0" applyNumberFormat="1" applyFont="1" applyFill="1" applyBorder="1"/>
    <xf numFmtId="4" fontId="2" fillId="11" borderId="12" xfId="0" applyNumberFormat="1" applyFont="1" applyFill="1" applyBorder="1"/>
    <xf numFmtId="4" fontId="2" fillId="11" borderId="27" xfId="0" applyNumberFormat="1" applyFont="1" applyFill="1" applyBorder="1"/>
    <xf numFmtId="4" fontId="4" fillId="11" borderId="27" xfId="0" applyNumberFormat="1" applyFont="1" applyFill="1" applyBorder="1"/>
    <xf numFmtId="0" fontId="4" fillId="13" borderId="42" xfId="0" applyFont="1" applyFill="1" applyBorder="1" applyAlignment="1">
      <alignment horizontal="center"/>
    </xf>
    <xf numFmtId="4" fontId="2" fillId="11" borderId="29" xfId="0" applyNumberFormat="1" applyFont="1" applyFill="1" applyBorder="1"/>
    <xf numFmtId="4" fontId="2" fillId="11" borderId="43" xfId="0" applyNumberFormat="1" applyFont="1" applyFill="1" applyBorder="1"/>
    <xf numFmtId="4" fontId="4" fillId="6" borderId="37" xfId="0" applyNumberFormat="1" applyFont="1" applyFill="1" applyBorder="1"/>
    <xf numFmtId="166" fontId="2" fillId="11" borderId="12" xfId="0" applyNumberFormat="1" applyFont="1" applyFill="1" applyBorder="1"/>
    <xf numFmtId="0" fontId="2" fillId="11" borderId="26" xfId="0" applyFont="1" applyFill="1" applyBorder="1" applyAlignment="1">
      <alignment horizontal="left" vertical="top" wrapText="1"/>
    </xf>
    <xf numFmtId="0" fontId="4" fillId="11" borderId="26" xfId="0" applyFont="1" applyFill="1" applyBorder="1" applyAlignment="1">
      <alignment vertical="top" wrapText="1"/>
    </xf>
    <xf numFmtId="0" fontId="4" fillId="5" borderId="26" xfId="0" applyFont="1" applyFill="1" applyBorder="1" applyAlignment="1">
      <alignment vertical="top" wrapText="1"/>
    </xf>
    <xf numFmtId="0" fontId="4" fillId="5" borderId="26" xfId="0" applyFont="1" applyFill="1" applyBorder="1" applyAlignment="1">
      <alignment horizontal="left" vertical="top" wrapText="1"/>
    </xf>
    <xf numFmtId="0" fontId="4" fillId="11" borderId="28" xfId="0" applyFont="1" applyFill="1" applyBorder="1" applyAlignment="1">
      <alignment vertical="top" wrapText="1"/>
    </xf>
    <xf numFmtId="0" fontId="4" fillId="6" borderId="38" xfId="0" applyFont="1" applyFill="1" applyBorder="1" applyAlignment="1">
      <alignment wrapText="1"/>
    </xf>
    <xf numFmtId="0" fontId="2" fillId="11" borderId="26" xfId="0" applyFont="1" applyFill="1" applyBorder="1" applyAlignment="1">
      <alignment horizontal="left" wrapText="1"/>
    </xf>
    <xf numFmtId="0" fontId="0" fillId="0" borderId="15" xfId="0" applyBorder="1" applyAlignment="1">
      <alignment horizontal="left" indent="1"/>
    </xf>
    <xf numFmtId="169" fontId="0" fillId="0" borderId="15" xfId="0" applyNumberFormat="1" applyBorder="1" applyAlignment="1">
      <alignment horizontal="left" indent="1"/>
    </xf>
    <xf numFmtId="166" fontId="4" fillId="5" borderId="17" xfId="0" applyNumberFormat="1" applyFont="1" applyFill="1" applyBorder="1"/>
    <xf numFmtId="166" fontId="2" fillId="9" borderId="12" xfId="0" applyNumberFormat="1" applyFont="1" applyFill="1" applyBorder="1"/>
    <xf numFmtId="166" fontId="2" fillId="11" borderId="10" xfId="0" applyNumberFormat="1" applyFont="1" applyFill="1" applyBorder="1"/>
    <xf numFmtId="166" fontId="4" fillId="7" borderId="29" xfId="0" applyNumberFormat="1" applyFont="1" applyFill="1" applyBorder="1" applyAlignment="1"/>
    <xf numFmtId="166" fontId="4" fillId="5" borderId="25" xfId="0" applyNumberFormat="1" applyFont="1" applyFill="1" applyBorder="1"/>
    <xf numFmtId="166" fontId="2" fillId="11" borderId="27" xfId="0" applyNumberFormat="1" applyFont="1" applyFill="1" applyBorder="1"/>
    <xf numFmtId="166" fontId="4" fillId="5" borderId="27" xfId="0" applyNumberFormat="1" applyFont="1" applyFill="1" applyBorder="1"/>
    <xf numFmtId="166" fontId="4" fillId="11" borderId="27" xfId="0" applyNumberFormat="1" applyFont="1" applyFill="1" applyBorder="1"/>
    <xf numFmtId="166" fontId="2" fillId="11" borderId="11" xfId="0" applyNumberFormat="1" applyFont="1" applyFill="1" applyBorder="1"/>
    <xf numFmtId="166" fontId="4" fillId="7" borderId="43" xfId="0" applyNumberFormat="1" applyFont="1" applyFill="1" applyBorder="1" applyAlignment="1"/>
    <xf numFmtId="167" fontId="3" fillId="10" borderId="12" xfId="1" applyNumberFormat="1" applyFont="1" applyFill="1" applyBorder="1" applyAlignment="1">
      <alignment horizontal="center"/>
    </xf>
    <xf numFmtId="0" fontId="2" fillId="0" borderId="11" xfId="2" applyNumberFormat="1" applyFont="1" applyBorder="1" applyAlignment="1">
      <alignment horizontal="center"/>
    </xf>
    <xf numFmtId="167" fontId="2" fillId="0" borderId="0" xfId="2" applyNumberFormat="1" applyAlignment="1">
      <alignment vertical="top"/>
    </xf>
    <xf numFmtId="167" fontId="2" fillId="0" borderId="0" xfId="2" applyNumberFormat="1" applyFont="1" applyAlignment="1">
      <alignment vertical="top"/>
    </xf>
    <xf numFmtId="0" fontId="2" fillId="0" borderId="0" xfId="4" applyAlignment="1">
      <alignment vertical="top"/>
    </xf>
    <xf numFmtId="168" fontId="4" fillId="6" borderId="12" xfId="2" applyNumberFormat="1" applyFont="1" applyFill="1" applyBorder="1" applyAlignment="1">
      <alignment horizontal="center" vertical="top"/>
    </xf>
    <xf numFmtId="167" fontId="3" fillId="10" borderId="12" xfId="1" applyNumberFormat="1" applyFont="1" applyFill="1" applyBorder="1" applyAlignment="1">
      <alignment horizontal="center" vertical="top"/>
    </xf>
    <xf numFmtId="167" fontId="4" fillId="2" borderId="12" xfId="2" applyNumberFormat="1" applyFont="1" applyFill="1" applyBorder="1" applyAlignment="1">
      <alignment horizontal="center" vertical="top"/>
    </xf>
    <xf numFmtId="166" fontId="4" fillId="5" borderId="13" xfId="2" applyNumberFormat="1" applyFont="1" applyFill="1" applyBorder="1"/>
    <xf numFmtId="166" fontId="4" fillId="9" borderId="13" xfId="2" applyNumberFormat="1" applyFont="1" applyFill="1" applyBorder="1"/>
    <xf numFmtId="166" fontId="4" fillId="5" borderId="12" xfId="2" applyNumberFormat="1" applyFont="1" applyFill="1" applyBorder="1" applyAlignment="1">
      <alignment vertical="top"/>
    </xf>
    <xf numFmtId="166" fontId="4" fillId="9" borderId="12" xfId="2" applyNumberFormat="1" applyFont="1" applyFill="1" applyBorder="1" applyAlignment="1">
      <alignment vertical="top"/>
    </xf>
    <xf numFmtId="167" fontId="23" fillId="14" borderId="12" xfId="2" applyNumberFormat="1" applyFont="1" applyFill="1" applyBorder="1" applyAlignment="1">
      <alignment horizontal="left" vertical="center" wrapText="1"/>
    </xf>
    <xf numFmtId="166" fontId="2" fillId="14" borderId="12" xfId="2" applyNumberFormat="1" applyFont="1" applyFill="1" applyBorder="1"/>
    <xf numFmtId="166" fontId="2" fillId="14" borderId="12" xfId="2" applyNumberFormat="1" applyFont="1" applyFill="1" applyBorder="1" applyAlignment="1">
      <alignment vertical="top"/>
    </xf>
    <xf numFmtId="1" fontId="2" fillId="0" borderId="0" xfId="2" applyNumberFormat="1" applyFont="1" applyBorder="1"/>
    <xf numFmtId="167" fontId="2" fillId="0" borderId="0" xfId="2" applyNumberFormat="1" applyFont="1" applyBorder="1"/>
    <xf numFmtId="167" fontId="2" fillId="0" borderId="13" xfId="2" applyNumberFormat="1" applyFont="1" applyBorder="1"/>
    <xf numFmtId="167" fontId="2" fillId="0" borderId="12" xfId="2" applyNumberFormat="1" applyFont="1" applyBorder="1"/>
    <xf numFmtId="167" fontId="2" fillId="14" borderId="12" xfId="2" applyNumberFormat="1" applyFont="1" applyFill="1" applyBorder="1"/>
    <xf numFmtId="1" fontId="2" fillId="0" borderId="0" xfId="4" applyNumberFormat="1" applyFont="1" applyBorder="1"/>
    <xf numFmtId="0" fontId="23" fillId="14" borderId="12" xfId="2" applyNumberFormat="1" applyFont="1" applyFill="1" applyBorder="1" applyAlignment="1">
      <alignment horizontal="left" wrapText="1"/>
    </xf>
    <xf numFmtId="0" fontId="2" fillId="0" borderId="0" xfId="4" applyFont="1" applyBorder="1"/>
    <xf numFmtId="0" fontId="2" fillId="0" borderId="13" xfId="4" applyFont="1" applyBorder="1"/>
    <xf numFmtId="0" fontId="2" fillId="0" borderId="12" xfId="4" applyFont="1" applyBorder="1"/>
    <xf numFmtId="167" fontId="23" fillId="14" borderId="12" xfId="2" applyNumberFormat="1" applyFont="1" applyFill="1" applyBorder="1" applyAlignment="1">
      <alignment horizontal="left" wrapText="1"/>
    </xf>
    <xf numFmtId="166" fontId="4" fillId="0" borderId="12" xfId="2" applyNumberFormat="1" applyFont="1" applyBorder="1"/>
    <xf numFmtId="166" fontId="4" fillId="2" borderId="12" xfId="2" applyNumberFormat="1" applyFont="1" applyFill="1" applyBorder="1"/>
    <xf numFmtId="166" fontId="4" fillId="0" borderId="12" xfId="2" applyNumberFormat="1" applyFont="1" applyFill="1" applyBorder="1"/>
    <xf numFmtId="166" fontId="4" fillId="5" borderId="12" xfId="2" applyNumberFormat="1" applyFont="1" applyFill="1" applyBorder="1"/>
    <xf numFmtId="0" fontId="0" fillId="0" borderId="14" xfId="0" applyBorder="1"/>
    <xf numFmtId="0" fontId="0" fillId="0" borderId="15" xfId="0" applyBorder="1"/>
    <xf numFmtId="0" fontId="0" fillId="0" borderId="13" xfId="0" applyBorder="1"/>
    <xf numFmtId="0" fontId="11" fillId="0" borderId="0" xfId="4" applyFont="1" applyBorder="1" applyAlignment="1">
      <alignment horizontal="center" vertical="center"/>
    </xf>
    <xf numFmtId="167" fontId="13" fillId="10" borderId="18" xfId="2" applyNumberFormat="1" applyFont="1" applyFill="1" applyBorder="1" applyAlignment="1">
      <alignment horizontal="center" vertical="center"/>
    </xf>
    <xf numFmtId="166" fontId="13" fillId="10" borderId="18" xfId="2" applyNumberFormat="1" applyFont="1" applyFill="1" applyBorder="1" applyAlignment="1">
      <alignment horizontal="center" vertical="center"/>
    </xf>
    <xf numFmtId="0" fontId="11" fillId="0" borderId="13" xfId="4" applyFont="1" applyBorder="1" applyAlignment="1">
      <alignment horizontal="center" vertical="center"/>
    </xf>
    <xf numFmtId="0" fontId="11" fillId="0" borderId="12" xfId="4" applyFont="1" applyBorder="1" applyAlignment="1">
      <alignment horizontal="center" vertical="center"/>
    </xf>
    <xf numFmtId="0" fontId="12" fillId="10" borderId="12" xfId="2" applyNumberFormat="1" applyFont="1" applyFill="1" applyBorder="1" applyAlignment="1">
      <alignment horizontal="left" vertical="center" wrapText="1"/>
    </xf>
    <xf numFmtId="0" fontId="2" fillId="0" borderId="0" xfId="5" applyFill="1"/>
    <xf numFmtId="167" fontId="4" fillId="6" borderId="15" xfId="2" applyNumberFormat="1" applyFont="1" applyFill="1" applyBorder="1" applyAlignment="1">
      <alignment horizontal="center" vertical="center"/>
    </xf>
    <xf numFmtId="0" fontId="4" fillId="7" borderId="12" xfId="4" applyFont="1" applyFill="1" applyBorder="1" applyAlignment="1">
      <alignment horizontal="center" vertical="center" wrapText="1"/>
    </xf>
    <xf numFmtId="170" fontId="0" fillId="0" borderId="0" xfId="0" applyNumberFormat="1"/>
    <xf numFmtId="173" fontId="0" fillId="0" borderId="0" xfId="0" applyNumberFormat="1"/>
    <xf numFmtId="172" fontId="0" fillId="0" borderId="0" xfId="12" applyNumberFormat="1" applyFont="1"/>
    <xf numFmtId="0" fontId="0" fillId="15" borderId="0" xfId="0" applyFill="1"/>
    <xf numFmtId="0" fontId="0" fillId="16" borderId="0" xfId="0" applyFill="1"/>
    <xf numFmtId="10" fontId="0" fillId="0" borderId="0" xfId="0" applyNumberFormat="1"/>
    <xf numFmtId="0" fontId="24" fillId="6" borderId="0" xfId="0" applyFont="1" applyFill="1"/>
    <xf numFmtId="0" fontId="0" fillId="6" borderId="0" xfId="0" applyFill="1"/>
    <xf numFmtId="170" fontId="24" fillId="6" borderId="0" xfId="0" applyNumberFormat="1" applyFont="1" applyFill="1"/>
    <xf numFmtId="4" fontId="0" fillId="0" borderId="0" xfId="0" applyNumberFormat="1"/>
    <xf numFmtId="172" fontId="0" fillId="0" borderId="0" xfId="0" applyNumberFormat="1" applyFill="1"/>
    <xf numFmtId="0" fontId="0" fillId="18" borderId="0" xfId="0" applyFill="1"/>
    <xf numFmtId="166" fontId="4" fillId="0" borderId="0" xfId="0" applyNumberFormat="1" applyFont="1"/>
    <xf numFmtId="0" fontId="0" fillId="0" borderId="0" xfId="0" applyFill="1"/>
    <xf numFmtId="0" fontId="26" fillId="0" borderId="0" xfId="0" applyFont="1" applyFill="1"/>
    <xf numFmtId="166" fontId="26" fillId="0" borderId="0" xfId="1" applyFont="1" applyFill="1"/>
    <xf numFmtId="166" fontId="26" fillId="0" borderId="0" xfId="0" applyNumberFormat="1" applyFont="1" applyFill="1"/>
    <xf numFmtId="172" fontId="24" fillId="6" borderId="0" xfId="0" applyNumberFormat="1" applyFont="1" applyFill="1"/>
    <xf numFmtId="166" fontId="0" fillId="0" borderId="0" xfId="0" applyNumberFormat="1"/>
    <xf numFmtId="43" fontId="0" fillId="0" borderId="0" xfId="0" applyNumberFormat="1"/>
    <xf numFmtId="172" fontId="24" fillId="0" borderId="0" xfId="0" applyNumberFormat="1" applyFont="1" applyFill="1"/>
    <xf numFmtId="0" fontId="24" fillId="0" borderId="0" xfId="0" applyFont="1" applyFill="1"/>
    <xf numFmtId="0" fontId="26" fillId="20" borderId="0" xfId="0" applyFont="1" applyFill="1"/>
    <xf numFmtId="4" fontId="3" fillId="10" borderId="12" xfId="1" applyNumberFormat="1" applyFont="1" applyFill="1" applyBorder="1" applyAlignment="1">
      <alignment horizontal="center"/>
    </xf>
    <xf numFmtId="166" fontId="2" fillId="0" borderId="0" xfId="2" applyNumberFormat="1" applyBorder="1"/>
    <xf numFmtId="166" fontId="2" fillId="0" borderId="0" xfId="2" applyNumberFormat="1" applyFont="1" applyBorder="1" applyAlignment="1">
      <alignment horizontal="center"/>
    </xf>
    <xf numFmtId="166" fontId="2" fillId="0" borderId="0" xfId="2" applyNumberFormat="1" applyBorder="1" applyAlignment="1">
      <alignment horizontal="center"/>
    </xf>
    <xf numFmtId="166" fontId="5" fillId="0" borderId="0" xfId="2" applyNumberFormat="1" applyFont="1" applyBorder="1" applyAlignment="1">
      <alignment horizontal="left"/>
    </xf>
    <xf numFmtId="166" fontId="5" fillId="0" borderId="0" xfId="2" applyNumberFormat="1" applyFont="1" applyFill="1" applyBorder="1" applyAlignment="1">
      <alignment horizontal="left"/>
    </xf>
    <xf numFmtId="166" fontId="3" fillId="10" borderId="12" xfId="1" applyNumberFormat="1" applyFont="1" applyFill="1" applyBorder="1" applyAlignment="1">
      <alignment horizontal="center"/>
    </xf>
    <xf numFmtId="166" fontId="4" fillId="8" borderId="12" xfId="2" applyNumberFormat="1" applyFont="1" applyFill="1" applyBorder="1" applyAlignment="1">
      <alignment horizontal="center"/>
    </xf>
    <xf numFmtId="166" fontId="4" fillId="2" borderId="12" xfId="2" applyNumberFormat="1" applyFont="1" applyFill="1" applyBorder="1" applyAlignment="1">
      <alignment horizontal="center"/>
    </xf>
    <xf numFmtId="166" fontId="4" fillId="2" borderId="12" xfId="4" applyNumberFormat="1" applyFont="1" applyFill="1" applyBorder="1"/>
    <xf numFmtId="166" fontId="2" fillId="0" borderId="0" xfId="2" applyNumberFormat="1"/>
    <xf numFmtId="14" fontId="3" fillId="5" borderId="12" xfId="0" applyNumberFormat="1" applyFont="1" applyFill="1" applyBorder="1" applyAlignment="1">
      <alignment horizontal="center" vertical="center" wrapText="1"/>
    </xf>
    <xf numFmtId="166" fontId="4" fillId="0" borderId="12" xfId="2" applyNumberFormat="1" applyFont="1" applyFill="1" applyBorder="1" applyAlignment="1">
      <alignment vertical="top"/>
    </xf>
    <xf numFmtId="166" fontId="4" fillId="2" borderId="12" xfId="2" applyNumberFormat="1" applyFont="1" applyFill="1" applyBorder="1" applyAlignment="1">
      <alignment vertical="top"/>
    </xf>
    <xf numFmtId="166" fontId="2" fillId="14" borderId="13" xfId="2" applyNumberFormat="1" applyFont="1" applyFill="1" applyBorder="1" applyAlignment="1">
      <alignment vertical="top"/>
    </xf>
    <xf numFmtId="166" fontId="4" fillId="9" borderId="13" xfId="2" applyNumberFormat="1" applyFont="1" applyFill="1" applyBorder="1" applyAlignment="1">
      <alignment vertical="top"/>
    </xf>
    <xf numFmtId="166" fontId="4" fillId="0" borderId="13" xfId="2" applyNumberFormat="1" applyFont="1" applyBorder="1"/>
    <xf numFmtId="166" fontId="4" fillId="2" borderId="13" xfId="2" applyNumberFormat="1" applyFont="1" applyFill="1" applyBorder="1"/>
    <xf numFmtId="166" fontId="4" fillId="2" borderId="13" xfId="4" applyNumberFormat="1" applyFont="1" applyFill="1" applyBorder="1"/>
    <xf numFmtId="166" fontId="2" fillId="0" borderId="0" xfId="2" applyNumberFormat="1" applyFill="1"/>
    <xf numFmtId="166" fontId="2" fillId="0" borderId="0" xfId="2" applyNumberFormat="1" applyAlignment="1">
      <alignment vertical="top"/>
    </xf>
    <xf numFmtId="40" fontId="4" fillId="5" borderId="12" xfId="0" applyNumberFormat="1" applyFont="1" applyFill="1" applyBorder="1"/>
    <xf numFmtId="40" fontId="2" fillId="11" borderId="12" xfId="0" applyNumberFormat="1" applyFont="1" applyFill="1" applyBorder="1"/>
    <xf numFmtId="40" fontId="2" fillId="0" borderId="12" xfId="0" applyNumberFormat="1" applyFont="1" applyFill="1" applyBorder="1"/>
    <xf numFmtId="40" fontId="2" fillId="11" borderId="29" xfId="0" applyNumberFormat="1" applyFont="1" applyFill="1" applyBorder="1"/>
    <xf numFmtId="40" fontId="2" fillId="0" borderId="29" xfId="0" applyNumberFormat="1" applyFont="1" applyFill="1" applyBorder="1"/>
    <xf numFmtId="40" fontId="4" fillId="6" borderId="37" xfId="0" applyNumberFormat="1" applyFont="1" applyFill="1" applyBorder="1"/>
    <xf numFmtId="40" fontId="4" fillId="5" borderId="12" xfId="2" applyNumberFormat="1" applyFont="1" applyFill="1" applyBorder="1"/>
    <xf numFmtId="40" fontId="2" fillId="14" borderId="12" xfId="2" applyNumberFormat="1" applyFont="1" applyFill="1" applyBorder="1"/>
    <xf numFmtId="40" fontId="4" fillId="9" borderId="12" xfId="2" applyNumberFormat="1" applyFont="1" applyFill="1" applyBorder="1"/>
    <xf numFmtId="40" fontId="4" fillId="0" borderId="12" xfId="2" applyNumberFormat="1" applyFont="1" applyBorder="1"/>
    <xf numFmtId="40" fontId="4" fillId="2" borderId="12" xfId="2" applyNumberFormat="1" applyFont="1" applyFill="1" applyBorder="1"/>
    <xf numFmtId="40" fontId="2" fillId="14" borderId="13" xfId="2" applyNumberFormat="1" applyFont="1" applyFill="1" applyBorder="1"/>
    <xf numFmtId="40" fontId="4" fillId="9" borderId="13" xfId="2" applyNumberFormat="1" applyFont="1" applyFill="1" applyBorder="1"/>
    <xf numFmtId="40" fontId="4" fillId="0" borderId="12" xfId="2" applyNumberFormat="1" applyFont="1" applyFill="1" applyBorder="1"/>
    <xf numFmtId="40" fontId="13" fillId="10" borderId="18" xfId="2" applyNumberFormat="1" applyFont="1" applyFill="1" applyBorder="1" applyAlignment="1">
      <alignment horizontal="center" vertical="center"/>
    </xf>
    <xf numFmtId="40" fontId="2" fillId="0" borderId="0" xfId="4" applyNumberFormat="1" applyFont="1"/>
    <xf numFmtId="40" fontId="2" fillId="0" borderId="0" xfId="4" applyNumberFormat="1"/>
    <xf numFmtId="40" fontId="4" fillId="8" borderId="12" xfId="2" applyNumberFormat="1" applyFont="1" applyFill="1" applyBorder="1" applyAlignment="1">
      <alignment horizontal="center"/>
    </xf>
    <xf numFmtId="40" fontId="4" fillId="2" borderId="12" xfId="2" applyNumberFormat="1" applyFont="1" applyFill="1" applyBorder="1" applyAlignment="1">
      <alignment horizontal="center"/>
    </xf>
    <xf numFmtId="0" fontId="0" fillId="0" borderId="0" xfId="0"/>
    <xf numFmtId="166" fontId="2" fillId="14" borderId="13" xfId="2" applyNumberFormat="1" applyFont="1" applyFill="1" applyBorder="1"/>
    <xf numFmtId="166" fontId="2" fillId="14" borderId="12" xfId="2" applyNumberFormat="1" applyFont="1" applyFill="1" applyBorder="1"/>
    <xf numFmtId="9" fontId="0" fillId="0" borderId="0" xfId="0" applyNumberFormat="1"/>
    <xf numFmtId="172" fontId="0" fillId="0" borderId="0" xfId="0" applyNumberFormat="1"/>
    <xf numFmtId="172" fontId="0" fillId="6" borderId="0" xfId="0" applyNumberFormat="1" applyFill="1"/>
    <xf numFmtId="172" fontId="26" fillId="17" borderId="0" xfId="12" applyNumberFormat="1" applyFont="1" applyFill="1"/>
    <xf numFmtId="172" fontId="22" fillId="0" borderId="0" xfId="12" applyNumberFormat="1" applyFont="1"/>
    <xf numFmtId="174" fontId="0" fillId="0" borderId="8" xfId="0" applyNumberFormat="1" applyBorder="1" applyAlignment="1">
      <alignment horizontal="left" indent="1"/>
    </xf>
    <xf numFmtId="0" fontId="31" fillId="21" borderId="0" xfId="0" applyFont="1" applyFill="1" applyAlignment="1">
      <alignment horizontal="left"/>
    </xf>
    <xf numFmtId="172" fontId="24" fillId="21" borderId="0" xfId="12" applyNumberFormat="1" applyFont="1" applyFill="1" applyAlignment="1">
      <alignment horizontal="left"/>
    </xf>
    <xf numFmtId="172" fontId="24" fillId="21" borderId="0" xfId="12" applyNumberFormat="1" applyFont="1" applyFill="1"/>
    <xf numFmtId="0" fontId="30" fillId="19" borderId="0" xfId="0" applyFont="1" applyFill="1"/>
    <xf numFmtId="172" fontId="30" fillId="19" borderId="0" xfId="0" applyNumberFormat="1" applyFont="1" applyFill="1"/>
    <xf numFmtId="0" fontId="2" fillId="0" borderId="0" xfId="2" applyNumberFormat="1" applyFont="1" applyBorder="1" applyAlignment="1">
      <alignment horizontal="center"/>
    </xf>
    <xf numFmtId="9" fontId="0" fillId="0" borderId="0" xfId="19" applyFont="1"/>
    <xf numFmtId="172" fontId="27" fillId="22" borderId="0" xfId="12" applyNumberFormat="1" applyFont="1" applyFill="1"/>
    <xf numFmtId="0" fontId="30" fillId="0" borderId="0" xfId="0" applyFont="1"/>
    <xf numFmtId="170" fontId="30" fillId="0" borderId="0" xfId="0" applyNumberFormat="1" applyFont="1"/>
    <xf numFmtId="173" fontId="30" fillId="0" borderId="0" xfId="0" applyNumberFormat="1" applyFont="1"/>
    <xf numFmtId="9" fontId="30" fillId="0" borderId="0" xfId="0" applyNumberFormat="1" applyFont="1"/>
    <xf numFmtId="9" fontId="30" fillId="0" borderId="0" xfId="19" applyFont="1"/>
    <xf numFmtId="172" fontId="32" fillId="0" borderId="0" xfId="12" applyNumberFormat="1" applyFont="1"/>
    <xf numFmtId="0" fontId="30" fillId="0" borderId="0" xfId="0" applyFont="1" applyFill="1"/>
    <xf numFmtId="0" fontId="30" fillId="6" borderId="0" xfId="0" applyFont="1" applyFill="1"/>
    <xf numFmtId="0" fontId="4" fillId="13" borderId="33" xfId="5" applyFont="1" applyFill="1" applyBorder="1"/>
    <xf numFmtId="172" fontId="1" fillId="0" borderId="0" xfId="12" applyNumberFormat="1" applyFont="1" applyFill="1"/>
    <xf numFmtId="172" fontId="0" fillId="13" borderId="0" xfId="12" applyNumberFormat="1" applyFont="1" applyFill="1"/>
    <xf numFmtId="172" fontId="27" fillId="13" borderId="0" xfId="12" applyNumberFormat="1" applyFont="1" applyFill="1"/>
    <xf numFmtId="0" fontId="4" fillId="7" borderId="12" xfId="4" applyFont="1" applyFill="1" applyBorder="1" applyAlignment="1">
      <alignment horizontal="center" vertical="center" wrapText="1"/>
    </xf>
    <xf numFmtId="164" fontId="2" fillId="0" borderId="12" xfId="6" applyNumberFormat="1" applyFont="1" applyFill="1" applyBorder="1" applyAlignment="1"/>
    <xf numFmtId="167" fontId="4" fillId="0" borderId="0" xfId="2" applyNumberFormat="1" applyFont="1" applyFill="1" applyBorder="1"/>
    <xf numFmtId="0" fontId="0" fillId="0" borderId="0" xfId="0" applyBorder="1"/>
    <xf numFmtId="166" fontId="13" fillId="10" borderId="18" xfId="1" applyFont="1" applyFill="1" applyBorder="1" applyAlignment="1">
      <alignment horizontal="center" vertical="center"/>
    </xf>
    <xf numFmtId="0" fontId="4" fillId="0" borderId="33" xfId="5" applyFont="1" applyFill="1" applyBorder="1"/>
    <xf numFmtId="0" fontId="17" fillId="0" borderId="12" xfId="5" applyFont="1" applyFill="1" applyBorder="1" applyAlignment="1">
      <alignment horizontal="left" vertical="top" wrapText="1"/>
    </xf>
    <xf numFmtId="169" fontId="35" fillId="0" borderId="8" xfId="0" applyNumberFormat="1" applyFont="1" applyBorder="1" applyAlignment="1">
      <alignment horizontal="left" indent="1"/>
    </xf>
    <xf numFmtId="4" fontId="0" fillId="0" borderId="0" xfId="0" applyNumberFormat="1" applyFill="1"/>
    <xf numFmtId="166" fontId="2" fillId="22" borderId="12" xfId="0" applyNumberFormat="1" applyFont="1" applyFill="1" applyBorder="1"/>
    <xf numFmtId="172" fontId="36" fillId="0" borderId="0" xfId="0" applyNumberFormat="1" applyFont="1"/>
    <xf numFmtId="166" fontId="2" fillId="11" borderId="46" xfId="0" applyNumberFormat="1" applyFont="1" applyFill="1" applyBorder="1"/>
    <xf numFmtId="166" fontId="2" fillId="11" borderId="31" xfId="0" applyNumberFormat="1" applyFont="1" applyFill="1" applyBorder="1"/>
    <xf numFmtId="166" fontId="24" fillId="0" borderId="0" xfId="1" applyFont="1" applyFill="1"/>
    <xf numFmtId="172" fontId="32" fillId="0" borderId="0" xfId="12" applyNumberFormat="1" applyFont="1" applyFill="1"/>
    <xf numFmtId="170" fontId="0" fillId="0" borderId="0" xfId="0" applyNumberFormat="1" applyAlignment="1">
      <alignment horizontal="center" vertical="center"/>
    </xf>
    <xf numFmtId="170" fontId="30" fillId="0" borderId="0" xfId="0" applyNumberFormat="1" applyFont="1" applyAlignment="1">
      <alignment horizontal="center" vertical="center"/>
    </xf>
    <xf numFmtId="0" fontId="24" fillId="6" borderId="0" xfId="0" applyFont="1" applyFill="1" applyAlignment="1">
      <alignment horizontal="center" vertical="center"/>
    </xf>
    <xf numFmtId="49" fontId="24" fillId="6" borderId="0" xfId="0" applyNumberFormat="1" applyFont="1" applyFill="1" applyAlignment="1">
      <alignment horizontal="center" vertical="center"/>
    </xf>
    <xf numFmtId="166" fontId="0" fillId="0" borderId="0" xfId="1" applyFont="1"/>
    <xf numFmtId="166" fontId="30" fillId="0" borderId="0" xfId="1" applyFont="1" applyFill="1"/>
    <xf numFmtId="166" fontId="4" fillId="5" borderId="13" xfId="1" applyFont="1" applyFill="1" applyBorder="1"/>
    <xf numFmtId="0" fontId="4" fillId="7" borderId="12" xfId="4" applyFont="1" applyFill="1" applyBorder="1" applyAlignment="1">
      <alignment horizontal="center" vertical="center" wrapText="1"/>
    </xf>
    <xf numFmtId="0" fontId="4" fillId="7" borderId="12" xfId="4" applyFont="1" applyFill="1" applyBorder="1" applyAlignment="1">
      <alignment horizontal="center" vertical="center" wrapText="1"/>
    </xf>
    <xf numFmtId="0" fontId="0" fillId="0" borderId="0" xfId="0" applyAlignment="1">
      <alignment horizontal="center"/>
    </xf>
    <xf numFmtId="170" fontId="24" fillId="6" borderId="0" xfId="0" applyNumberFormat="1" applyFont="1" applyFill="1" applyAlignment="1">
      <alignment horizontal="center"/>
    </xf>
    <xf numFmtId="0" fontId="30" fillId="0" borderId="0" xfId="0" applyFont="1" applyAlignment="1">
      <alignment horizontal="center"/>
    </xf>
    <xf numFmtId="0" fontId="0" fillId="14" borderId="0" xfId="0" applyFill="1" applyAlignment="1">
      <alignment horizontal="center"/>
    </xf>
    <xf numFmtId="49" fontId="0" fillId="0" borderId="0" xfId="0" applyNumberFormat="1" applyAlignment="1">
      <alignment horizontal="center"/>
    </xf>
    <xf numFmtId="0" fontId="24" fillId="6" borderId="0" xfId="0" applyFont="1" applyFill="1" applyAlignment="1">
      <alignment horizontal="center"/>
    </xf>
    <xf numFmtId="6" fontId="0" fillId="6" borderId="0" xfId="0" applyNumberFormat="1" applyFill="1" applyAlignment="1">
      <alignment horizontal="center"/>
    </xf>
    <xf numFmtId="165" fontId="0" fillId="0" borderId="0" xfId="0" applyNumberFormat="1"/>
    <xf numFmtId="0" fontId="30" fillId="0" borderId="0" xfId="20" applyFont="1" applyFill="1"/>
    <xf numFmtId="9" fontId="30" fillId="0" borderId="0" xfId="20" applyNumberFormat="1" applyFont="1" applyFill="1" applyAlignment="1">
      <alignment vertical="center"/>
    </xf>
    <xf numFmtId="172" fontId="30" fillId="0" borderId="0" xfId="20" applyNumberFormat="1" applyFont="1" applyFill="1"/>
    <xf numFmtId="172" fontId="30" fillId="0" borderId="0" xfId="0" applyNumberFormat="1" applyFont="1" applyFill="1"/>
    <xf numFmtId="6" fontId="0" fillId="0" borderId="0" xfId="0" applyNumberFormat="1" applyAlignment="1">
      <alignment horizontal="center"/>
    </xf>
    <xf numFmtId="167" fontId="4" fillId="8" borderId="12" xfId="2" applyNumberFormat="1" applyFont="1" applyFill="1" applyBorder="1" applyAlignment="1">
      <alignment horizontal="center" vertical="center"/>
    </xf>
    <xf numFmtId="0" fontId="0" fillId="0" borderId="0" xfId="0" applyAlignment="1">
      <alignment vertical="center"/>
    </xf>
    <xf numFmtId="166" fontId="0" fillId="0" borderId="0" xfId="1" applyFont="1" applyAlignment="1">
      <alignment vertical="center"/>
    </xf>
    <xf numFmtId="49" fontId="0" fillId="0" borderId="12" xfId="0" applyNumberFormat="1" applyBorder="1"/>
    <xf numFmtId="0" fontId="0" fillId="0" borderId="12" xfId="0" applyBorder="1"/>
    <xf numFmtId="166" fontId="0" fillId="0" borderId="12" xfId="1" applyFont="1" applyBorder="1"/>
    <xf numFmtId="0" fontId="0" fillId="24" borderId="12" xfId="0" applyFill="1" applyBorder="1" applyAlignment="1">
      <alignment vertical="center" wrapText="1"/>
    </xf>
    <xf numFmtId="166" fontId="0" fillId="24" borderId="12" xfId="1" applyFont="1" applyFill="1" applyBorder="1" applyAlignment="1">
      <alignment vertical="center" wrapText="1"/>
    </xf>
    <xf numFmtId="166" fontId="2" fillId="14" borderId="13" xfId="1" applyFont="1" applyFill="1" applyBorder="1"/>
    <xf numFmtId="49" fontId="30" fillId="0" borderId="0" xfId="20" applyNumberFormat="1" applyFont="1" applyFill="1"/>
    <xf numFmtId="0" fontId="0" fillId="25" borderId="0" xfId="0" applyFill="1"/>
    <xf numFmtId="166" fontId="0" fillId="0" borderId="0" xfId="1" applyFont="1" applyFill="1"/>
    <xf numFmtId="0" fontId="4" fillId="0" borderId="47" xfId="0" applyFont="1" applyFill="1" applyBorder="1" applyAlignment="1">
      <alignment horizontal="center"/>
    </xf>
    <xf numFmtId="40" fontId="2" fillId="0" borderId="14" xfId="0" applyNumberFormat="1" applyFont="1" applyFill="1" applyBorder="1"/>
    <xf numFmtId="40" fontId="2" fillId="0" borderId="48" xfId="0" applyNumberFormat="1" applyFont="1" applyFill="1" applyBorder="1"/>
    <xf numFmtId="0" fontId="4" fillId="7" borderId="12" xfId="4" applyFont="1" applyFill="1" applyBorder="1" applyAlignment="1">
      <alignment horizontal="center" vertical="center" wrapText="1"/>
    </xf>
    <xf numFmtId="6" fontId="24" fillId="6" borderId="0" xfId="0" applyNumberFormat="1" applyFont="1" applyFill="1" applyAlignment="1">
      <alignment horizontal="center"/>
    </xf>
    <xf numFmtId="166" fontId="2" fillId="14" borderId="12" xfId="1" applyFont="1" applyFill="1" applyBorder="1"/>
    <xf numFmtId="166" fontId="30" fillId="26" borderId="0" xfId="20" applyNumberFormat="1" applyFont="1" applyFill="1"/>
    <xf numFmtId="166" fontId="30" fillId="26" borderId="0" xfId="1" applyFont="1" applyFill="1"/>
    <xf numFmtId="172" fontId="30" fillId="0" borderId="0" xfId="20" applyNumberFormat="1" applyFont="1" applyFill="1" applyBorder="1"/>
    <xf numFmtId="0" fontId="31" fillId="0" borderId="0" xfId="0" applyFont="1" applyFill="1" applyAlignment="1">
      <alignment horizontal="left"/>
    </xf>
    <xf numFmtId="172" fontId="24" fillId="0" borderId="0" xfId="12" applyNumberFormat="1" applyFont="1" applyFill="1" applyAlignment="1">
      <alignment horizontal="left"/>
    </xf>
    <xf numFmtId="172" fontId="24" fillId="0" borderId="0" xfId="12" applyNumberFormat="1" applyFont="1" applyFill="1"/>
    <xf numFmtId="166" fontId="0" fillId="0" borderId="0" xfId="0" applyNumberFormat="1" applyFill="1"/>
    <xf numFmtId="172" fontId="30" fillId="27" borderId="0" xfId="20" applyNumberFormat="1" applyFont="1" applyFill="1"/>
    <xf numFmtId="0" fontId="30" fillId="27" borderId="0" xfId="0" applyFont="1" applyFill="1"/>
    <xf numFmtId="172" fontId="0" fillId="27" borderId="0" xfId="0" applyNumberFormat="1" applyFill="1"/>
    <xf numFmtId="0" fontId="0" fillId="27" borderId="0" xfId="0" applyFill="1"/>
    <xf numFmtId="166" fontId="0" fillId="27" borderId="0" xfId="1" applyFont="1" applyFill="1"/>
    <xf numFmtId="43" fontId="0" fillId="27" borderId="0" xfId="0" applyNumberFormat="1" applyFill="1"/>
    <xf numFmtId="0" fontId="0" fillId="26" borderId="0" xfId="0" applyFill="1"/>
    <xf numFmtId="0" fontId="30" fillId="26" borderId="0" xfId="20" applyFont="1" applyFill="1"/>
    <xf numFmtId="9" fontId="30" fillId="26" borderId="0" xfId="20" applyNumberFormat="1" applyFont="1" applyFill="1"/>
    <xf numFmtId="172" fontId="30" fillId="26" borderId="0" xfId="20" applyNumberFormat="1" applyFont="1" applyFill="1"/>
    <xf numFmtId="172" fontId="30" fillId="26" borderId="0" xfId="20" applyNumberFormat="1" applyFont="1" applyFill="1" applyBorder="1"/>
    <xf numFmtId="9" fontId="30" fillId="26" borderId="0" xfId="20" applyNumberFormat="1" applyFont="1" applyFill="1" applyAlignment="1">
      <alignment vertical="center"/>
    </xf>
    <xf numFmtId="0" fontId="30" fillId="26" borderId="0" xfId="20" applyFont="1" applyFill="1" applyAlignment="1">
      <alignment vertical="center"/>
    </xf>
    <xf numFmtId="166" fontId="30" fillId="26" borderId="0" xfId="20" applyNumberFormat="1" applyFont="1" applyFill="1" applyAlignment="1">
      <alignment vertical="center"/>
    </xf>
    <xf numFmtId="175" fontId="30" fillId="26" borderId="0" xfId="20" applyNumberFormat="1" applyFont="1" applyFill="1" applyBorder="1"/>
    <xf numFmtId="0" fontId="0" fillId="28" borderId="0" xfId="0" applyFill="1"/>
    <xf numFmtId="166" fontId="0" fillId="28" borderId="0" xfId="1" applyFont="1" applyFill="1"/>
    <xf numFmtId="172" fontId="0" fillId="28" borderId="0" xfId="12" applyNumberFormat="1" applyFont="1" applyFill="1"/>
    <xf numFmtId="166" fontId="2" fillId="0" borderId="0" xfId="1" applyFont="1"/>
    <xf numFmtId="166" fontId="4" fillId="9" borderId="13" xfId="1" applyFont="1" applyFill="1" applyBorder="1"/>
    <xf numFmtId="166" fontId="4" fillId="5" borderId="12" xfId="1" applyFont="1" applyFill="1" applyBorder="1"/>
    <xf numFmtId="166" fontId="26" fillId="28" borderId="0" xfId="1" applyFont="1" applyFill="1"/>
    <xf numFmtId="166" fontId="0" fillId="14" borderId="0" xfId="1" applyFont="1" applyFill="1"/>
    <xf numFmtId="166" fontId="0" fillId="14" borderId="0" xfId="0" applyNumberFormat="1" applyFill="1"/>
    <xf numFmtId="43" fontId="0" fillId="14" borderId="0" xfId="0" applyNumberFormat="1" applyFill="1"/>
    <xf numFmtId="172" fontId="30" fillId="27" borderId="0" xfId="20" applyNumberFormat="1" applyFont="1" applyFill="1" applyBorder="1"/>
    <xf numFmtId="166" fontId="0" fillId="27" borderId="0" xfId="0" applyNumberFormat="1" applyFill="1"/>
    <xf numFmtId="0" fontId="0" fillId="30" borderId="0" xfId="0" applyFill="1"/>
    <xf numFmtId="0" fontId="30" fillId="30" borderId="0" xfId="0" applyFont="1" applyFill="1"/>
    <xf numFmtId="0" fontId="30" fillId="30" borderId="0" xfId="20" applyFont="1" applyFill="1"/>
    <xf numFmtId="166" fontId="30" fillId="30" borderId="0" xfId="20" applyNumberFormat="1" applyFont="1" applyFill="1"/>
    <xf numFmtId="9" fontId="30" fillId="30" borderId="0" xfId="20" applyNumberFormat="1" applyFont="1" applyFill="1" applyAlignment="1">
      <alignment vertical="center"/>
    </xf>
    <xf numFmtId="9" fontId="30" fillId="30" borderId="0" xfId="20" applyNumberFormat="1" applyFont="1" applyFill="1"/>
    <xf numFmtId="172" fontId="30" fillId="30" borderId="0" xfId="20" applyNumberFormat="1" applyFont="1" applyFill="1"/>
    <xf numFmtId="166" fontId="30" fillId="30" borderId="0" xfId="1" applyFont="1" applyFill="1"/>
    <xf numFmtId="172" fontId="30" fillId="30" borderId="0" xfId="20" applyNumberFormat="1" applyFont="1" applyFill="1" applyBorder="1"/>
    <xf numFmtId="0" fontId="0" fillId="31" borderId="31" xfId="0" applyFill="1" applyBorder="1"/>
    <xf numFmtId="0" fontId="0" fillId="31" borderId="49" xfId="0" applyFill="1" applyBorder="1"/>
    <xf numFmtId="0" fontId="30" fillId="31" borderId="49" xfId="20" applyFont="1" applyFill="1" applyBorder="1"/>
    <xf numFmtId="166" fontId="31" fillId="31" borderId="49" xfId="20" applyNumberFormat="1" applyFont="1" applyFill="1" applyBorder="1"/>
    <xf numFmtId="0" fontId="31" fillId="31" borderId="49" xfId="20" applyFont="1" applyFill="1" applyBorder="1" applyAlignment="1">
      <alignment horizontal="center" vertical="center"/>
    </xf>
    <xf numFmtId="9" fontId="30" fillId="31" borderId="49" xfId="20" applyNumberFormat="1" applyFont="1" applyFill="1" applyBorder="1" applyAlignment="1">
      <alignment vertical="center"/>
    </xf>
    <xf numFmtId="9" fontId="30" fillId="31" borderId="49" xfId="20" applyNumberFormat="1" applyFont="1" applyFill="1" applyBorder="1"/>
    <xf numFmtId="9" fontId="30" fillId="31" borderId="49" xfId="19" applyFont="1" applyFill="1" applyBorder="1" applyAlignment="1">
      <alignment vertical="center"/>
    </xf>
    <xf numFmtId="172" fontId="30" fillId="31" borderId="49" xfId="20" applyNumberFormat="1" applyFont="1" applyFill="1" applyBorder="1"/>
    <xf numFmtId="166" fontId="30" fillId="31" borderId="49" xfId="20" applyNumberFormat="1" applyFont="1" applyFill="1" applyBorder="1"/>
    <xf numFmtId="166" fontId="30" fillId="31" borderId="49" xfId="1" applyFont="1" applyFill="1" applyBorder="1"/>
    <xf numFmtId="172" fontId="30" fillId="31" borderId="0" xfId="20" applyNumberFormat="1" applyFont="1" applyFill="1" applyBorder="1"/>
    <xf numFmtId="0" fontId="0" fillId="31" borderId="33" xfId="0" applyFill="1" applyBorder="1"/>
    <xf numFmtId="0" fontId="0" fillId="31" borderId="0" xfId="0" applyFill="1" applyBorder="1"/>
    <xf numFmtId="0" fontId="30" fillId="31" borderId="0" xfId="20" applyFont="1" applyFill="1" applyBorder="1"/>
    <xf numFmtId="166" fontId="31" fillId="31" borderId="0" xfId="20" applyNumberFormat="1" applyFont="1" applyFill="1" applyBorder="1"/>
    <xf numFmtId="0" fontId="31" fillId="31" borderId="0" xfId="20" applyFont="1" applyFill="1" applyBorder="1" applyAlignment="1">
      <alignment horizontal="center" vertical="center"/>
    </xf>
    <xf numFmtId="9" fontId="30" fillId="31" borderId="0" xfId="20" applyNumberFormat="1" applyFont="1" applyFill="1" applyBorder="1" applyAlignment="1">
      <alignment vertical="center"/>
    </xf>
    <xf numFmtId="9" fontId="0" fillId="31" borderId="0" xfId="19" applyFont="1" applyFill="1"/>
    <xf numFmtId="9" fontId="30" fillId="31" borderId="0" xfId="20" applyNumberFormat="1" applyFont="1" applyFill="1" applyBorder="1"/>
    <xf numFmtId="166" fontId="30" fillId="31" borderId="0" xfId="20" applyNumberFormat="1" applyFont="1" applyFill="1" applyBorder="1"/>
    <xf numFmtId="166" fontId="30" fillId="31" borderId="0" xfId="1" applyFont="1" applyFill="1" applyBorder="1"/>
    <xf numFmtId="0" fontId="0" fillId="31" borderId="35" xfId="0" applyFill="1" applyBorder="1"/>
    <xf numFmtId="0" fontId="0" fillId="31" borderId="23" xfId="0" applyFill="1" applyBorder="1"/>
    <xf numFmtId="0" fontId="30" fillId="31" borderId="23" xfId="20" applyFont="1" applyFill="1" applyBorder="1"/>
    <xf numFmtId="166" fontId="31" fillId="31" borderId="23" xfId="20" applyNumberFormat="1" applyFont="1" applyFill="1" applyBorder="1"/>
    <xf numFmtId="0" fontId="31" fillId="31" borderId="23" xfId="20" applyFont="1" applyFill="1" applyBorder="1" applyAlignment="1">
      <alignment horizontal="center" vertical="center"/>
    </xf>
    <xf numFmtId="9" fontId="30" fillId="31" borderId="23" xfId="20" applyNumberFormat="1" applyFont="1" applyFill="1" applyBorder="1" applyAlignment="1">
      <alignment vertical="center"/>
    </xf>
    <xf numFmtId="9" fontId="30" fillId="31" borderId="23" xfId="20" applyNumberFormat="1" applyFont="1" applyFill="1" applyBorder="1"/>
    <xf numFmtId="172" fontId="30" fillId="31" borderId="23" xfId="20" applyNumberFormat="1" applyFont="1" applyFill="1" applyBorder="1"/>
    <xf numFmtId="166" fontId="30" fillId="31" borderId="23" xfId="1" applyFont="1" applyFill="1" applyBorder="1"/>
    <xf numFmtId="0" fontId="0" fillId="31" borderId="0" xfId="0" applyFill="1"/>
    <xf numFmtId="0" fontId="30" fillId="31" borderId="0" xfId="20" applyFont="1" applyFill="1"/>
    <xf numFmtId="166" fontId="30" fillId="31" borderId="0" xfId="20" applyNumberFormat="1" applyFont="1" applyFill="1"/>
    <xf numFmtId="0" fontId="30" fillId="31" borderId="0" xfId="20" applyFont="1" applyFill="1" applyAlignment="1">
      <alignment horizontal="center" vertical="center"/>
    </xf>
    <xf numFmtId="9" fontId="30" fillId="31" borderId="0" xfId="20" applyNumberFormat="1" applyFont="1" applyFill="1" applyAlignment="1">
      <alignment vertical="center"/>
    </xf>
    <xf numFmtId="9" fontId="30" fillId="31" borderId="0" xfId="20" applyNumberFormat="1" applyFont="1" applyFill="1"/>
    <xf numFmtId="166" fontId="30" fillId="31" borderId="0" xfId="1" applyFont="1" applyFill="1"/>
    <xf numFmtId="172" fontId="30" fillId="31" borderId="0" xfId="20" applyNumberFormat="1" applyFont="1" applyFill="1"/>
    <xf numFmtId="0" fontId="30" fillId="31" borderId="0" xfId="20" applyFont="1" applyFill="1" applyAlignment="1">
      <alignment vertical="center"/>
    </xf>
    <xf numFmtId="9" fontId="30" fillId="31" borderId="0" xfId="19" applyFont="1" applyFill="1" applyAlignment="1">
      <alignment vertical="center"/>
    </xf>
    <xf numFmtId="166" fontId="1" fillId="31" borderId="0" xfId="20" applyNumberFormat="1" applyFont="1" applyFill="1"/>
    <xf numFmtId="0" fontId="30" fillId="31" borderId="0" xfId="20" applyFont="1" applyFill="1" applyAlignment="1">
      <alignment wrapText="1"/>
    </xf>
    <xf numFmtId="173" fontId="30" fillId="31" borderId="0" xfId="20" applyNumberFormat="1" applyFont="1" applyFill="1" applyAlignment="1">
      <alignment vertical="center"/>
    </xf>
    <xf numFmtId="9" fontId="30" fillId="31" borderId="0" xfId="19" applyFont="1" applyFill="1" applyBorder="1" applyAlignment="1">
      <alignment vertical="center"/>
    </xf>
    <xf numFmtId="166" fontId="30" fillId="31" borderId="0" xfId="20" applyNumberFormat="1" applyFont="1" applyFill="1" applyAlignment="1">
      <alignment vertical="center"/>
    </xf>
    <xf numFmtId="175" fontId="30" fillId="31" borderId="0" xfId="20" applyNumberFormat="1" applyFont="1" applyFill="1" applyBorder="1"/>
    <xf numFmtId="166" fontId="0" fillId="31" borderId="0" xfId="1" applyFont="1" applyFill="1"/>
    <xf numFmtId="166" fontId="30" fillId="31" borderId="0" xfId="20" applyNumberFormat="1" applyFont="1" applyFill="1" applyAlignment="1">
      <alignment horizontal="center" vertical="center"/>
    </xf>
    <xf numFmtId="0" fontId="30" fillId="30" borderId="0" xfId="20" applyFont="1" applyFill="1" applyAlignment="1">
      <alignment vertical="center"/>
    </xf>
    <xf numFmtId="173" fontId="30" fillId="30" borderId="0" xfId="20" applyNumberFormat="1" applyFont="1" applyFill="1" applyAlignment="1">
      <alignment vertical="center"/>
    </xf>
    <xf numFmtId="166" fontId="30" fillId="30" borderId="0" xfId="20" applyNumberFormat="1" applyFont="1" applyFill="1" applyAlignment="1">
      <alignment vertical="center"/>
    </xf>
    <xf numFmtId="9" fontId="30" fillId="30" borderId="0" xfId="19" applyFont="1" applyFill="1" applyAlignment="1">
      <alignment vertical="center"/>
    </xf>
    <xf numFmtId="172" fontId="30" fillId="30" borderId="0" xfId="0" applyNumberFormat="1" applyFont="1" applyFill="1"/>
    <xf numFmtId="165" fontId="30" fillId="30" borderId="0" xfId="20" applyNumberFormat="1" applyFont="1" applyFill="1"/>
    <xf numFmtId="10" fontId="30" fillId="30" borderId="0" xfId="20" applyNumberFormat="1" applyFont="1" applyFill="1" applyAlignment="1">
      <alignment vertical="center"/>
    </xf>
    <xf numFmtId="10" fontId="30" fillId="30" borderId="0" xfId="20" applyNumberFormat="1" applyFont="1" applyFill="1"/>
    <xf numFmtId="0" fontId="0" fillId="27" borderId="0" xfId="0" applyFont="1" applyFill="1"/>
    <xf numFmtId="0" fontId="30" fillId="27" borderId="0" xfId="20" applyFont="1" applyFill="1"/>
    <xf numFmtId="166" fontId="30" fillId="27" borderId="0" xfId="20" applyNumberFormat="1" applyFont="1" applyFill="1"/>
    <xf numFmtId="9" fontId="30" fillId="27" borderId="0" xfId="20" applyNumberFormat="1" applyFont="1" applyFill="1" applyAlignment="1">
      <alignment vertical="center"/>
    </xf>
    <xf numFmtId="0" fontId="30" fillId="27" borderId="0" xfId="20" applyFont="1" applyFill="1" applyAlignment="1">
      <alignment vertical="center"/>
    </xf>
    <xf numFmtId="9" fontId="30" fillId="27" borderId="0" xfId="20" applyNumberFormat="1" applyFont="1" applyFill="1"/>
    <xf numFmtId="9" fontId="30" fillId="27" borderId="0" xfId="20" applyNumberFormat="1" applyFont="1" applyFill="1" applyBorder="1" applyAlignment="1">
      <alignment vertical="center"/>
    </xf>
    <xf numFmtId="166" fontId="30" fillId="27" borderId="0" xfId="1" applyFont="1" applyFill="1"/>
    <xf numFmtId="0" fontId="0" fillId="26" borderId="0" xfId="0" applyFont="1" applyFill="1"/>
    <xf numFmtId="10" fontId="30" fillId="26" borderId="0" xfId="20" applyNumberFormat="1" applyFont="1" applyFill="1" applyAlignment="1">
      <alignment vertical="center"/>
    </xf>
    <xf numFmtId="9" fontId="30" fillId="26" borderId="0" xfId="19" applyFont="1" applyFill="1" applyAlignment="1">
      <alignment vertical="center"/>
    </xf>
    <xf numFmtId="10" fontId="30" fillId="26" borderId="0" xfId="20" applyNumberFormat="1" applyFont="1" applyFill="1"/>
    <xf numFmtId="172" fontId="30" fillId="26" borderId="0" xfId="20" applyNumberFormat="1" applyFont="1" applyFill="1" applyAlignment="1">
      <alignment vertical="center"/>
    </xf>
    <xf numFmtId="176" fontId="30" fillId="26" borderId="0" xfId="20" applyNumberFormat="1" applyFont="1" applyFill="1" applyBorder="1"/>
    <xf numFmtId="0" fontId="26" fillId="26" borderId="0" xfId="0" applyFont="1" applyFill="1"/>
    <xf numFmtId="0" fontId="28" fillId="26" borderId="0" xfId="20" applyFont="1" applyFill="1"/>
    <xf numFmtId="177" fontId="30" fillId="26" borderId="0" xfId="20" applyNumberFormat="1" applyFont="1" applyFill="1" applyBorder="1"/>
    <xf numFmtId="165" fontId="30" fillId="26" borderId="0" xfId="20" applyNumberFormat="1" applyFont="1" applyFill="1"/>
    <xf numFmtId="166" fontId="37" fillId="26" borderId="0" xfId="1" applyFont="1" applyFill="1"/>
    <xf numFmtId="0" fontId="37" fillId="26" borderId="0" xfId="20" applyFill="1"/>
    <xf numFmtId="166" fontId="37" fillId="26" borderId="0" xfId="20" applyNumberFormat="1" applyFill="1"/>
    <xf numFmtId="172" fontId="37" fillId="26" borderId="0" xfId="20" applyNumberFormat="1" applyFill="1"/>
    <xf numFmtId="165" fontId="30" fillId="26" borderId="0" xfId="20" applyNumberFormat="1" applyFont="1" applyFill="1" applyBorder="1"/>
    <xf numFmtId="0" fontId="2" fillId="0" borderId="0" xfId="4" applyFont="1" applyAlignment="1">
      <alignment horizontal="left" wrapText="1"/>
    </xf>
    <xf numFmtId="168" fontId="4" fillId="7" borderId="12" xfId="2" applyNumberFormat="1" applyFont="1" applyFill="1" applyBorder="1" applyAlignment="1">
      <alignment horizontal="center" vertical="top" wrapText="1"/>
    </xf>
    <xf numFmtId="167" fontId="6" fillId="2" borderId="12" xfId="3" applyNumberFormat="1" applyFont="1" applyFill="1" applyBorder="1" applyAlignment="1">
      <alignment horizontal="center" vertical="center" wrapText="1"/>
    </xf>
    <xf numFmtId="0" fontId="4" fillId="7" borderId="12" xfId="4" applyFont="1" applyFill="1" applyBorder="1" applyAlignment="1">
      <alignment horizontal="center" vertical="top" wrapText="1"/>
    </xf>
    <xf numFmtId="49" fontId="4" fillId="7" borderId="46" xfId="0" applyNumberFormat="1" applyFont="1" applyFill="1" applyBorder="1" applyAlignment="1">
      <alignment horizontal="center" vertical="center" wrapText="1"/>
    </xf>
    <xf numFmtId="49" fontId="4" fillId="7" borderId="17" xfId="0" applyNumberFormat="1" applyFont="1" applyFill="1" applyBorder="1" applyAlignment="1">
      <alignment horizontal="center" vertical="center" wrapText="1"/>
    </xf>
    <xf numFmtId="166" fontId="3" fillId="5" borderId="12" xfId="0" applyNumberFormat="1" applyFont="1" applyFill="1" applyBorder="1" applyAlignment="1">
      <alignment horizontal="center" vertical="center" wrapText="1"/>
    </xf>
    <xf numFmtId="4" fontId="3" fillId="5" borderId="12" xfId="0" applyNumberFormat="1" applyFont="1" applyFill="1" applyBorder="1" applyAlignment="1">
      <alignment horizontal="center" vertical="center" wrapText="1"/>
    </xf>
    <xf numFmtId="168" fontId="4" fillId="7" borderId="12" xfId="2" applyNumberFormat="1" applyFont="1" applyFill="1" applyBorder="1" applyAlignment="1">
      <alignment horizontal="center" vertical="center" wrapText="1"/>
    </xf>
    <xf numFmtId="49" fontId="3" fillId="7" borderId="12" xfId="0" applyNumberFormat="1" applyFont="1" applyFill="1" applyBorder="1" applyAlignment="1">
      <alignment horizontal="center" vertical="center" wrapText="1"/>
    </xf>
    <xf numFmtId="0" fontId="4" fillId="7" borderId="12" xfId="4" applyFont="1" applyFill="1" applyBorder="1" applyAlignment="1">
      <alignment horizontal="center" vertical="center" wrapText="1"/>
    </xf>
    <xf numFmtId="166" fontId="3" fillId="5" borderId="14" xfId="0" applyNumberFormat="1" applyFont="1" applyFill="1" applyBorder="1" applyAlignment="1">
      <alignment horizontal="center" vertical="center" wrapText="1"/>
    </xf>
    <xf numFmtId="166" fontId="3" fillId="5" borderId="15" xfId="0" applyNumberFormat="1" applyFont="1" applyFill="1" applyBorder="1" applyAlignment="1">
      <alignment horizontal="center" vertical="center" wrapText="1"/>
    </xf>
    <xf numFmtId="166" fontId="3" fillId="5" borderId="13" xfId="0" applyNumberFormat="1"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49" fontId="3" fillId="5" borderId="15" xfId="0" applyNumberFormat="1"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21" xfId="0" applyFont="1" applyFill="1" applyBorder="1" applyAlignment="1">
      <alignment horizontal="center" vertical="center"/>
    </xf>
    <xf numFmtId="0" fontId="18" fillId="7" borderId="40" xfId="0" applyFont="1" applyFill="1" applyBorder="1" applyAlignment="1">
      <alignment vertical="center" wrapText="1"/>
    </xf>
    <xf numFmtId="0" fontId="0" fillId="7" borderId="44" xfId="0" applyFill="1" applyBorder="1" applyAlignment="1"/>
    <xf numFmtId="0" fontId="0" fillId="7" borderId="45" xfId="0" applyFill="1" applyBorder="1" applyAlignment="1"/>
    <xf numFmtId="0" fontId="4" fillId="7" borderId="30" xfId="0" applyFont="1" applyFill="1" applyBorder="1" applyAlignment="1">
      <alignment horizontal="center" vertical="center" wrapText="1"/>
    </xf>
    <xf numFmtId="0" fontId="22" fillId="0" borderId="39" xfId="0" applyFont="1" applyBorder="1" applyAlignment="1">
      <alignment horizontal="center" vertical="center"/>
    </xf>
    <xf numFmtId="0" fontId="4" fillId="0" borderId="33" xfId="5" applyFont="1" applyBorder="1"/>
    <xf numFmtId="0" fontId="4" fillId="0" borderId="34" xfId="5" applyFont="1" applyBorder="1"/>
    <xf numFmtId="0" fontId="4" fillId="0" borderId="31" xfId="5" applyFont="1" applyFill="1" applyBorder="1" applyAlignment="1"/>
    <xf numFmtId="0" fontId="4" fillId="0" borderId="32" xfId="5" applyFont="1" applyFill="1" applyBorder="1" applyAlignment="1"/>
    <xf numFmtId="0" fontId="19" fillId="0" borderId="9" xfId="5" applyFont="1" applyFill="1" applyBorder="1" applyAlignment="1">
      <alignment horizontal="center"/>
    </xf>
    <xf numFmtId="0" fontId="19" fillId="0" borderId="11" xfId="5" applyFont="1" applyFill="1" applyBorder="1" applyAlignment="1">
      <alignment horizontal="center"/>
    </xf>
    <xf numFmtId="0" fontId="4" fillId="7" borderId="14" xfId="5" applyFont="1" applyFill="1" applyBorder="1" applyAlignment="1">
      <alignment wrapText="1"/>
    </xf>
    <xf numFmtId="0" fontId="4" fillId="7" borderId="13" xfId="5" applyFont="1" applyFill="1" applyBorder="1" applyAlignment="1">
      <alignment wrapText="1"/>
    </xf>
    <xf numFmtId="0" fontId="4" fillId="7" borderId="12" xfId="5" applyFont="1" applyFill="1" applyBorder="1" applyAlignment="1">
      <alignment vertical="center" wrapText="1"/>
    </xf>
    <xf numFmtId="0" fontId="2" fillId="7" borderId="12" xfId="5" applyFill="1" applyBorder="1" applyAlignment="1">
      <alignment vertical="center" wrapText="1"/>
    </xf>
    <xf numFmtId="0" fontId="26" fillId="28" borderId="0" xfId="0" applyFont="1" applyFill="1" applyAlignment="1">
      <alignment horizontal="left"/>
    </xf>
    <xf numFmtId="0" fontId="38" fillId="29" borderId="0" xfId="0" applyFont="1" applyFill="1" applyAlignment="1">
      <alignment horizontal="center"/>
    </xf>
    <xf numFmtId="0" fontId="0" fillId="29" borderId="0" xfId="0" applyFill="1" applyAlignment="1">
      <alignment horizontal="center"/>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13" xfId="0" applyFill="1" applyBorder="1" applyAlignment="1">
      <alignment horizontal="center" vertical="center" wrapText="1"/>
    </xf>
    <xf numFmtId="0" fontId="26" fillId="20" borderId="0" xfId="0" applyFont="1" applyFill="1" applyAlignment="1">
      <alignment horizontal="left"/>
    </xf>
  </cellXfs>
  <cellStyles count="21">
    <cellStyle name="Bueno" xfId="20" builtinId="26"/>
    <cellStyle name="Comma 2" xfId="9"/>
    <cellStyle name="Comma 2 2" xfId="17"/>
    <cellStyle name="Comma 3" xfId="10"/>
    <cellStyle name="Comma 4" xfId="8"/>
    <cellStyle name="Comma 4 2" xfId="16"/>
    <cellStyle name="Comma 5" xfId="14"/>
    <cellStyle name="Comma_Formatos Nuevos 6ta Desemb. MCA Oct-Dic 10_09_07" xfId="2"/>
    <cellStyle name="Currency 2" xfId="11"/>
    <cellStyle name="Currency 2 2" xfId="18"/>
    <cellStyle name="Millares" xfId="1" builtinId="3"/>
    <cellStyle name="Millares 5" xfId="3"/>
    <cellStyle name="Moneda" xfId="12" builtinId="4"/>
    <cellStyle name="Moneda 4" xfId="6"/>
    <cellStyle name="Normal" xfId="0" builtinId="0"/>
    <cellStyle name="Normal 2" xfId="4"/>
    <cellStyle name="Normal 2 2" xfId="5"/>
    <cellStyle name="Normal 3" xfId="7"/>
    <cellStyle name="Normal 3 2" xfId="15"/>
    <cellStyle name="Normal 4" xfId="13"/>
    <cellStyle name="Porcentaje" xfId="19" builtinId="5"/>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ronacom\MCC-Josue-Jorge\Users\jricart\Downloads\QDRP%20Guatemala_Q6%20Draft%20_DA%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P-Com"/>
      <sheetName val="DFP-CASH"/>
      <sheetName val="QFR - A"/>
      <sheetName val="QFR - B"/>
      <sheetName val="THP DR"/>
      <sheetName val="Contract level"/>
      <sheetName val="Error checks"/>
      <sheetName val="Historico"/>
    </sheetNames>
    <sheetDataSet>
      <sheetData sheetId="0"/>
      <sheetData sheetId="1"/>
      <sheetData sheetId="2"/>
      <sheetData sheetId="3">
        <row r="34">
          <cell r="G34">
            <v>1800000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84"/>
  <sheetViews>
    <sheetView showGridLines="0" topLeftCell="B10" zoomScale="85" zoomScaleNormal="85" zoomScaleSheetLayoutView="70" zoomScalePageLayoutView="81" workbookViewId="0">
      <selection activeCell="D45" sqref="D45"/>
    </sheetView>
  </sheetViews>
  <sheetFormatPr baseColWidth="10" defaultColWidth="0" defaultRowHeight="12.75" outlineLevelRow="1" outlineLevelCol="1" x14ac:dyDescent="0.2"/>
  <cols>
    <col min="1" max="1" width="9.140625" style="1" hidden="1" customWidth="1" outlineLevel="1"/>
    <col min="2" max="2" width="50.42578125" style="1" customWidth="1" collapsed="1"/>
    <col min="3" max="3" width="17.42578125" style="62" customWidth="1" outlineLevel="1"/>
    <col min="4" max="4" width="17.42578125" style="1" customWidth="1"/>
    <col min="5" max="7" width="17.42578125" style="258" customWidth="1" outlineLevel="1"/>
    <col min="8" max="13" width="17.42578125" style="1" customWidth="1"/>
    <col min="14" max="14" width="17.42578125" style="6" customWidth="1"/>
    <col min="15" max="15" width="28.7109375" style="185" customWidth="1"/>
    <col min="16" max="16" width="17.42578125" style="7" customWidth="1"/>
    <col min="17" max="16384" width="0" style="1" hidden="1"/>
  </cols>
  <sheetData>
    <row r="1" spans="1:17" ht="13.5" hidden="1" outlineLevel="1" thickBot="1" x14ac:dyDescent="0.25">
      <c r="B1" s="2" t="s">
        <v>0</v>
      </c>
      <c r="C1" s="3"/>
      <c r="D1" s="4"/>
      <c r="E1" s="249"/>
      <c r="F1" s="249"/>
      <c r="G1" s="249"/>
    </row>
    <row r="2" spans="1:17" ht="13.5" hidden="1" outlineLevel="1" thickBot="1" x14ac:dyDescent="0.25">
      <c r="B2" s="8"/>
      <c r="C2" s="3"/>
      <c r="D2" s="4"/>
      <c r="E2" s="249"/>
      <c r="F2" s="249"/>
      <c r="G2" s="249"/>
      <c r="O2" s="186"/>
    </row>
    <row r="3" spans="1:17" ht="12.75" hidden="1" customHeight="1" outlineLevel="1" x14ac:dyDescent="0.25">
      <c r="B3" s="10" t="s">
        <v>1</v>
      </c>
      <c r="C3" s="11"/>
      <c r="D3" s="12" t="s">
        <v>63</v>
      </c>
      <c r="E3" s="250"/>
      <c r="F3" s="250"/>
      <c r="G3" s="250"/>
    </row>
    <row r="4" spans="1:17" ht="12.75" hidden="1" customHeight="1" outlineLevel="1" x14ac:dyDescent="0.25">
      <c r="B4" s="13" t="s">
        <v>2</v>
      </c>
      <c r="C4" s="14"/>
      <c r="D4" s="15" t="s">
        <v>64</v>
      </c>
      <c r="E4" s="250"/>
      <c r="F4" s="250"/>
      <c r="G4" s="250"/>
    </row>
    <row r="5" spans="1:17" ht="12.75" hidden="1" customHeight="1" outlineLevel="1" x14ac:dyDescent="0.25">
      <c r="B5" s="16" t="s">
        <v>3</v>
      </c>
      <c r="C5" s="14"/>
      <c r="D5" s="15" t="str">
        <f>'THP DR'!B7</f>
        <v>TR14GTM15001</v>
      </c>
      <c r="E5" s="250"/>
      <c r="F5" s="250"/>
      <c r="G5" s="250"/>
    </row>
    <row r="6" spans="1:17" ht="12.75" hidden="1" customHeight="1" outlineLevel="1" x14ac:dyDescent="0.25">
      <c r="B6" s="13" t="s">
        <v>4</v>
      </c>
      <c r="C6" s="14"/>
      <c r="D6" s="296">
        <v>43811</v>
      </c>
      <c r="E6" s="250"/>
      <c r="F6" s="250"/>
      <c r="G6" s="250"/>
      <c r="O6" s="187"/>
    </row>
    <row r="7" spans="1:17" ht="13.5" hidden="1" customHeight="1" outlineLevel="1" thickBot="1" x14ac:dyDescent="0.25">
      <c r="B7" s="17" t="s">
        <v>5</v>
      </c>
      <c r="C7" s="18"/>
      <c r="D7" s="184">
        <v>15</v>
      </c>
      <c r="E7" s="250"/>
      <c r="F7" s="250"/>
      <c r="G7" s="250"/>
    </row>
    <row r="8" spans="1:17" s="23" customFormat="1" ht="13.5" hidden="1" customHeight="1" outlineLevel="1" x14ac:dyDescent="0.2">
      <c r="B8" s="24"/>
      <c r="C8" s="25"/>
      <c r="D8" s="26"/>
      <c r="E8" s="253"/>
      <c r="F8" s="253"/>
      <c r="G8" s="253"/>
      <c r="N8" s="22"/>
      <c r="O8" s="185"/>
      <c r="P8" s="7"/>
    </row>
    <row r="9" spans="1:17" ht="11.25" hidden="1" customHeight="1" outlineLevel="1" x14ac:dyDescent="0.2">
      <c r="A9" s="5"/>
      <c r="B9" s="497" t="s">
        <v>6</v>
      </c>
      <c r="C9" s="27" t="s">
        <v>7</v>
      </c>
      <c r="D9" s="28" t="s">
        <v>8</v>
      </c>
      <c r="E9" s="502" t="s">
        <v>9</v>
      </c>
      <c r="F9" s="502"/>
      <c r="G9" s="502"/>
      <c r="H9" s="223"/>
      <c r="I9" s="223"/>
      <c r="J9" s="223"/>
      <c r="K9" s="223"/>
      <c r="L9" s="223"/>
      <c r="M9" s="223"/>
      <c r="N9" s="29" t="s">
        <v>10</v>
      </c>
      <c r="O9" s="188" t="s">
        <v>10</v>
      </c>
      <c r="P9" s="29" t="s">
        <v>11</v>
      </c>
    </row>
    <row r="10" spans="1:17" s="33" customFormat="1" ht="72.75" customHeight="1" collapsed="1" x14ac:dyDescent="0.2">
      <c r="A10" s="5"/>
      <c r="B10" s="497"/>
      <c r="C10" s="30" t="s">
        <v>12</v>
      </c>
      <c r="D10" s="31" t="s">
        <v>13</v>
      </c>
      <c r="E10" s="501" t="str">
        <f>"Grant Quarter #"&amp;$D$7</f>
        <v>Grant Quarter #15</v>
      </c>
      <c r="F10" s="501"/>
      <c r="G10" s="501"/>
      <c r="H10" s="317" t="s">
        <v>200</v>
      </c>
      <c r="I10" s="317" t="s">
        <v>201</v>
      </c>
      <c r="J10" s="340" t="s">
        <v>252</v>
      </c>
      <c r="K10" s="340" t="s">
        <v>253</v>
      </c>
      <c r="L10" s="340" t="s">
        <v>273</v>
      </c>
      <c r="M10" s="369" t="s">
        <v>274</v>
      </c>
      <c r="N10" s="499" t="s">
        <v>14</v>
      </c>
      <c r="O10" s="498" t="s">
        <v>116</v>
      </c>
      <c r="P10" s="496" t="s">
        <v>15</v>
      </c>
      <c r="Q10" s="32"/>
    </row>
    <row r="11" spans="1:17" s="33" customFormat="1" ht="25.5" x14ac:dyDescent="0.2">
      <c r="A11" s="5"/>
      <c r="B11" s="34" t="s">
        <v>16</v>
      </c>
      <c r="C11" s="35" t="s">
        <v>275</v>
      </c>
      <c r="D11" s="36" t="s">
        <v>276</v>
      </c>
      <c r="E11" s="259" t="s">
        <v>277</v>
      </c>
      <c r="F11" s="259" t="s">
        <v>278</v>
      </c>
      <c r="G11" s="259" t="s">
        <v>279</v>
      </c>
      <c r="H11" s="224" t="s">
        <v>202</v>
      </c>
      <c r="I11" s="317" t="s">
        <v>235</v>
      </c>
      <c r="J11" s="340" t="s">
        <v>249</v>
      </c>
      <c r="K11" s="340" t="s">
        <v>250</v>
      </c>
      <c r="L11" s="340" t="s">
        <v>251</v>
      </c>
      <c r="M11" s="369" t="s">
        <v>271</v>
      </c>
      <c r="N11" s="500"/>
      <c r="O11" s="498"/>
      <c r="P11" s="496"/>
      <c r="Q11" s="32"/>
    </row>
    <row r="12" spans="1:17" customFormat="1" ht="15" x14ac:dyDescent="0.25">
      <c r="B12" s="183" t="s">
        <v>85</v>
      </c>
      <c r="C12" s="183" t="s">
        <v>86</v>
      </c>
      <c r="D12" s="183" t="s">
        <v>87</v>
      </c>
      <c r="E12" s="254" t="s">
        <v>88</v>
      </c>
      <c r="F12" s="254" t="s">
        <v>89</v>
      </c>
      <c r="G12" s="248" t="s">
        <v>90</v>
      </c>
      <c r="H12" s="254" t="s">
        <v>91</v>
      </c>
      <c r="I12" s="248" t="s">
        <v>92</v>
      </c>
      <c r="J12" s="254" t="s">
        <v>254</v>
      </c>
      <c r="K12" s="248" t="s">
        <v>255</v>
      </c>
      <c r="L12" s="254" t="s">
        <v>256</v>
      </c>
      <c r="M12" s="254" t="s">
        <v>270</v>
      </c>
      <c r="N12" s="183" t="s">
        <v>93</v>
      </c>
      <c r="O12" s="189" t="s">
        <v>94</v>
      </c>
      <c r="P12" s="183" t="s">
        <v>95</v>
      </c>
    </row>
    <row r="13" spans="1:17" s="33" customFormat="1" x14ac:dyDescent="0.2">
      <c r="A13" s="5"/>
      <c r="B13" s="38"/>
      <c r="C13" s="39"/>
      <c r="D13" s="38"/>
      <c r="E13" s="255"/>
      <c r="F13" s="255"/>
      <c r="G13" s="255"/>
      <c r="H13" s="38"/>
      <c r="I13" s="38"/>
      <c r="J13" s="38"/>
      <c r="K13" s="38"/>
      <c r="L13" s="38"/>
      <c r="M13" s="38"/>
      <c r="N13" s="38"/>
      <c r="O13" s="38"/>
      <c r="P13" s="38"/>
      <c r="Q13" s="32"/>
    </row>
    <row r="14" spans="1:17" s="33" customFormat="1" x14ac:dyDescent="0.2">
      <c r="A14" s="5"/>
      <c r="B14" s="40" t="s">
        <v>67</v>
      </c>
      <c r="C14" s="41"/>
      <c r="D14" s="42"/>
      <c r="E14" s="256"/>
      <c r="F14" s="256"/>
      <c r="G14" s="256"/>
      <c r="H14" s="42"/>
      <c r="I14" s="42"/>
      <c r="J14" s="42"/>
      <c r="K14" s="42"/>
      <c r="L14" s="42"/>
      <c r="M14" s="42"/>
      <c r="N14" s="43"/>
      <c r="O14" s="190"/>
      <c r="P14" s="43"/>
      <c r="Q14" s="32"/>
    </row>
    <row r="15" spans="1:17" s="201" customFormat="1" outlineLevel="1" x14ac:dyDescent="0.2">
      <c r="A15" s="198" t="str">
        <f>LEFT(B15,4)</f>
        <v xml:space="preserve">1.1 </v>
      </c>
      <c r="B15" s="45" t="s">
        <v>68</v>
      </c>
      <c r="C15" s="191">
        <f>SUM(C16:C18)</f>
        <v>11984163.199999999</v>
      </c>
      <c r="D15" s="191">
        <f>SUM(D16:D18)</f>
        <v>0</v>
      </c>
      <c r="E15" s="191">
        <f t="shared" ref="E15:G15" si="0">SUM(E16:E18)</f>
        <v>0</v>
      </c>
      <c r="F15" s="191">
        <f t="shared" si="0"/>
        <v>0</v>
      </c>
      <c r="G15" s="191">
        <f t="shared" si="0"/>
        <v>0</v>
      </c>
      <c r="H15" s="191">
        <f t="shared" ref="H15" si="1">SUM(H16:H18)</f>
        <v>0</v>
      </c>
      <c r="I15" s="191">
        <f t="shared" ref="I15" si="2">SUM(I16:I18)</f>
        <v>0</v>
      </c>
      <c r="J15" s="191"/>
      <c r="K15" s="191"/>
      <c r="L15" s="191"/>
      <c r="M15" s="191"/>
      <c r="N15" s="191">
        <f>SUM(N16:N18)</f>
        <v>11984163.199999999</v>
      </c>
      <c r="O15" s="193">
        <f>'QFR - B'!H15</f>
        <v>12000000</v>
      </c>
      <c r="P15" s="275">
        <f>O15-N15</f>
        <v>15836.800000000745</v>
      </c>
      <c r="Q15" s="200"/>
    </row>
    <row r="16" spans="1:17" s="201" customFormat="1" outlineLevel="1" x14ac:dyDescent="0.2">
      <c r="A16" s="198" t="s">
        <v>126</v>
      </c>
      <c r="B16" s="195" t="s">
        <v>96</v>
      </c>
      <c r="C16" s="290">
        <v>7593016.0899999999</v>
      </c>
      <c r="D16" s="290"/>
      <c r="E16" s="290">
        <v>0</v>
      </c>
      <c r="F16" s="290">
        <v>0</v>
      </c>
      <c r="G16" s="290"/>
      <c r="H16" s="290">
        <f>SUMIF('Contract level'!$A:$A,"="&amp;'DFP-Com'!$A16,'Contract level'!BL:BL)</f>
        <v>0</v>
      </c>
      <c r="I16" s="290">
        <f>SUMIF('Contract level'!$A:$A,"="&amp;'DFP-Com'!$A16,'Contract level'!BM:BM)</f>
        <v>0</v>
      </c>
      <c r="J16" s="290">
        <f>SUMIF('Contract level'!$A:$A,"="&amp;'DFP-Com'!$A16,'Contract level'!BN:BN)</f>
        <v>0</v>
      </c>
      <c r="K16" s="290">
        <f>SUMIF('Contract level'!$A:$A,"="&amp;'DFP-Com'!$A16,'Contract level'!BO:BO)</f>
        <v>0</v>
      </c>
      <c r="L16" s="290">
        <f>SUMIF('Contract level'!$A:$A,"="&amp;'DFP-Com'!$A16,'Contract level'!BP:BP)</f>
        <v>0</v>
      </c>
      <c r="M16" s="290">
        <f>SUMIF('Contract level'!$A:$A,"="&amp;'DFP-Com'!$A16,'Contract level'!BQ:BQ)</f>
        <v>0</v>
      </c>
      <c r="N16" s="290">
        <f>SUM(H16:L16)+D16+C16</f>
        <v>7593016.0899999999</v>
      </c>
      <c r="O16" s="197">
        <v>0</v>
      </c>
      <c r="P16" s="276"/>
      <c r="Q16" s="200"/>
    </row>
    <row r="17" spans="1:17" s="201" customFormat="1" outlineLevel="1" x14ac:dyDescent="0.2">
      <c r="A17" s="198" t="s">
        <v>127</v>
      </c>
      <c r="B17" s="195" t="s">
        <v>97</v>
      </c>
      <c r="C17" s="290">
        <v>4390617.6499999994</v>
      </c>
      <c r="D17" s="290">
        <v>0</v>
      </c>
      <c r="E17" s="290">
        <v>0</v>
      </c>
      <c r="F17" s="290">
        <v>0</v>
      </c>
      <c r="G17" s="290">
        <v>0</v>
      </c>
      <c r="H17" s="290">
        <f>SUMIF('Contract level'!$A:$A,"="&amp;'DFP-Com'!$A17,'Contract level'!BL:BL)</f>
        <v>0</v>
      </c>
      <c r="I17" s="290">
        <f>SUMIF('Contract level'!$A:$A,"="&amp;'DFP-Com'!$A17,'Contract level'!BM:BM)</f>
        <v>0</v>
      </c>
      <c r="J17" s="290">
        <f>SUMIF('Contract level'!$A:$A,"="&amp;'DFP-Com'!$A17,'Contract level'!BN:BN)</f>
        <v>0</v>
      </c>
      <c r="K17" s="290">
        <f>SUMIF('Contract level'!$A:$A,"="&amp;'DFP-Com'!$A17,'Contract level'!BO:BO)</f>
        <v>0</v>
      </c>
      <c r="L17" s="290">
        <f>SUMIF('Contract level'!$A:$A,"="&amp;'DFP-Com'!$A17,'Contract level'!BP:BP)</f>
        <v>0</v>
      </c>
      <c r="M17" s="290">
        <f>SUMIF('Contract level'!$A:$A,"="&amp;'DFP-Com'!$A17,'Contract level'!BQ:BQ)</f>
        <v>0</v>
      </c>
      <c r="N17" s="290">
        <f>SUM(H17:L17)+D17+C17</f>
        <v>4390617.6499999994</v>
      </c>
      <c r="O17" s="197">
        <v>0</v>
      </c>
      <c r="P17" s="276"/>
      <c r="Q17" s="200"/>
    </row>
    <row r="18" spans="1:17" s="201" customFormat="1" outlineLevel="1" x14ac:dyDescent="0.2">
      <c r="A18" s="198" t="s">
        <v>128</v>
      </c>
      <c r="B18" s="195" t="s">
        <v>104</v>
      </c>
      <c r="C18" s="290">
        <v>529.46</v>
      </c>
      <c r="D18" s="196">
        <v>0</v>
      </c>
      <c r="E18" s="290">
        <v>0</v>
      </c>
      <c r="F18" s="290"/>
      <c r="G18" s="290"/>
      <c r="H18" s="290">
        <f>SUMIF('Contract level'!$A:$A,"="&amp;'DFP-Com'!$A18,'Contract level'!BL:BL)</f>
        <v>0</v>
      </c>
      <c r="I18" s="290">
        <f>SUMIF('Contract level'!$A:$A,"="&amp;'DFP-Com'!$A18,'Contract level'!BM:BM)</f>
        <v>0</v>
      </c>
      <c r="J18" s="290">
        <f>SUMIF('Contract level'!$A:$A,"="&amp;'DFP-Com'!$A18,'Contract level'!BN:BN)</f>
        <v>0</v>
      </c>
      <c r="K18" s="290">
        <f>SUMIF('Contract level'!$A:$A,"="&amp;'DFP-Com'!$A18,'Contract level'!BO:BO)</f>
        <v>0</v>
      </c>
      <c r="L18" s="290">
        <f>SUMIF('Contract level'!$A:$A,"="&amp;'DFP-Com'!$A18,'Contract level'!BP:BP)</f>
        <v>0</v>
      </c>
      <c r="M18" s="290">
        <f>SUMIF('Contract level'!$A:$A,"="&amp;'DFP-Com'!$A18,'Contract level'!BQ:BQ)</f>
        <v>0</v>
      </c>
      <c r="N18" s="290">
        <f>SUM(H18:I18)+D18+C18</f>
        <v>529.46</v>
      </c>
      <c r="O18" s="197">
        <v>0</v>
      </c>
      <c r="P18" s="276"/>
      <c r="Q18" s="200"/>
    </row>
    <row r="19" spans="1:17" s="201" customFormat="1" ht="12.95" customHeight="1" outlineLevel="1" x14ac:dyDescent="0.2">
      <c r="A19" s="198" t="str">
        <f t="shared" ref="A19:A37" si="3">LEFT(B19,4)</f>
        <v xml:space="preserve">1.2 </v>
      </c>
      <c r="B19" s="45" t="s">
        <v>69</v>
      </c>
      <c r="C19" s="191">
        <f>C20</f>
        <v>4012585.33</v>
      </c>
      <c r="D19" s="191">
        <f>D20</f>
        <v>-1538.8</v>
      </c>
      <c r="E19" s="191">
        <f t="shared" ref="E19:N19" si="4">E20</f>
        <v>36757.5</v>
      </c>
      <c r="F19" s="191">
        <f t="shared" si="4"/>
        <v>0</v>
      </c>
      <c r="G19" s="191">
        <f t="shared" si="4"/>
        <v>0</v>
      </c>
      <c r="H19" s="191">
        <f t="shared" si="4"/>
        <v>36757.5</v>
      </c>
      <c r="I19" s="191">
        <f t="shared" si="4"/>
        <v>216521.41999999998</v>
      </c>
      <c r="J19" s="191">
        <f t="shared" si="4"/>
        <v>0</v>
      </c>
      <c r="K19" s="191">
        <f t="shared" si="4"/>
        <v>0</v>
      </c>
      <c r="L19" s="191">
        <f t="shared" si="4"/>
        <v>20216.625</v>
      </c>
      <c r="M19" s="191">
        <f t="shared" si="4"/>
        <v>0</v>
      </c>
      <c r="N19" s="191">
        <f t="shared" si="4"/>
        <v>4284542.0750000002</v>
      </c>
      <c r="O19" s="193">
        <f>'QFR - B'!H16</f>
        <v>4300000</v>
      </c>
      <c r="P19" s="275">
        <f>O19-N19</f>
        <v>15457.924999999814</v>
      </c>
      <c r="Q19" s="200"/>
    </row>
    <row r="20" spans="1:17" s="201" customFormat="1" ht="12.95" customHeight="1" outlineLevel="1" x14ac:dyDescent="0.2">
      <c r="A20" s="198" t="s">
        <v>129</v>
      </c>
      <c r="B20" s="195" t="s">
        <v>105</v>
      </c>
      <c r="C20" s="290">
        <v>4012585.33</v>
      </c>
      <c r="D20" s="290">
        <v>-1538.8</v>
      </c>
      <c r="E20" s="290">
        <v>36757.5</v>
      </c>
      <c r="F20" s="290">
        <v>0</v>
      </c>
      <c r="G20" s="290">
        <v>0</v>
      </c>
      <c r="H20" s="290">
        <f>SUMIF('Contract level'!$A:$A,"="&amp;'DFP-Com'!$A20,'Contract level'!BL:BL)</f>
        <v>36757.5</v>
      </c>
      <c r="I20" s="290">
        <f>SUMIF('Contract level'!$A:$A,"="&amp;'DFP-Com'!$A20,'Contract level'!BM:BM)</f>
        <v>216521.41999999998</v>
      </c>
      <c r="J20" s="290">
        <f>SUMIF('Contract level'!$A:$A,"="&amp;'DFP-Com'!$A20,'Contract level'!BN:BN)</f>
        <v>0</v>
      </c>
      <c r="K20" s="290">
        <f>SUMIF('Contract level'!$A:$A,"="&amp;'DFP-Com'!$A20,'Contract level'!BO:BO)</f>
        <v>0</v>
      </c>
      <c r="L20" s="290">
        <f>SUMIF('Contract level'!$A:$A,"="&amp;'DFP-Com'!$A20,'Contract level'!BP:BP)</f>
        <v>20216.625</v>
      </c>
      <c r="M20" s="290">
        <f>SUMIF('Contract level'!$A:$A,"="&amp;'DFP-Com'!$A20,'Contract level'!BQ:BQ)</f>
        <v>0</v>
      </c>
      <c r="N20" s="196">
        <f>SUM(H20:L20)+D20+C20</f>
        <v>4284542.0750000002</v>
      </c>
      <c r="O20" s="197">
        <v>0</v>
      </c>
      <c r="P20" s="276"/>
      <c r="Q20" s="200"/>
    </row>
    <row r="21" spans="1:17" s="201" customFormat="1" outlineLevel="1" x14ac:dyDescent="0.2">
      <c r="A21" s="198">
        <v>1.3</v>
      </c>
      <c r="B21" s="45" t="s">
        <v>70</v>
      </c>
      <c r="C21" s="191">
        <f>SUM(C22:C24)</f>
        <v>2963461.39</v>
      </c>
      <c r="D21" s="191">
        <f>SUM(D22:D24)</f>
        <v>5171.6000000000004</v>
      </c>
      <c r="E21" s="191">
        <f t="shared" ref="E21:G21" si="5">SUM(E22:E24)</f>
        <v>83518.5</v>
      </c>
      <c r="F21" s="191">
        <f t="shared" si="5"/>
        <v>0</v>
      </c>
      <c r="G21" s="191">
        <f t="shared" si="5"/>
        <v>0</v>
      </c>
      <c r="H21" s="191">
        <f t="shared" ref="H21" si="6">SUM(H22:H24)</f>
        <v>83518.5</v>
      </c>
      <c r="I21" s="191">
        <f t="shared" ref="I21:L21" si="7">SUM(I22:I24)</f>
        <v>0</v>
      </c>
      <c r="J21" s="191">
        <f t="shared" si="7"/>
        <v>0</v>
      </c>
      <c r="K21" s="191">
        <f t="shared" si="7"/>
        <v>0</v>
      </c>
      <c r="L21" s="191">
        <f t="shared" si="7"/>
        <v>45935.177500000005</v>
      </c>
      <c r="M21" s="191">
        <f t="shared" ref="M21" si="8">SUM(M22:M24)</f>
        <v>0</v>
      </c>
      <c r="N21" s="191">
        <f>SUM(N22:N24)</f>
        <v>3098086.6675</v>
      </c>
      <c r="O21" s="193">
        <f>'QFR - B'!H17</f>
        <v>3046000</v>
      </c>
      <c r="P21" s="275">
        <f>O21-N21</f>
        <v>-52086.667499999981</v>
      </c>
      <c r="Q21" s="200"/>
    </row>
    <row r="22" spans="1:17" s="201" customFormat="1" ht="12.95" customHeight="1" outlineLevel="1" x14ac:dyDescent="0.2">
      <c r="A22" s="198" t="s">
        <v>130</v>
      </c>
      <c r="B22" s="195" t="s">
        <v>98</v>
      </c>
      <c r="C22" s="290">
        <v>2772876.18</v>
      </c>
      <c r="D22" s="290">
        <v>0</v>
      </c>
      <c r="E22" s="196">
        <v>0</v>
      </c>
      <c r="F22" s="196">
        <v>0</v>
      </c>
      <c r="G22" s="196"/>
      <c r="H22" s="196">
        <f>SUMIF('Contract level'!$A:$A,"="&amp;'DFP-Com'!$A22,'Contract level'!BL:BL)</f>
        <v>0</v>
      </c>
      <c r="I22" s="290">
        <f>SUMIF('Contract level'!$A:$A,"="&amp;'DFP-Com'!$A22,'Contract level'!BM:BM)</f>
        <v>0</v>
      </c>
      <c r="J22" s="290">
        <f>SUMIF('Contract level'!$A:$A,"="&amp;'DFP-Com'!$A22,'Contract level'!BN:BN)</f>
        <v>0</v>
      </c>
      <c r="K22" s="290">
        <f>SUMIF('Contract level'!$A:$A,"="&amp;'DFP-Com'!$A22,'Contract level'!BO:BO)</f>
        <v>0</v>
      </c>
      <c r="L22" s="290">
        <f>SUMIF('Contract level'!$A:$A,"="&amp;'DFP-Com'!$A22,'Contract level'!BP:BP)</f>
        <v>0</v>
      </c>
      <c r="M22" s="290">
        <f>SUMIF('Contract level'!$A:$A,"="&amp;'DFP-Com'!$A22,'Contract level'!BQ:BQ)</f>
        <v>0</v>
      </c>
      <c r="N22" s="196">
        <f>SUM(H22:M22)+D22+C22</f>
        <v>2772876.18</v>
      </c>
      <c r="O22" s="197"/>
      <c r="P22" s="276"/>
      <c r="Q22" s="200"/>
    </row>
    <row r="23" spans="1:17" s="201" customFormat="1" ht="12.95" customHeight="1" outlineLevel="1" x14ac:dyDescent="0.2">
      <c r="A23" s="198" t="s">
        <v>131</v>
      </c>
      <c r="B23" s="195" t="s">
        <v>114</v>
      </c>
      <c r="C23" s="290">
        <v>190168.6</v>
      </c>
      <c r="D23" s="290">
        <v>5171.6000000000004</v>
      </c>
      <c r="E23" s="290">
        <v>83518.5</v>
      </c>
      <c r="F23" s="290">
        <v>0</v>
      </c>
      <c r="G23" s="290"/>
      <c r="H23" s="290">
        <f>SUMIF('Contract level'!$A:$A,"="&amp;'DFP-Com'!$A23,'Contract level'!BL:BL)</f>
        <v>83518.5</v>
      </c>
      <c r="I23" s="290">
        <f>SUMIF('Contract level'!$A:$A,"="&amp;'DFP-Com'!$A23,'Contract level'!BM:BM)</f>
        <v>0</v>
      </c>
      <c r="J23" s="290">
        <f>SUMIF('Contract level'!$A:$A,"="&amp;'DFP-Com'!$A23,'Contract level'!BN:BN)</f>
        <v>0</v>
      </c>
      <c r="K23" s="290">
        <f>SUMIF('Contract level'!$A:$A,"="&amp;'DFP-Com'!$A23,'Contract level'!BO:BO)</f>
        <v>0</v>
      </c>
      <c r="L23" s="290">
        <f>SUMIF('Contract level'!$A:$A,"="&amp;'DFP-Com'!$A23,'Contract level'!BP:BP)</f>
        <v>45935.177500000005</v>
      </c>
      <c r="M23" s="290">
        <f>SUMIF('Contract level'!$A:$A,"="&amp;'DFP-Com'!$A23,'Contract level'!BQ:BQ)</f>
        <v>0</v>
      </c>
      <c r="N23" s="290">
        <f>SUM(H23:M23)+D23+C23</f>
        <v>324793.8775</v>
      </c>
      <c r="O23" s="197"/>
      <c r="P23" s="276"/>
      <c r="Q23" s="200"/>
    </row>
    <row r="24" spans="1:17" s="201" customFormat="1" outlineLevel="1" x14ac:dyDescent="0.2">
      <c r="A24" s="198" t="s">
        <v>132</v>
      </c>
      <c r="B24" s="195" t="s">
        <v>113</v>
      </c>
      <c r="C24" s="290">
        <v>416.61</v>
      </c>
      <c r="D24" s="196">
        <v>0</v>
      </c>
      <c r="E24" s="196">
        <v>0</v>
      </c>
      <c r="F24" s="196">
        <v>0</v>
      </c>
      <c r="G24" s="196">
        <v>0</v>
      </c>
      <c r="H24" s="196">
        <f>SUMIF('Contract level'!$A:$A,"="&amp;'DFP-Com'!$A24,'Contract level'!BL:BL)</f>
        <v>0</v>
      </c>
      <c r="I24" s="290">
        <f>SUMIF('Contract level'!$A:$A,"="&amp;'DFP-Com'!$A24,'Contract level'!BM:BM)</f>
        <v>0</v>
      </c>
      <c r="J24" s="290">
        <f>SUMIF('Contract level'!$A:$A,"="&amp;'DFP-Com'!$A24,'Contract level'!BN:BN)</f>
        <v>0</v>
      </c>
      <c r="K24" s="290">
        <f>SUMIF('Contract level'!$A:$A,"="&amp;'DFP-Com'!$A24,'Contract level'!BO:BO)</f>
        <v>0</v>
      </c>
      <c r="L24" s="290">
        <f>SUMIF('Contract level'!$A:$A,"="&amp;'DFP-Com'!$A24,'Contract level'!BP:BP)</f>
        <v>0</v>
      </c>
      <c r="M24" s="290">
        <f>SUMIF('Contract level'!$A:$A,"="&amp;'DFP-Com'!$A24,'Contract level'!BQ:BQ)</f>
        <v>0</v>
      </c>
      <c r="N24" s="196">
        <f>SUM(H24:L24)+D24+C24</f>
        <v>416.61</v>
      </c>
      <c r="O24" s="197"/>
      <c r="P24" s="276"/>
      <c r="Q24" s="200"/>
    </row>
    <row r="25" spans="1:17" s="201" customFormat="1" x14ac:dyDescent="0.2">
      <c r="A25" s="198" t="str">
        <f t="shared" si="3"/>
        <v>TOTA</v>
      </c>
      <c r="B25" s="46" t="s">
        <v>61</v>
      </c>
      <c r="C25" s="192">
        <f>C21+C19+C15</f>
        <v>18960209.920000002</v>
      </c>
      <c r="D25" s="192">
        <f>D21+D19+D15</f>
        <v>3632.8</v>
      </c>
      <c r="E25" s="192">
        <f t="shared" ref="E25:N25" si="9">E21+E19+E15</f>
        <v>120276</v>
      </c>
      <c r="F25" s="192">
        <f t="shared" si="9"/>
        <v>0</v>
      </c>
      <c r="G25" s="192">
        <f t="shared" si="9"/>
        <v>0</v>
      </c>
      <c r="H25" s="192">
        <f t="shared" ref="H25" si="10">H21+H19+H15</f>
        <v>120276</v>
      </c>
      <c r="I25" s="192">
        <f t="shared" ref="I25:L25" si="11">I21+I19+I15</f>
        <v>216521.41999999998</v>
      </c>
      <c r="J25" s="192">
        <f t="shared" si="11"/>
        <v>0</v>
      </c>
      <c r="K25" s="192">
        <f t="shared" si="11"/>
        <v>0</v>
      </c>
      <c r="L25" s="192">
        <f t="shared" si="11"/>
        <v>66151.802500000005</v>
      </c>
      <c r="M25" s="192">
        <f t="shared" ref="M25" si="12">M21+M19+M15</f>
        <v>0</v>
      </c>
      <c r="N25" s="192">
        <f t="shared" si="9"/>
        <v>19366791.942499999</v>
      </c>
      <c r="O25" s="194">
        <f>O15+O19+O21</f>
        <v>19346000</v>
      </c>
      <c r="P25" s="277">
        <f>P15+P19+P21</f>
        <v>-20791.942499999423</v>
      </c>
      <c r="Q25" s="200"/>
    </row>
    <row r="26" spans="1:17" s="33" customFormat="1" x14ac:dyDescent="0.2">
      <c r="A26" s="198" t="str">
        <f t="shared" si="3"/>
        <v/>
      </c>
      <c r="B26" s="48"/>
      <c r="C26" s="264"/>
      <c r="D26" s="209"/>
      <c r="E26" s="209"/>
      <c r="F26" s="209"/>
      <c r="G26" s="209"/>
      <c r="H26" s="209"/>
      <c r="I26" s="209"/>
      <c r="J26" s="209"/>
      <c r="K26" s="209"/>
      <c r="L26" s="209"/>
      <c r="M26" s="209"/>
      <c r="N26" s="209"/>
      <c r="O26" s="260"/>
      <c r="P26" s="278"/>
      <c r="Q26" s="32"/>
    </row>
    <row r="27" spans="1:17" s="33" customFormat="1" x14ac:dyDescent="0.2">
      <c r="A27" s="198" t="str">
        <f t="shared" si="3"/>
        <v>2. R</v>
      </c>
      <c r="B27" s="40" t="s">
        <v>73</v>
      </c>
      <c r="C27" s="265"/>
      <c r="D27" s="210"/>
      <c r="E27" s="210"/>
      <c r="F27" s="210"/>
      <c r="G27" s="210"/>
      <c r="H27" s="210"/>
      <c r="I27" s="210"/>
      <c r="J27" s="210"/>
      <c r="K27" s="210"/>
      <c r="L27" s="210"/>
      <c r="M27" s="210"/>
      <c r="N27" s="210"/>
      <c r="O27" s="261"/>
      <c r="P27" s="279"/>
      <c r="Q27" s="32"/>
    </row>
    <row r="28" spans="1:17" s="33" customFormat="1" outlineLevel="1" x14ac:dyDescent="0.2">
      <c r="A28" s="198">
        <v>2.1</v>
      </c>
      <c r="B28" s="45" t="s">
        <v>115</v>
      </c>
      <c r="C28" s="212">
        <f t="shared" ref="C28:N28" si="13">SUM(C29:C29)</f>
        <v>499997.24</v>
      </c>
      <c r="D28" s="212">
        <f t="shared" si="13"/>
        <v>0</v>
      </c>
      <c r="E28" s="212">
        <f t="shared" si="13"/>
        <v>43134</v>
      </c>
      <c r="F28" s="212">
        <f t="shared" si="13"/>
        <v>73635.86</v>
      </c>
      <c r="G28" s="212">
        <f t="shared" si="13"/>
        <v>108221.75</v>
      </c>
      <c r="H28" s="212">
        <f t="shared" si="13"/>
        <v>224991.61</v>
      </c>
      <c r="I28" s="212">
        <f t="shared" si="13"/>
        <v>0</v>
      </c>
      <c r="J28" s="212">
        <f t="shared" si="13"/>
        <v>0</v>
      </c>
      <c r="K28" s="212">
        <f t="shared" si="13"/>
        <v>0</v>
      </c>
      <c r="L28" s="212">
        <f t="shared" si="13"/>
        <v>0</v>
      </c>
      <c r="M28" s="212">
        <f t="shared" si="13"/>
        <v>0</v>
      </c>
      <c r="N28" s="212">
        <f t="shared" si="13"/>
        <v>724988.85</v>
      </c>
      <c r="O28" s="193">
        <f>'QFR - B'!H20</f>
        <v>800000</v>
      </c>
      <c r="P28" s="275">
        <f>O28-N28</f>
        <v>75011.150000000023</v>
      </c>
      <c r="Q28" s="32"/>
    </row>
    <row r="29" spans="1:17" s="201" customFormat="1" outlineLevel="1" x14ac:dyDescent="0.2">
      <c r="A29" s="198" t="s">
        <v>133</v>
      </c>
      <c r="B29" s="195" t="s">
        <v>108</v>
      </c>
      <c r="C29" s="290">
        <v>499997.24</v>
      </c>
      <c r="D29" s="290">
        <v>0</v>
      </c>
      <c r="E29" s="290">
        <v>43134</v>
      </c>
      <c r="F29" s="290">
        <v>73635.86</v>
      </c>
      <c r="G29" s="290">
        <v>108221.75</v>
      </c>
      <c r="H29" s="290">
        <f>SUMIF('Contract level'!$A:$A,"="&amp;'DFP-Com'!$A29,'Contract level'!BL:BL)</f>
        <v>224991.61</v>
      </c>
      <c r="I29" s="290">
        <f>SUMIF('Contract level'!$A:$A,"="&amp;'DFP-Com'!$A29,'Contract level'!BM:BM)</f>
        <v>0</v>
      </c>
      <c r="J29" s="290">
        <f>SUMIF('Contract level'!$A:$A,"="&amp;'DFP-Com'!$A29,'Contract level'!BN:BN)</f>
        <v>0</v>
      </c>
      <c r="K29" s="290">
        <f>SUMIF('Contract level'!$A:$A,"="&amp;'DFP-Com'!$A29,'Contract level'!BO:BO)</f>
        <v>0</v>
      </c>
      <c r="L29" s="290">
        <f>SUMIF('Contract level'!$A:$A,"="&amp;'DFP-Com'!$A29,'Contract level'!BP:BP)</f>
        <v>0</v>
      </c>
      <c r="M29" s="290">
        <f>SUMIF('Contract level'!$A:$A,"="&amp;'DFP-Com'!$A29,'Contract level'!BQ:BQ)</f>
        <v>0</v>
      </c>
      <c r="N29" s="196">
        <f>SUM(H29:L29)+D29+C29</f>
        <v>724988.85</v>
      </c>
      <c r="O29" s="197"/>
      <c r="P29" s="276"/>
      <c r="Q29" s="200"/>
    </row>
    <row r="30" spans="1:17" s="33" customFormat="1" outlineLevel="1" x14ac:dyDescent="0.2">
      <c r="A30" s="198">
        <v>2.2000000000000002</v>
      </c>
      <c r="B30" s="45" t="s">
        <v>77</v>
      </c>
      <c r="C30" s="191">
        <f>SUM(C31:C33)</f>
        <v>1582420.44</v>
      </c>
      <c r="D30" s="191">
        <f>SUM(D31:D33)</f>
        <v>0</v>
      </c>
      <c r="E30" s="191">
        <f t="shared" ref="E30:G30" si="14">SUM(E31:E33)</f>
        <v>0</v>
      </c>
      <c r="F30" s="191">
        <f t="shared" si="14"/>
        <v>0</v>
      </c>
      <c r="G30" s="191">
        <f t="shared" si="14"/>
        <v>0</v>
      </c>
      <c r="H30" s="191">
        <f t="shared" ref="H30" si="15">SUM(H31:H33)</f>
        <v>0</v>
      </c>
      <c r="I30" s="191">
        <f t="shared" ref="I30:L30" si="16">SUM(I31:I33)</f>
        <v>0</v>
      </c>
      <c r="J30" s="191">
        <f t="shared" si="16"/>
        <v>0</v>
      </c>
      <c r="K30" s="191">
        <f t="shared" si="16"/>
        <v>184550</v>
      </c>
      <c r="L30" s="191">
        <f t="shared" si="16"/>
        <v>0</v>
      </c>
      <c r="M30" s="191">
        <f t="shared" ref="M30" si="17">SUM(M31:M33)</f>
        <v>0</v>
      </c>
      <c r="N30" s="191">
        <f>SUM(N31:N33)</f>
        <v>1766970.44</v>
      </c>
      <c r="O30" s="193">
        <f>'QFR - B'!H21</f>
        <v>3560000</v>
      </c>
      <c r="P30" s="275">
        <f>O30-N30</f>
        <v>1793029.56</v>
      </c>
      <c r="Q30" s="32"/>
    </row>
    <row r="31" spans="1:17" s="201" customFormat="1" outlineLevel="1" x14ac:dyDescent="0.2">
      <c r="A31" s="198" t="s">
        <v>134</v>
      </c>
      <c r="B31" s="195" t="s">
        <v>109</v>
      </c>
      <c r="C31" s="290">
        <v>511547.66999999993</v>
      </c>
      <c r="D31" s="290">
        <v>0</v>
      </c>
      <c r="E31" s="290"/>
      <c r="F31" s="290">
        <v>0</v>
      </c>
      <c r="G31" s="290"/>
      <c r="H31" s="290">
        <f>SUMIF('Contract level'!$A:$A,"="&amp;'DFP-Com'!$A31,'Contract level'!BL:BL)</f>
        <v>0</v>
      </c>
      <c r="I31" s="290">
        <f>SUMIF('Contract level'!$A:$A,"="&amp;'DFP-Com'!$A31,'Contract level'!BM:BM)</f>
        <v>0</v>
      </c>
      <c r="J31" s="290">
        <f>SUMIF('Contract level'!$A:$A,"="&amp;'DFP-Com'!$A31,'Contract level'!BN:BN)</f>
        <v>0</v>
      </c>
      <c r="K31" s="290">
        <f>SUMIF('Contract level'!$A:$A,"="&amp;'DFP-Com'!$A31,'Contract level'!BO:BO)</f>
        <v>184550</v>
      </c>
      <c r="L31" s="290">
        <f>SUMIF('Contract level'!$A:$A,"="&amp;'DFP-Com'!$A31,'Contract level'!BP:BP)</f>
        <v>0</v>
      </c>
      <c r="M31" s="290">
        <f>SUMIF('Contract level'!$A:$A,"="&amp;'DFP-Com'!$A31,'Contract level'!BQ:BQ)</f>
        <v>0</v>
      </c>
      <c r="N31" s="196">
        <f>SUM(H31:L31)+D31+C31</f>
        <v>696097.66999999993</v>
      </c>
      <c r="O31" s="197"/>
      <c r="P31" s="276"/>
      <c r="Q31" s="200"/>
    </row>
    <row r="32" spans="1:17" s="201" customFormat="1" outlineLevel="1" x14ac:dyDescent="0.2">
      <c r="A32" s="198" t="s">
        <v>135</v>
      </c>
      <c r="B32" s="195" t="s">
        <v>110</v>
      </c>
      <c r="C32" s="290">
        <v>1030229</v>
      </c>
      <c r="D32" s="290">
        <v>0</v>
      </c>
      <c r="E32" s="290">
        <v>0</v>
      </c>
      <c r="F32" s="290"/>
      <c r="G32" s="290"/>
      <c r="H32" s="290">
        <f>SUMIF('Contract level'!$A:$A,"="&amp;'DFP-Com'!$A32,'Contract level'!BL:BL)</f>
        <v>0</v>
      </c>
      <c r="I32" s="290">
        <f>SUMIF('Contract level'!$A:$A,"="&amp;'DFP-Com'!$A32,'Contract level'!BM:BM)</f>
        <v>0</v>
      </c>
      <c r="J32" s="290">
        <f>SUMIF('Contract level'!$A:$A,"="&amp;'DFP-Com'!$A32,'Contract level'!BN:BN)</f>
        <v>0</v>
      </c>
      <c r="K32" s="290">
        <f>SUMIF('Contract level'!$A:$A,"="&amp;'DFP-Com'!$A32,'Contract level'!BO:BO)</f>
        <v>0</v>
      </c>
      <c r="L32" s="290">
        <f>SUMIF('Contract level'!$A:$A,"="&amp;'DFP-Com'!$A32,'Contract level'!BP:BP)</f>
        <v>0</v>
      </c>
      <c r="M32" s="290">
        <f>SUMIF('Contract level'!$A:$A,"="&amp;'DFP-Com'!$A32,'Contract level'!BQ:BQ)</f>
        <v>0</v>
      </c>
      <c r="N32" s="290">
        <f>SUM(H32:L32)+D32+C32</f>
        <v>1030229</v>
      </c>
      <c r="O32" s="197"/>
      <c r="P32" s="276"/>
      <c r="Q32" s="200"/>
    </row>
    <row r="33" spans="1:17" s="201" customFormat="1" outlineLevel="1" x14ac:dyDescent="0.2">
      <c r="A33" s="198" t="s">
        <v>136</v>
      </c>
      <c r="B33" s="195" t="s">
        <v>112</v>
      </c>
      <c r="C33" s="290">
        <v>40643.769999999997</v>
      </c>
      <c r="D33" s="290">
        <v>0</v>
      </c>
      <c r="E33" s="290"/>
      <c r="F33" s="290"/>
      <c r="G33" s="290"/>
      <c r="H33" s="290">
        <f>SUMIF('Contract level'!$A:$A,"="&amp;'DFP-Com'!$A33,'Contract level'!BL:BL)</f>
        <v>0</v>
      </c>
      <c r="I33" s="290">
        <f>SUMIF('Contract level'!$A:$A,"="&amp;'DFP-Com'!$A33,'Contract level'!BM:BM)</f>
        <v>0</v>
      </c>
      <c r="J33" s="290">
        <f>SUMIF('Contract level'!$A:$A,"="&amp;'DFP-Com'!$A33,'Contract level'!BN:BN)</f>
        <v>0</v>
      </c>
      <c r="K33" s="290">
        <f>SUMIF('Contract level'!$A:$A,"="&amp;'DFP-Com'!$A33,'Contract level'!BO:BO)</f>
        <v>0</v>
      </c>
      <c r="L33" s="290">
        <f>SUMIF('Contract level'!$A:$A,"="&amp;'DFP-Com'!$A33,'Contract level'!BP:BP)</f>
        <v>0</v>
      </c>
      <c r="M33" s="290">
        <f>SUMIF('Contract level'!$A:$A,"="&amp;'DFP-Com'!$A33,'Contract level'!BQ:BQ)</f>
        <v>0</v>
      </c>
      <c r="N33" s="196">
        <f>SUM(H33:L33)+D33+C33</f>
        <v>40643.769999999997</v>
      </c>
      <c r="O33" s="197"/>
      <c r="P33" s="276"/>
      <c r="Q33" s="200"/>
    </row>
    <row r="34" spans="1:17" s="33" customFormat="1" x14ac:dyDescent="0.2">
      <c r="A34" s="198" t="str">
        <f t="shared" si="3"/>
        <v>TOTA</v>
      </c>
      <c r="B34" s="53" t="s">
        <v>62</v>
      </c>
      <c r="C34" s="192">
        <f>C30+C28</f>
        <v>2082417.68</v>
      </c>
      <c r="D34" s="192">
        <f>D30+D28</f>
        <v>0</v>
      </c>
      <c r="E34" s="192">
        <f>+E28+E30</f>
        <v>43134</v>
      </c>
      <c r="F34" s="192">
        <f>+F28+F30</f>
        <v>73635.86</v>
      </c>
      <c r="G34" s="192">
        <f>+G28+G30</f>
        <v>108221.75</v>
      </c>
      <c r="H34" s="192">
        <f t="shared" ref="H34" si="18">H30+H28</f>
        <v>224991.61</v>
      </c>
      <c r="I34" s="192">
        <f t="shared" ref="I34:L34" si="19">I30+I28</f>
        <v>0</v>
      </c>
      <c r="J34" s="192">
        <f t="shared" si="19"/>
        <v>0</v>
      </c>
      <c r="K34" s="192">
        <f t="shared" si="19"/>
        <v>184550</v>
      </c>
      <c r="L34" s="192">
        <f t="shared" si="19"/>
        <v>0</v>
      </c>
      <c r="M34" s="192">
        <f t="shared" ref="M34" si="20">M30+M28</f>
        <v>0</v>
      </c>
      <c r="N34" s="192">
        <f>N28+N30</f>
        <v>2491959.29</v>
      </c>
      <c r="O34" s="263">
        <f>SUM(O28:O33)</f>
        <v>4360000</v>
      </c>
      <c r="P34" s="277">
        <f>SUM(P27:P33)</f>
        <v>1868040.71</v>
      </c>
      <c r="Q34" s="32"/>
    </row>
    <row r="35" spans="1:17" s="33" customFormat="1" x14ac:dyDescent="0.2">
      <c r="A35" s="198" t="str">
        <f t="shared" si="3"/>
        <v/>
      </c>
      <c r="B35" s="48"/>
      <c r="C35" s="264"/>
      <c r="D35" s="209"/>
      <c r="E35" s="209"/>
      <c r="F35" s="209"/>
      <c r="G35" s="209"/>
      <c r="H35" s="209"/>
      <c r="I35" s="209"/>
      <c r="J35" s="209"/>
      <c r="K35" s="209"/>
      <c r="L35" s="209"/>
      <c r="M35" s="209"/>
      <c r="N35" s="209"/>
      <c r="O35" s="260"/>
      <c r="P35" s="278"/>
      <c r="Q35" s="32"/>
    </row>
    <row r="36" spans="1:17" s="58" customFormat="1" x14ac:dyDescent="0.2">
      <c r="A36" s="198" t="str">
        <f t="shared" si="3"/>
        <v>3. M</v>
      </c>
      <c r="B36" s="40" t="s">
        <v>81</v>
      </c>
      <c r="C36" s="266"/>
      <c r="D36" s="257"/>
      <c r="E36" s="257"/>
      <c r="F36" s="257"/>
      <c r="G36" s="257"/>
      <c r="H36" s="257"/>
      <c r="I36" s="257"/>
      <c r="J36" s="257"/>
      <c r="K36" s="257"/>
      <c r="L36" s="257"/>
      <c r="M36" s="257"/>
      <c r="N36" s="210"/>
      <c r="O36" s="261"/>
      <c r="P36" s="279"/>
      <c r="Q36" s="57"/>
    </row>
    <row r="37" spans="1:17" s="58" customFormat="1" outlineLevel="1" x14ac:dyDescent="0.2">
      <c r="A37" s="198" t="str">
        <f t="shared" si="3"/>
        <v xml:space="preserve">   M</v>
      </c>
      <c r="B37" s="59" t="s">
        <v>82</v>
      </c>
      <c r="C37" s="191">
        <f t="shared" ref="C37:G37" si="21">SUM(C38:C41)</f>
        <v>497430.67999999993</v>
      </c>
      <c r="D37" s="191">
        <f t="shared" si="21"/>
        <v>33673.21</v>
      </c>
      <c r="E37" s="191">
        <f t="shared" si="21"/>
        <v>37000</v>
      </c>
      <c r="F37" s="191">
        <f t="shared" si="21"/>
        <v>11000</v>
      </c>
      <c r="G37" s="191">
        <f t="shared" si="21"/>
        <v>254000</v>
      </c>
      <c r="H37" s="191">
        <f t="shared" ref="H37:N37" si="22">SUM(H38:H41)</f>
        <v>302000</v>
      </c>
      <c r="I37" s="191">
        <f t="shared" si="22"/>
        <v>104000</v>
      </c>
      <c r="J37" s="191">
        <f t="shared" si="22"/>
        <v>158000</v>
      </c>
      <c r="K37" s="191">
        <f t="shared" si="22"/>
        <v>235000</v>
      </c>
      <c r="L37" s="191">
        <f t="shared" si="22"/>
        <v>60000</v>
      </c>
      <c r="M37" s="191">
        <f t="shared" ref="M37" si="23">SUM(M38:M41)</f>
        <v>0</v>
      </c>
      <c r="N37" s="212">
        <f t="shared" si="22"/>
        <v>1390103.89</v>
      </c>
      <c r="O37" s="193">
        <f>'QFR - B'!H24</f>
        <v>1431000</v>
      </c>
      <c r="P37" s="275">
        <f>O37-N37</f>
        <v>40896.110000000102</v>
      </c>
      <c r="Q37" s="57"/>
    </row>
    <row r="38" spans="1:17" s="207" customFormat="1" outlineLevel="1" x14ac:dyDescent="0.2">
      <c r="A38" s="198" t="s">
        <v>137</v>
      </c>
      <c r="B38" s="204" t="s">
        <v>99</v>
      </c>
      <c r="C38" s="290">
        <v>456837.31999999995</v>
      </c>
      <c r="D38" s="290">
        <v>31800</v>
      </c>
      <c r="E38" s="289">
        <v>33000</v>
      </c>
      <c r="F38" s="289"/>
      <c r="G38" s="289"/>
      <c r="H38" s="290">
        <f>SUMIF('Contract level'!$A:$A,"="&amp;'DFP-Com'!$A38,'Contract level'!BL:BL)</f>
        <v>33000</v>
      </c>
      <c r="I38" s="290">
        <f>SUMIF('Contract level'!$A:$A,"="&amp;'DFP-Com'!$A38,'Contract level'!BM:BM)</f>
        <v>0</v>
      </c>
      <c r="J38" s="290">
        <f>SUMIF('Contract level'!$A:$A,"="&amp;'DFP-Com'!$A38,'Contract level'!BN:BN)</f>
        <v>10000</v>
      </c>
      <c r="K38" s="290">
        <f>SUMIF('Contract level'!$A:$A,"="&amp;'DFP-Com'!$A38,'Contract level'!BO:BO)</f>
        <v>235000</v>
      </c>
      <c r="L38" s="290">
        <f>SUMIF('Contract level'!$A:$A,"="&amp;'DFP-Com'!$A38,'Contract level'!BP:BP)</f>
        <v>0</v>
      </c>
      <c r="M38" s="290">
        <f>SUMIF('Contract level'!$A:$A,"="&amp;'DFP-Com'!$A38,'Contract level'!BQ:BQ)</f>
        <v>0</v>
      </c>
      <c r="N38" s="196">
        <f>SUM(H38:M38)+D38+C38</f>
        <v>766637.32</v>
      </c>
      <c r="O38" s="262"/>
      <c r="P38" s="280"/>
      <c r="Q38" s="206"/>
    </row>
    <row r="39" spans="1:17" s="207" customFormat="1" outlineLevel="1" x14ac:dyDescent="0.2">
      <c r="A39" s="198" t="s">
        <v>138</v>
      </c>
      <c r="B39" s="204" t="s">
        <v>100</v>
      </c>
      <c r="C39" s="290">
        <v>0</v>
      </c>
      <c r="D39" s="196">
        <v>0</v>
      </c>
      <c r="E39" s="289"/>
      <c r="F39" s="289"/>
      <c r="G39" s="289"/>
      <c r="H39" s="290">
        <f>SUMIF('Contract level'!$A:$A,"="&amp;'DFP-Com'!$A39,'Contract level'!BL:BL)</f>
        <v>0</v>
      </c>
      <c r="I39" s="290">
        <f>SUMIF('Contract level'!$A:$A,"="&amp;'DFP-Com'!$A39,'Contract level'!BM:BM)</f>
        <v>0</v>
      </c>
      <c r="J39" s="290">
        <f>SUMIF('Contract level'!$A:$A,"="&amp;'DFP-Com'!$A39,'Contract level'!BN:BN)</f>
        <v>0</v>
      </c>
      <c r="K39" s="290">
        <f>SUMIF('Contract level'!$A:$A,"="&amp;'DFP-Com'!$A39,'Contract level'!BO:BO)</f>
        <v>0</v>
      </c>
      <c r="L39" s="290">
        <f>SUMIF('Contract level'!$A:$A,"="&amp;'DFP-Com'!$A39,'Contract level'!BP:BP)</f>
        <v>0</v>
      </c>
      <c r="M39" s="290">
        <f>SUMIF('Contract level'!$A:$A,"="&amp;'DFP-Com'!$A39,'Contract level'!BQ:BQ)</f>
        <v>0</v>
      </c>
      <c r="N39" s="290">
        <f>SUM(H39:M39)+D39+C39</f>
        <v>0</v>
      </c>
      <c r="O39" s="262"/>
      <c r="P39" s="280"/>
      <c r="Q39" s="206"/>
    </row>
    <row r="40" spans="1:17" s="207" customFormat="1" outlineLevel="1" x14ac:dyDescent="0.2">
      <c r="A40" s="198" t="s">
        <v>139</v>
      </c>
      <c r="B40" s="204" t="s">
        <v>101</v>
      </c>
      <c r="C40" s="290">
        <v>0</v>
      </c>
      <c r="D40" s="196">
        <v>0</v>
      </c>
      <c r="E40" s="289"/>
      <c r="F40" s="289"/>
      <c r="G40" s="289"/>
      <c r="H40" s="290">
        <f>SUMIF('Contract level'!$A:$A,"="&amp;'DFP-Com'!$A40,'Contract level'!BL:BL)</f>
        <v>0</v>
      </c>
      <c r="I40" s="290">
        <f>SUMIF('Contract level'!$A:$A,"="&amp;'DFP-Com'!$A40,'Contract level'!BM:BM)</f>
        <v>0</v>
      </c>
      <c r="J40" s="290">
        <f>SUMIF('Contract level'!$A:$A,"="&amp;'DFP-Com'!$A40,'Contract level'!BN:BN)</f>
        <v>0</v>
      </c>
      <c r="K40" s="290">
        <f>SUMIF('Contract level'!$A:$A,"="&amp;'DFP-Com'!$A40,'Contract level'!BO:BO)</f>
        <v>0</v>
      </c>
      <c r="L40" s="290">
        <f>SUMIF('Contract level'!$A:$A,"="&amp;'DFP-Com'!$A40,'Contract level'!BP:BP)</f>
        <v>0</v>
      </c>
      <c r="M40" s="290">
        <f>SUMIF('Contract level'!$A:$A,"="&amp;'DFP-Com'!$A40,'Contract level'!BQ:BQ)</f>
        <v>0</v>
      </c>
      <c r="N40" s="290">
        <f>SUM(H40:M40)+D40+C40</f>
        <v>0</v>
      </c>
      <c r="O40" s="262"/>
      <c r="P40" s="280"/>
      <c r="Q40" s="206"/>
    </row>
    <row r="41" spans="1:17" s="207" customFormat="1" outlineLevel="1" x14ac:dyDescent="0.2">
      <c r="A41" s="198" t="s">
        <v>140</v>
      </c>
      <c r="B41" s="204" t="s">
        <v>111</v>
      </c>
      <c r="C41" s="290">
        <v>40593.360000000001</v>
      </c>
      <c r="D41" s="290">
        <v>1873.21</v>
      </c>
      <c r="E41" s="289">
        <v>4000</v>
      </c>
      <c r="F41" s="289">
        <v>11000</v>
      </c>
      <c r="G41" s="289">
        <v>254000</v>
      </c>
      <c r="H41" s="290">
        <f>SUMIF('Contract level'!$A:$A,"="&amp;'DFP-Com'!$A41,'Contract level'!BL:BL)</f>
        <v>269000</v>
      </c>
      <c r="I41" s="290">
        <f>SUMIF('Contract level'!$A:$A,"="&amp;'DFP-Com'!$A41,'Contract level'!BM:BM)</f>
        <v>104000</v>
      </c>
      <c r="J41" s="290">
        <f>SUMIF('Contract level'!$A:$A,"="&amp;'DFP-Com'!$A41,'Contract level'!BN:BN)</f>
        <v>148000</v>
      </c>
      <c r="K41" s="290">
        <f>SUMIF('Contract level'!$A:$A,"="&amp;'DFP-Com'!$A41,'Contract level'!BO:BO)</f>
        <v>0</v>
      </c>
      <c r="L41" s="290">
        <f>SUMIF('Contract level'!$A:$A,"="&amp;'DFP-Com'!$A41,'Contract level'!BP:BP)</f>
        <v>60000</v>
      </c>
      <c r="M41" s="290">
        <f>SUMIF('Contract level'!$A:$A,"="&amp;'DFP-Com'!$A41,'Contract level'!BQ:BQ)</f>
        <v>0</v>
      </c>
      <c r="N41" s="290">
        <f>SUM(H41:M41)+D41+C41</f>
        <v>623466.56999999995</v>
      </c>
      <c r="O41" s="262"/>
      <c r="P41" s="280"/>
      <c r="Q41" s="206"/>
    </row>
    <row r="42" spans="1:17" s="33" customFormat="1" x14ac:dyDescent="0.2">
      <c r="A42" s="198"/>
      <c r="B42" s="53" t="s">
        <v>17</v>
      </c>
      <c r="C42" s="192">
        <f>C37</f>
        <v>497430.67999999993</v>
      </c>
      <c r="D42" s="192">
        <f>D37</f>
        <v>33673.21</v>
      </c>
      <c r="E42" s="192">
        <f t="shared" ref="E42:P42" si="24">E37</f>
        <v>37000</v>
      </c>
      <c r="F42" s="192">
        <f t="shared" si="24"/>
        <v>11000</v>
      </c>
      <c r="G42" s="192">
        <f t="shared" si="24"/>
        <v>254000</v>
      </c>
      <c r="H42" s="192">
        <f t="shared" ref="H42" si="25">H37</f>
        <v>302000</v>
      </c>
      <c r="I42" s="192">
        <f t="shared" ref="I42:L42" si="26">I37</f>
        <v>104000</v>
      </c>
      <c r="J42" s="192">
        <f t="shared" si="26"/>
        <v>158000</v>
      </c>
      <c r="K42" s="192">
        <f t="shared" si="26"/>
        <v>235000</v>
      </c>
      <c r="L42" s="192">
        <f t="shared" si="26"/>
        <v>60000</v>
      </c>
      <c r="M42" s="192">
        <f t="shared" ref="M42" si="27">M37</f>
        <v>0</v>
      </c>
      <c r="N42" s="192">
        <f t="shared" si="24"/>
        <v>1390103.89</v>
      </c>
      <c r="O42" s="263">
        <f t="shared" si="24"/>
        <v>1431000</v>
      </c>
      <c r="P42" s="281">
        <f t="shared" si="24"/>
        <v>40896.110000000102</v>
      </c>
      <c r="Q42" s="32"/>
    </row>
    <row r="43" spans="1:17" s="33" customFormat="1" x14ac:dyDescent="0.2">
      <c r="A43" s="198"/>
      <c r="B43" s="48"/>
      <c r="C43" s="264"/>
      <c r="D43" s="209"/>
      <c r="E43" s="209"/>
      <c r="F43" s="209"/>
      <c r="G43" s="209"/>
      <c r="H43" s="209"/>
      <c r="I43" s="209"/>
      <c r="J43" s="209"/>
      <c r="K43" s="209"/>
      <c r="L43" s="209"/>
      <c r="M43" s="209"/>
      <c r="N43" s="209"/>
      <c r="O43" s="260"/>
      <c r="P43" s="278"/>
      <c r="Q43" s="32"/>
    </row>
    <row r="44" spans="1:17" s="58" customFormat="1" x14ac:dyDescent="0.2">
      <c r="A44" s="198"/>
      <c r="B44" s="40" t="s">
        <v>75</v>
      </c>
      <c r="C44" s="266"/>
      <c r="D44" s="257"/>
      <c r="E44" s="257"/>
      <c r="F44" s="257"/>
      <c r="G44" s="257"/>
      <c r="H44" s="257"/>
      <c r="I44" s="257"/>
      <c r="J44" s="257"/>
      <c r="K44" s="257"/>
      <c r="L44" s="257"/>
      <c r="M44" s="257"/>
      <c r="N44" s="210"/>
      <c r="O44" s="261"/>
      <c r="P44" s="279"/>
      <c r="Q44" s="57"/>
    </row>
    <row r="45" spans="1:17" s="33" customFormat="1" outlineLevel="1" x14ac:dyDescent="0.2">
      <c r="A45" s="198"/>
      <c r="B45" s="60" t="s">
        <v>84</v>
      </c>
      <c r="C45" s="191">
        <f t="shared" ref="C45:G45" si="28">SUM(C46:C49)</f>
        <v>807167.90999999992</v>
      </c>
      <c r="D45" s="191">
        <f t="shared" si="28"/>
        <v>10756.309999999998</v>
      </c>
      <c r="E45" s="191">
        <f t="shared" si="28"/>
        <v>258544.5</v>
      </c>
      <c r="F45" s="191">
        <f t="shared" si="28"/>
        <v>6000</v>
      </c>
      <c r="G45" s="191">
        <f t="shared" si="28"/>
        <v>4000</v>
      </c>
      <c r="H45" s="191">
        <f t="shared" ref="H45" si="29">SUM(H46:H49)</f>
        <v>268544.5</v>
      </c>
      <c r="I45" s="191">
        <f t="shared" ref="I45:L45" si="30">SUM(I46:I49)</f>
        <v>16327.9</v>
      </c>
      <c r="J45" s="191">
        <f t="shared" si="30"/>
        <v>6500.02</v>
      </c>
      <c r="K45" s="191">
        <f t="shared" si="30"/>
        <v>2000</v>
      </c>
      <c r="L45" s="191">
        <f t="shared" si="30"/>
        <v>151625.02499999997</v>
      </c>
      <c r="M45" s="191">
        <f t="shared" ref="M45" si="31">SUM(M46:M49)</f>
        <v>0</v>
      </c>
      <c r="N45" s="212">
        <f>C45+D45+SUM(H45:L45)</f>
        <v>1262921.665</v>
      </c>
      <c r="O45" s="193">
        <f>'QFR - B'!H27</f>
        <v>1060500</v>
      </c>
      <c r="P45" s="275">
        <f>O45-N45</f>
        <v>-202421.66500000004</v>
      </c>
      <c r="Q45" s="32"/>
    </row>
    <row r="46" spans="1:17" s="201" customFormat="1" ht="12.75" customHeight="1" outlineLevel="1" x14ac:dyDescent="0.2">
      <c r="A46" s="198" t="s">
        <v>141</v>
      </c>
      <c r="B46" s="208" t="s">
        <v>121</v>
      </c>
      <c r="C46" s="290">
        <v>563291.39</v>
      </c>
      <c r="D46" s="290">
        <v>-4206.9600000000009</v>
      </c>
      <c r="E46" s="289">
        <v>252544.5</v>
      </c>
      <c r="F46" s="289"/>
      <c r="G46" s="289">
        <v>0</v>
      </c>
      <c r="H46" s="290">
        <f>SUMIF('Contract level'!$A:$A,"="&amp;'DFP-Com'!$A46,'Contract level'!BL:BL)</f>
        <v>252544.5</v>
      </c>
      <c r="I46" s="290">
        <f>SUMIF('Contract level'!$A:$A,"="&amp;'DFP-Com'!$A46,'Contract level'!BM:BM)</f>
        <v>0</v>
      </c>
      <c r="J46" s="290">
        <f>SUMIF('Contract level'!$A:$A,"="&amp;'DFP-Com'!$A46,'Contract level'!BN:BN)</f>
        <v>0</v>
      </c>
      <c r="K46" s="290">
        <f>SUMIF('Contract level'!$A:$A,"="&amp;'DFP-Com'!$A46,'Contract level'!BO:BO)</f>
        <v>0</v>
      </c>
      <c r="L46" s="290">
        <f>SUMIF('Contract level'!$A:$A,"="&amp;'DFP-Com'!$A46,'Contract level'!BP:BP)</f>
        <v>138899.47499999998</v>
      </c>
      <c r="M46" s="290">
        <f>SUMIF('Contract level'!$A:$A,"="&amp;'DFP-Com'!$A46,'Contract level'!BQ:BQ)</f>
        <v>0</v>
      </c>
      <c r="N46" s="196">
        <f>SUM(H46:M46)+D46+C46</f>
        <v>950528.40500000003</v>
      </c>
      <c r="O46" s="262"/>
      <c r="P46" s="276"/>
      <c r="Q46" s="200"/>
    </row>
    <row r="47" spans="1:17" s="201" customFormat="1" outlineLevel="1" x14ac:dyDescent="0.2">
      <c r="A47" s="198" t="s">
        <v>142</v>
      </c>
      <c r="B47" s="208" t="s">
        <v>122</v>
      </c>
      <c r="C47" s="290">
        <v>33152.31</v>
      </c>
      <c r="D47" s="290">
        <v>11122.14</v>
      </c>
      <c r="E47" s="289">
        <v>4000</v>
      </c>
      <c r="F47" s="289">
        <v>4000</v>
      </c>
      <c r="G47" s="289">
        <v>4000</v>
      </c>
      <c r="H47" s="290">
        <f>SUMIF('Contract level'!$A:$A,"="&amp;'DFP-Com'!$A47,'Contract level'!BL:BL)</f>
        <v>12000</v>
      </c>
      <c r="I47" s="290">
        <f>SUMIF('Contract level'!$A:$A,"="&amp;'DFP-Com'!$A47,'Contract level'!BM:BM)</f>
        <v>15000</v>
      </c>
      <c r="J47" s="290">
        <f>SUMIF('Contract level'!$A:$A,"="&amp;'DFP-Com'!$A47,'Contract level'!BN:BN)</f>
        <v>2000</v>
      </c>
      <c r="K47" s="290">
        <f>SUMIF('Contract level'!$A:$A,"="&amp;'DFP-Com'!$A47,'Contract level'!BO:BO)</f>
        <v>2000</v>
      </c>
      <c r="L47" s="290">
        <f>SUMIF('Contract level'!$A:$A,"="&amp;'DFP-Com'!$A47,'Contract level'!BP:BP)</f>
        <v>2725.55</v>
      </c>
      <c r="M47" s="290">
        <f>SUMIF('Contract level'!$A:$A,"="&amp;'DFP-Com'!$A47,'Contract level'!BQ:BQ)</f>
        <v>0</v>
      </c>
      <c r="N47" s="290">
        <f>SUM(H47:L47)+D47+C47</f>
        <v>78000</v>
      </c>
      <c r="O47" s="262"/>
      <c r="P47" s="280"/>
      <c r="Q47" s="200"/>
    </row>
    <row r="48" spans="1:17" s="201" customFormat="1" outlineLevel="1" x14ac:dyDescent="0.2">
      <c r="A48" s="198" t="s">
        <v>143</v>
      </c>
      <c r="B48" s="208" t="s">
        <v>123</v>
      </c>
      <c r="C48" s="290">
        <v>120000</v>
      </c>
      <c r="D48" s="290">
        <v>0</v>
      </c>
      <c r="E48" s="289"/>
      <c r="F48" s="289"/>
      <c r="G48" s="289"/>
      <c r="H48" s="290">
        <f>SUMIF('Contract level'!$A:$A,"="&amp;'DFP-Com'!$A48,'Contract level'!BL:BL)</f>
        <v>0</v>
      </c>
      <c r="I48" s="290">
        <f>SUMIF('Contract level'!$A:$A,"="&amp;'DFP-Com'!$A48,'Contract level'!BM:BM)</f>
        <v>0</v>
      </c>
      <c r="J48" s="290">
        <f>SUMIF('Contract level'!$A:$A,"="&amp;'DFP-Com'!$A48,'Contract level'!BN:BN)</f>
        <v>0</v>
      </c>
      <c r="K48" s="290">
        <f>SUMIF('Contract level'!$A:$A,"="&amp;'DFP-Com'!$A48,'Contract level'!BO:BO)</f>
        <v>0</v>
      </c>
      <c r="L48" s="290">
        <f>SUMIF('Contract level'!$A:$A,"="&amp;'DFP-Com'!$A48,'Contract level'!BP:BP)</f>
        <v>0</v>
      </c>
      <c r="M48" s="290">
        <f>SUMIF('Contract level'!$A:$A,"="&amp;'DFP-Com'!$A48,'Contract level'!BQ:BQ)</f>
        <v>0</v>
      </c>
      <c r="N48" s="290">
        <f>SUM(H48:L48)+D48+C48</f>
        <v>120000</v>
      </c>
      <c r="O48" s="262"/>
      <c r="P48" s="280"/>
      <c r="Q48" s="200"/>
    </row>
    <row r="49" spans="1:17" s="201" customFormat="1" outlineLevel="1" x14ac:dyDescent="0.2">
      <c r="A49" s="198" t="s">
        <v>144</v>
      </c>
      <c r="B49" s="208" t="s">
        <v>124</v>
      </c>
      <c r="C49" s="290">
        <v>90724.209999999992</v>
      </c>
      <c r="D49" s="290">
        <v>3841.13</v>
      </c>
      <c r="E49" s="289">
        <v>2000</v>
      </c>
      <c r="F49" s="289">
        <v>2000</v>
      </c>
      <c r="G49" s="289">
        <v>0</v>
      </c>
      <c r="H49" s="290">
        <f>SUMIF('Contract level'!$A:$A,"="&amp;'DFP-Com'!$A49,'Contract level'!BL:BL)</f>
        <v>4000</v>
      </c>
      <c r="I49" s="290">
        <f>SUMIF('Contract level'!$A:$A,"="&amp;'DFP-Com'!$A49,'Contract level'!BM:BM)</f>
        <v>1327.9</v>
      </c>
      <c r="J49" s="290">
        <f>SUMIF('Contract level'!$A:$A,"="&amp;'DFP-Com'!$A49,'Contract level'!BN:BN)</f>
        <v>4500.0200000000004</v>
      </c>
      <c r="K49" s="290">
        <f>SUMIF('Contract level'!$A:$A,"="&amp;'DFP-Com'!$A49,'Contract level'!BO:BO)</f>
        <v>0</v>
      </c>
      <c r="L49" s="290">
        <f>SUMIF('Contract level'!$A:$A,"="&amp;'DFP-Com'!$A49,'Contract level'!BP:BP)</f>
        <v>10000</v>
      </c>
      <c r="M49" s="290">
        <f>SUMIF('Contract level'!$A:$A,"="&amp;'DFP-Com'!$A49,'Contract level'!BQ:BQ)</f>
        <v>0</v>
      </c>
      <c r="N49" s="290">
        <f>SUM(H49:L49)+D49+C49</f>
        <v>114393.26</v>
      </c>
      <c r="O49" s="262"/>
      <c r="P49" s="280"/>
      <c r="Q49" s="200"/>
    </row>
    <row r="50" spans="1:17" s="58" customFormat="1" x14ac:dyDescent="0.2">
      <c r="A50" s="9"/>
      <c r="B50" s="61" t="s">
        <v>83</v>
      </c>
      <c r="C50" s="192">
        <f t="shared" ref="C50:P50" si="32">C45</f>
        <v>807167.90999999992</v>
      </c>
      <c r="D50" s="192">
        <f t="shared" si="32"/>
        <v>10756.309999999998</v>
      </c>
      <c r="E50" s="192">
        <f t="shared" si="32"/>
        <v>258544.5</v>
      </c>
      <c r="F50" s="192">
        <f t="shared" si="32"/>
        <v>6000</v>
      </c>
      <c r="G50" s="192">
        <f t="shared" si="32"/>
        <v>4000</v>
      </c>
      <c r="H50" s="192">
        <f t="shared" ref="H50" si="33">H45</f>
        <v>268544.5</v>
      </c>
      <c r="I50" s="192">
        <f t="shared" ref="I50:L50" si="34">I45</f>
        <v>16327.9</v>
      </c>
      <c r="J50" s="192">
        <f t="shared" si="34"/>
        <v>6500.02</v>
      </c>
      <c r="K50" s="192">
        <f t="shared" si="34"/>
        <v>2000</v>
      </c>
      <c r="L50" s="192">
        <f t="shared" si="34"/>
        <v>151625.02499999997</v>
      </c>
      <c r="M50" s="192">
        <f t="shared" ref="M50" si="35">M45</f>
        <v>0</v>
      </c>
      <c r="N50" s="192">
        <f t="shared" si="32"/>
        <v>1262921.665</v>
      </c>
      <c r="O50" s="263">
        <f t="shared" si="32"/>
        <v>1060500</v>
      </c>
      <c r="P50" s="281">
        <f t="shared" si="32"/>
        <v>-202421.66500000004</v>
      </c>
      <c r="Q50" s="57"/>
    </row>
    <row r="51" spans="1:17" s="33" customFormat="1" x14ac:dyDescent="0.2">
      <c r="A51" s="5"/>
      <c r="B51" s="48"/>
      <c r="C51" s="264"/>
      <c r="D51" s="209"/>
      <c r="E51" s="209"/>
      <c r="F51" s="209"/>
      <c r="G51" s="209"/>
      <c r="H51" s="209"/>
      <c r="I51" s="209"/>
      <c r="J51" s="209"/>
      <c r="K51" s="209"/>
      <c r="L51" s="209"/>
      <c r="M51" s="209"/>
      <c r="N51" s="211"/>
      <c r="O51" s="260"/>
      <c r="P51" s="282"/>
      <c r="Q51" s="32"/>
    </row>
    <row r="52" spans="1:17" s="220" customFormat="1" ht="13.5" customHeight="1" thickBot="1" x14ac:dyDescent="0.3">
      <c r="A52" s="216"/>
      <c r="B52" s="221" t="s">
        <v>117</v>
      </c>
      <c r="C52" s="218">
        <f t="shared" ref="C52:G52" si="36">C50+C42+C34+C25</f>
        <v>22347226.190000001</v>
      </c>
      <c r="D52" s="218">
        <f t="shared" si="36"/>
        <v>48062.32</v>
      </c>
      <c r="E52" s="218">
        <f t="shared" si="36"/>
        <v>458954.5</v>
      </c>
      <c r="F52" s="218">
        <f t="shared" si="36"/>
        <v>90635.86</v>
      </c>
      <c r="G52" s="218">
        <f t="shared" si="36"/>
        <v>366221.75</v>
      </c>
      <c r="H52" s="218">
        <f t="shared" ref="H52" si="37">H50+H42+H34+H25</f>
        <v>915812.11</v>
      </c>
      <c r="I52" s="218">
        <f t="shared" ref="I52:L52" si="38">I50+I42+I34+I25</f>
        <v>336849.31999999995</v>
      </c>
      <c r="J52" s="218">
        <f t="shared" si="38"/>
        <v>164500.01999999999</v>
      </c>
      <c r="K52" s="218">
        <f t="shared" si="38"/>
        <v>421550</v>
      </c>
      <c r="L52" s="218">
        <f t="shared" si="38"/>
        <v>277776.82749999996</v>
      </c>
      <c r="M52" s="218">
        <f t="shared" ref="M52" si="39">M50+M42+M34+M25</f>
        <v>0</v>
      </c>
      <c r="N52" s="218">
        <f t="shared" ref="N52:P52" si="40">N50+N42+N34+N25</f>
        <v>24511776.787499998</v>
      </c>
      <c r="O52" s="218">
        <f t="shared" si="40"/>
        <v>26197500</v>
      </c>
      <c r="P52" s="283">
        <f t="shared" si="40"/>
        <v>1685723.2125000006</v>
      </c>
      <c r="Q52" s="219"/>
    </row>
    <row r="53" spans="1:17" ht="13.5" thickTop="1" x14ac:dyDescent="0.2">
      <c r="B53" s="7" t="s">
        <v>236</v>
      </c>
      <c r="C53" s="267"/>
      <c r="D53" s="258"/>
      <c r="H53" s="258"/>
      <c r="I53" s="258"/>
      <c r="J53" s="258"/>
      <c r="K53" s="258"/>
      <c r="L53" s="258"/>
      <c r="M53" s="258"/>
      <c r="N53" s="258"/>
      <c r="O53" s="268"/>
      <c r="P53" s="284"/>
    </row>
    <row r="54" spans="1:17" ht="25.35" customHeight="1" x14ac:dyDescent="0.2">
      <c r="B54" s="495" t="s">
        <v>120</v>
      </c>
      <c r="C54" s="495"/>
      <c r="D54" s="495"/>
      <c r="E54" s="495"/>
      <c r="F54" s="495"/>
      <c r="G54" s="495"/>
      <c r="H54" s="258"/>
      <c r="I54" s="258"/>
      <c r="J54" s="258"/>
      <c r="K54" s="258"/>
      <c r="L54" s="258"/>
      <c r="M54" s="258"/>
      <c r="N54" s="258"/>
      <c r="O54" s="268"/>
      <c r="P54" s="285"/>
    </row>
    <row r="55" spans="1:17" x14ac:dyDescent="0.2">
      <c r="B55" s="7"/>
      <c r="C55" s="267"/>
      <c r="D55" s="258"/>
      <c r="H55" s="258"/>
      <c r="I55" s="258"/>
      <c r="J55" s="258"/>
      <c r="K55" s="258"/>
      <c r="L55" s="258"/>
      <c r="M55" s="258"/>
      <c r="N55" s="258"/>
      <c r="O55" s="268"/>
      <c r="P55" s="284"/>
    </row>
    <row r="56" spans="1:17" x14ac:dyDescent="0.2">
      <c r="B56" s="7"/>
      <c r="C56" s="267"/>
      <c r="D56" s="258"/>
      <c r="H56" s="258"/>
      <c r="I56" s="258"/>
      <c r="J56" s="258"/>
      <c r="K56" s="258"/>
      <c r="L56" s="258"/>
      <c r="M56" s="258"/>
      <c r="N56" s="258"/>
      <c r="O56" s="268"/>
      <c r="P56" s="285"/>
    </row>
    <row r="57" spans="1:17" x14ac:dyDescent="0.2">
      <c r="B57" s="7"/>
      <c r="C57" s="267"/>
      <c r="D57" s="258"/>
      <c r="H57" s="258"/>
      <c r="I57" s="258"/>
      <c r="J57" s="258"/>
      <c r="K57" s="258"/>
      <c r="L57" s="258"/>
      <c r="M57" s="258"/>
      <c r="N57" s="258"/>
      <c r="O57" s="268"/>
      <c r="P57" s="285"/>
    </row>
    <row r="58" spans="1:17" x14ac:dyDescent="0.2">
      <c r="B58" s="7"/>
      <c r="C58" s="267"/>
      <c r="D58" s="258"/>
      <c r="H58" s="258"/>
      <c r="I58" s="258"/>
      <c r="J58" s="258"/>
      <c r="K58" s="258"/>
      <c r="L58" s="258"/>
      <c r="M58" s="258"/>
      <c r="N58" s="258"/>
      <c r="O58" s="268"/>
      <c r="P58" s="285"/>
    </row>
    <row r="59" spans="1:17" x14ac:dyDescent="0.2">
      <c r="B59" s="7"/>
      <c r="C59" s="267"/>
      <c r="D59" s="258"/>
      <c r="H59" s="258"/>
      <c r="I59" s="258"/>
      <c r="J59" s="258"/>
      <c r="K59" s="258"/>
      <c r="L59" s="258"/>
      <c r="M59" s="258"/>
      <c r="N59" s="258"/>
      <c r="O59" s="268"/>
      <c r="P59" s="285"/>
    </row>
    <row r="60" spans="1:17" x14ac:dyDescent="0.2">
      <c r="B60" s="7"/>
      <c r="C60" s="267"/>
      <c r="D60" s="258"/>
      <c r="H60" s="258"/>
      <c r="I60" s="258"/>
      <c r="J60" s="258"/>
      <c r="K60" s="258"/>
      <c r="L60" s="258"/>
      <c r="M60" s="258"/>
      <c r="N60" s="258"/>
      <c r="O60" s="268"/>
      <c r="P60" s="285"/>
    </row>
    <row r="61" spans="1:17" x14ac:dyDescent="0.2">
      <c r="C61" s="267"/>
      <c r="D61" s="258"/>
      <c r="H61" s="258"/>
      <c r="I61" s="258"/>
      <c r="J61" s="258"/>
      <c r="K61" s="258"/>
      <c r="L61" s="258"/>
      <c r="M61" s="258"/>
      <c r="N61" s="258"/>
      <c r="O61" s="268"/>
      <c r="P61" s="285"/>
    </row>
    <row r="62" spans="1:17" x14ac:dyDescent="0.2">
      <c r="C62" s="267"/>
      <c r="D62" s="258"/>
      <c r="H62" s="258"/>
      <c r="I62" s="258"/>
      <c r="J62" s="258"/>
      <c r="K62" s="258"/>
      <c r="L62" s="258"/>
      <c r="M62" s="258"/>
      <c r="N62" s="258"/>
      <c r="O62" s="268"/>
      <c r="P62" s="285"/>
    </row>
    <row r="63" spans="1:17" x14ac:dyDescent="0.2">
      <c r="C63" s="267"/>
      <c r="D63" s="258"/>
      <c r="H63" s="258"/>
      <c r="I63" s="258"/>
      <c r="J63" s="258"/>
      <c r="K63" s="258"/>
      <c r="L63" s="258"/>
      <c r="M63" s="258"/>
      <c r="N63" s="258"/>
      <c r="O63" s="268"/>
      <c r="P63" s="285"/>
    </row>
    <row r="64" spans="1:17" x14ac:dyDescent="0.2">
      <c r="C64" s="267"/>
      <c r="D64" s="258"/>
      <c r="H64" s="258"/>
      <c r="I64" s="258"/>
      <c r="J64" s="258"/>
      <c r="K64" s="258"/>
      <c r="L64" s="258"/>
      <c r="M64" s="258"/>
      <c r="N64" s="258"/>
      <c r="O64" s="268"/>
      <c r="P64" s="285"/>
    </row>
    <row r="65" spans="3:16" x14ac:dyDescent="0.2">
      <c r="C65" s="267"/>
      <c r="D65" s="258"/>
      <c r="H65" s="258"/>
      <c r="I65" s="258"/>
      <c r="J65" s="258"/>
      <c r="K65" s="258"/>
      <c r="L65" s="258"/>
      <c r="M65" s="258"/>
      <c r="N65" s="258"/>
      <c r="O65" s="268"/>
      <c r="P65" s="285"/>
    </row>
    <row r="66" spans="3:16" x14ac:dyDescent="0.2">
      <c r="C66" s="267"/>
      <c r="D66" s="258"/>
      <c r="H66" s="258"/>
      <c r="I66" s="258"/>
      <c r="J66" s="258"/>
      <c r="K66" s="258"/>
      <c r="L66" s="258"/>
      <c r="M66" s="258"/>
      <c r="N66" s="258"/>
      <c r="O66" s="268"/>
      <c r="P66" s="285"/>
    </row>
    <row r="67" spans="3:16" x14ac:dyDescent="0.2">
      <c r="P67" s="285"/>
    </row>
    <row r="68" spans="3:16" x14ac:dyDescent="0.2">
      <c r="P68" s="285"/>
    </row>
    <row r="69" spans="3:16" x14ac:dyDescent="0.2">
      <c r="P69" s="285"/>
    </row>
    <row r="70" spans="3:16" x14ac:dyDescent="0.2">
      <c r="P70" s="285"/>
    </row>
    <row r="71" spans="3:16" x14ac:dyDescent="0.2">
      <c r="P71" s="285"/>
    </row>
    <row r="72" spans="3:16" x14ac:dyDescent="0.2">
      <c r="P72" s="285"/>
    </row>
    <row r="73" spans="3:16" x14ac:dyDescent="0.2">
      <c r="P73" s="285"/>
    </row>
    <row r="83" spans="4:14" x14ac:dyDescent="0.2">
      <c r="H83" s="64"/>
      <c r="I83" s="64"/>
      <c r="J83" s="64"/>
      <c r="K83" s="64"/>
      <c r="L83" s="64"/>
      <c r="M83" s="64"/>
      <c r="N83" s="65"/>
    </row>
    <row r="84" spans="4:14" x14ac:dyDescent="0.2">
      <c r="D84" s="66"/>
    </row>
  </sheetData>
  <mergeCells count="7">
    <mergeCell ref="B54:G54"/>
    <mergeCell ref="P10:P11"/>
    <mergeCell ref="B9:B10"/>
    <mergeCell ref="O10:O11"/>
    <mergeCell ref="N10:N11"/>
    <mergeCell ref="E10:G10"/>
    <mergeCell ref="E9:G9"/>
  </mergeCells>
  <phoneticPr fontId="28" type="noConversion"/>
  <printOptions horizontalCentered="1"/>
  <pageMargins left="0.7" right="0.7" top="0.75" bottom="0.75" header="0.3" footer="0.3"/>
  <pageSetup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N70"/>
  <sheetViews>
    <sheetView showGridLines="0" tabSelected="1" topLeftCell="B12" zoomScale="85" zoomScaleNormal="85" zoomScalePageLayoutView="85" workbookViewId="0">
      <selection activeCell="H54" sqref="H54"/>
    </sheetView>
  </sheetViews>
  <sheetFormatPr baseColWidth="10" defaultColWidth="0" defaultRowHeight="12.75" outlineLevelRow="1" outlineLevelCol="1" x14ac:dyDescent="0.2"/>
  <cols>
    <col min="1" max="1" width="8.5703125" style="1" hidden="1" customWidth="1" outlineLevel="1"/>
    <col min="2" max="2" width="49.42578125" style="1" customWidth="1" collapsed="1"/>
    <col min="3" max="3" width="17.42578125" style="62" customWidth="1"/>
    <col min="4" max="4" width="21.140625" style="1" customWidth="1"/>
    <col min="5" max="6" width="15.5703125" style="1" bestFit="1" customWidth="1"/>
    <col min="7" max="7" width="14.42578125" style="258" customWidth="1"/>
    <col min="8" max="8" width="16.7109375" style="1" customWidth="1"/>
    <col min="9" max="13" width="15" style="1" customWidth="1"/>
    <col min="14" max="15" width="17.42578125" style="1" customWidth="1"/>
    <col min="16" max="16" width="19.42578125" style="6" customWidth="1"/>
    <col min="17" max="17" width="17.42578125" style="9" hidden="1" customWidth="1"/>
    <col min="18" max="18" width="22.42578125" style="9" hidden="1" customWidth="1"/>
    <col min="19" max="39" width="11.42578125" style="5" hidden="1" customWidth="1"/>
    <col min="40" max="40" width="11.42578125" style="5" hidden="1"/>
    <col min="41" max="16384" width="0" style="5" hidden="1"/>
  </cols>
  <sheetData>
    <row r="1" spans="1:19" ht="13.5" hidden="1" outlineLevel="1" thickBot="1" x14ac:dyDescent="0.25">
      <c r="B1" s="2" t="s">
        <v>18</v>
      </c>
      <c r="C1" s="3"/>
      <c r="D1" s="4"/>
      <c r="E1" s="5"/>
      <c r="F1" s="5"/>
      <c r="G1" s="249"/>
    </row>
    <row r="2" spans="1:19" ht="13.5" hidden="1" outlineLevel="1" thickBot="1" x14ac:dyDescent="0.25">
      <c r="B2" s="8"/>
      <c r="C2" s="3"/>
      <c r="D2" s="4"/>
      <c r="E2" s="5"/>
      <c r="F2" s="5"/>
      <c r="G2" s="249"/>
      <c r="S2" s="9"/>
    </row>
    <row r="3" spans="1:19" ht="12.75" hidden="1" customHeight="1" outlineLevel="1" x14ac:dyDescent="0.25">
      <c r="B3" s="10" t="s">
        <v>1</v>
      </c>
      <c r="C3" s="11"/>
      <c r="D3" s="12" t="s">
        <v>63</v>
      </c>
      <c r="E3" s="72"/>
      <c r="F3" s="72"/>
      <c r="G3" s="250"/>
    </row>
    <row r="4" spans="1:19" ht="12.75" hidden="1" customHeight="1" outlineLevel="1" x14ac:dyDescent="0.25">
      <c r="B4" s="13" t="s">
        <v>2</v>
      </c>
      <c r="C4" s="14"/>
      <c r="D4" s="15" t="s">
        <v>64</v>
      </c>
      <c r="E4" s="72"/>
      <c r="F4" s="72"/>
      <c r="G4" s="250"/>
    </row>
    <row r="5" spans="1:19" ht="12.75" hidden="1" customHeight="1" outlineLevel="1" x14ac:dyDescent="0.25">
      <c r="B5" s="16" t="s">
        <v>3</v>
      </c>
      <c r="C5" s="14"/>
      <c r="D5" s="15" t="str">
        <f>'THP DR'!B7</f>
        <v>TR14GTM15001</v>
      </c>
      <c r="E5" s="72"/>
      <c r="F5" s="72"/>
      <c r="G5" s="250"/>
    </row>
    <row r="6" spans="1:19" ht="12.75" hidden="1" customHeight="1" outlineLevel="1" x14ac:dyDescent="0.25">
      <c r="B6" s="13" t="s">
        <v>4</v>
      </c>
      <c r="C6" s="14"/>
      <c r="D6" s="324">
        <v>43811</v>
      </c>
      <c r="E6" s="76"/>
      <c r="F6" s="76"/>
      <c r="G6" s="250"/>
      <c r="S6" s="9"/>
    </row>
    <row r="7" spans="1:19" ht="13.5" hidden="1" customHeight="1" outlineLevel="1" thickBot="1" x14ac:dyDescent="0.25">
      <c r="B7" s="17" t="s">
        <v>5</v>
      </c>
      <c r="C7" s="18"/>
      <c r="D7" s="184">
        <v>15</v>
      </c>
      <c r="E7" s="302"/>
      <c r="F7" s="302"/>
      <c r="G7" s="250"/>
    </row>
    <row r="8" spans="1:19" ht="12.75" hidden="1" customHeight="1" outlineLevel="1" x14ac:dyDescent="0.2">
      <c r="B8" s="5"/>
      <c r="C8" s="19"/>
      <c r="D8" s="20"/>
      <c r="E8" s="20"/>
      <c r="F8" s="20"/>
      <c r="G8" s="251"/>
    </row>
    <row r="9" spans="1:19" ht="12.75" hidden="1" customHeight="1" outlineLevel="1" x14ac:dyDescent="0.2">
      <c r="B9" s="21"/>
      <c r="C9" s="21"/>
      <c r="D9" s="21"/>
      <c r="E9" s="21"/>
      <c r="F9" s="21"/>
      <c r="G9" s="252"/>
      <c r="P9" s="22"/>
    </row>
    <row r="10" spans="1:19" s="319" customFormat="1" ht="13.5" hidden="1" customHeight="1" outlineLevel="1" x14ac:dyDescent="0.2">
      <c r="A10" s="23"/>
      <c r="B10" s="24"/>
      <c r="C10" s="25"/>
      <c r="D10" s="26"/>
      <c r="E10" s="26"/>
      <c r="F10" s="26"/>
      <c r="G10" s="253"/>
      <c r="H10" s="23"/>
      <c r="I10" s="23"/>
      <c r="J10" s="23"/>
      <c r="K10" s="23"/>
      <c r="L10" s="23"/>
      <c r="M10" s="23"/>
      <c r="N10" s="23"/>
      <c r="O10" s="23"/>
      <c r="P10" s="22"/>
      <c r="Q10" s="9"/>
      <c r="R10" s="9"/>
    </row>
    <row r="11" spans="1:19" ht="15.75" hidden="1" outlineLevel="1" x14ac:dyDescent="0.2">
      <c r="A11" s="5"/>
      <c r="B11" s="497" t="s">
        <v>19</v>
      </c>
      <c r="C11" s="27" t="s">
        <v>7</v>
      </c>
      <c r="D11" s="28" t="s">
        <v>8</v>
      </c>
      <c r="E11" s="509" t="s">
        <v>9</v>
      </c>
      <c r="F11" s="510"/>
      <c r="G11" s="510"/>
      <c r="H11" s="223"/>
      <c r="I11" s="223"/>
      <c r="J11" s="223"/>
      <c r="K11" s="223"/>
      <c r="L11" s="223"/>
      <c r="M11" s="223"/>
      <c r="N11" s="29" t="s">
        <v>10</v>
      </c>
      <c r="O11" s="29" t="s">
        <v>10</v>
      </c>
      <c r="P11" s="29" t="s">
        <v>11</v>
      </c>
      <c r="Q11" s="5"/>
      <c r="R11" s="5"/>
    </row>
    <row r="12" spans="1:19" ht="87" customHeight="1" collapsed="1" x14ac:dyDescent="0.2">
      <c r="A12" s="5"/>
      <c r="B12" s="497"/>
      <c r="C12" s="30" t="s">
        <v>204</v>
      </c>
      <c r="D12" s="31" t="s">
        <v>238</v>
      </c>
      <c r="E12" s="506" t="str">
        <f>"Grant Quarter #"&amp;$D$7</f>
        <v>Grant Quarter #15</v>
      </c>
      <c r="F12" s="507"/>
      <c r="G12" s="508"/>
      <c r="H12" s="317" t="s">
        <v>200</v>
      </c>
      <c r="I12" s="317" t="s">
        <v>201</v>
      </c>
      <c r="J12" s="339" t="s">
        <v>252</v>
      </c>
      <c r="K12" s="339" t="s">
        <v>253</v>
      </c>
      <c r="L12" s="339" t="s">
        <v>273</v>
      </c>
      <c r="M12" s="369" t="s">
        <v>274</v>
      </c>
      <c r="N12" s="504" t="s">
        <v>20</v>
      </c>
      <c r="O12" s="505" t="s">
        <v>103</v>
      </c>
      <c r="P12" s="503" t="s">
        <v>15</v>
      </c>
      <c r="Q12" s="5"/>
      <c r="R12" s="5"/>
    </row>
    <row r="13" spans="1:19" ht="25.5" x14ac:dyDescent="0.2">
      <c r="A13" s="5"/>
      <c r="B13" s="34" t="s">
        <v>16</v>
      </c>
      <c r="C13" s="35" t="s">
        <v>275</v>
      </c>
      <c r="D13" s="36" t="s">
        <v>276</v>
      </c>
      <c r="E13" s="259" t="s">
        <v>277</v>
      </c>
      <c r="F13" s="259" t="s">
        <v>278</v>
      </c>
      <c r="G13" s="259" t="s">
        <v>279</v>
      </c>
      <c r="H13" s="317" t="s">
        <v>202</v>
      </c>
      <c r="I13" s="317" t="s">
        <v>235</v>
      </c>
      <c r="J13" s="339" t="s">
        <v>249</v>
      </c>
      <c r="K13" s="339" t="s">
        <v>250</v>
      </c>
      <c r="L13" s="339" t="s">
        <v>251</v>
      </c>
      <c r="M13" s="369" t="s">
        <v>235</v>
      </c>
      <c r="N13" s="504"/>
      <c r="O13" s="505"/>
      <c r="P13" s="503"/>
      <c r="Q13" s="5"/>
      <c r="R13" s="5"/>
    </row>
    <row r="14" spans="1:19" s="320" customFormat="1" ht="15" x14ac:dyDescent="0.25">
      <c r="A14"/>
      <c r="B14" s="183" t="s">
        <v>85</v>
      </c>
      <c r="C14" s="183" t="s">
        <v>86</v>
      </c>
      <c r="D14" s="183" t="s">
        <v>87</v>
      </c>
      <c r="E14" s="254" t="s">
        <v>88</v>
      </c>
      <c r="F14" s="254" t="s">
        <v>89</v>
      </c>
      <c r="G14" s="248" t="s">
        <v>90</v>
      </c>
      <c r="H14" s="254" t="s">
        <v>91</v>
      </c>
      <c r="I14" s="248" t="s">
        <v>92</v>
      </c>
      <c r="J14" s="254" t="s">
        <v>254</v>
      </c>
      <c r="K14" s="248" t="s">
        <v>255</v>
      </c>
      <c r="L14" s="254" t="s">
        <v>256</v>
      </c>
      <c r="M14" s="254" t="s">
        <v>270</v>
      </c>
      <c r="N14" s="183" t="s">
        <v>93</v>
      </c>
      <c r="O14" s="189" t="s">
        <v>94</v>
      </c>
      <c r="P14" s="183" t="s">
        <v>95</v>
      </c>
    </row>
    <row r="15" spans="1:19" x14ac:dyDescent="0.2">
      <c r="A15" s="5"/>
      <c r="B15" s="38"/>
      <c r="C15" s="39"/>
      <c r="D15" s="38"/>
      <c r="E15" s="255"/>
      <c r="F15" s="255"/>
      <c r="G15" s="255"/>
      <c r="H15" s="38"/>
      <c r="I15" s="38"/>
      <c r="J15" s="38"/>
      <c r="K15" s="38"/>
      <c r="L15" s="38"/>
      <c r="M15" s="38"/>
      <c r="N15" s="38"/>
      <c r="O15" s="38"/>
      <c r="P15" s="286"/>
      <c r="Q15" s="5"/>
      <c r="R15" s="5"/>
    </row>
    <row r="16" spans="1:19" x14ac:dyDescent="0.2">
      <c r="A16" s="5"/>
      <c r="B16" s="40" t="s">
        <v>67</v>
      </c>
      <c r="C16" s="41"/>
      <c r="D16" s="42"/>
      <c r="E16" s="256"/>
      <c r="F16" s="256"/>
      <c r="G16" s="256"/>
      <c r="H16" s="42"/>
      <c r="I16" s="42"/>
      <c r="J16" s="42"/>
      <c r="K16" s="42"/>
      <c r="L16" s="42"/>
      <c r="M16" s="42"/>
      <c r="N16" s="43"/>
      <c r="O16" s="190"/>
      <c r="P16" s="287"/>
      <c r="Q16" s="5"/>
      <c r="R16" s="5"/>
    </row>
    <row r="17" spans="1:18" s="199" customFormat="1" outlineLevel="1" x14ac:dyDescent="0.2">
      <c r="A17" s="198"/>
      <c r="B17" s="45" t="s">
        <v>68</v>
      </c>
      <c r="C17" s="191">
        <f>SUM(C18:C20)</f>
        <v>7444289.4000000013</v>
      </c>
      <c r="D17" s="191">
        <f>SUM(D18:D20)</f>
        <v>1187839.44</v>
      </c>
      <c r="E17" s="191">
        <f>SUM(E18:E20)</f>
        <v>0</v>
      </c>
      <c r="F17" s="191">
        <f t="shared" ref="F17:G17" si="0">SUM(F18:F20)</f>
        <v>207219.9</v>
      </c>
      <c r="G17" s="191">
        <f t="shared" si="0"/>
        <v>1162793.3700000001</v>
      </c>
      <c r="H17" s="191">
        <f t="shared" ref="H17:I17" si="1">SUM(H18:H20)</f>
        <v>1370013.2703088736</v>
      </c>
      <c r="I17" s="191">
        <f t="shared" si="1"/>
        <v>530991.96030887344</v>
      </c>
      <c r="J17" s="191">
        <f t="shared" ref="J17:L17" si="2">SUM(J18:J20)</f>
        <v>207219.94</v>
      </c>
      <c r="K17" s="191">
        <f t="shared" si="2"/>
        <v>1243809.17</v>
      </c>
      <c r="L17" s="191">
        <f t="shared" si="2"/>
        <v>2.8893175296772503E-2</v>
      </c>
      <c r="M17" s="191">
        <f t="shared" ref="M17" si="3">SUM(M18:M20)</f>
        <v>0</v>
      </c>
      <c r="N17" s="191">
        <f>SUM(N18:N20)</f>
        <v>11984163.209510924</v>
      </c>
      <c r="O17" s="193">
        <f>'QFR - B'!H15</f>
        <v>12000000</v>
      </c>
      <c r="P17" s="275">
        <f>O17-N17</f>
        <v>15836.790489075705</v>
      </c>
    </row>
    <row r="18" spans="1:18" s="199" customFormat="1" outlineLevel="1" x14ac:dyDescent="0.2">
      <c r="A18" s="198"/>
      <c r="B18" s="195" t="s">
        <v>96</v>
      </c>
      <c r="C18" s="290">
        <v>4949713.540000001</v>
      </c>
      <c r="D18" s="290">
        <v>570124.06999999995</v>
      </c>
      <c r="E18" s="290">
        <v>0</v>
      </c>
      <c r="F18" s="290">
        <v>0</v>
      </c>
      <c r="G18" s="290">
        <v>518294.61</v>
      </c>
      <c r="H18" s="290">
        <f>SUMIF('Contract level'!$A:$A,"="&amp;'DFP-Com'!$A16,'Contract level'!AQ:AQ)</f>
        <v>518294.61030887347</v>
      </c>
      <c r="I18" s="290">
        <f>SUMIF('Contract level'!$A:$A,"="&amp;'DFP-Com'!$A16,'Contract level'!AR:AR)</f>
        <v>518294.61030887347</v>
      </c>
      <c r="J18" s="290">
        <f>SUMIF('Contract level'!$A:$A,"="&amp;'DFP-Com'!$A16,'Contract level'!AS:AS)</f>
        <v>0</v>
      </c>
      <c r="K18" s="290">
        <f>SUMIF('Contract level'!$A:$A,"="&amp;'DFP-Com'!$A16,'Contract level'!AT:AT)</f>
        <v>1036589.23</v>
      </c>
      <c r="L18" s="290">
        <f>SUMIF('Contract level'!$A:$A,"="&amp;'DFP-Com'!$A16,'Contract level'!AU:AU)</f>
        <v>2.8893175296772503E-2</v>
      </c>
      <c r="M18" s="290">
        <f>SUMIF('Contract level'!$A:$A,"="&amp;'DFP-Com'!$A16,'Contract level'!AV:AV)</f>
        <v>0</v>
      </c>
      <c r="N18" s="290">
        <f>SUM(H18:M18)+D18+C18</f>
        <v>7593016.0895109233</v>
      </c>
      <c r="O18" s="197">
        <v>0</v>
      </c>
      <c r="P18" s="276"/>
    </row>
    <row r="19" spans="1:18" s="199" customFormat="1" outlineLevel="1" x14ac:dyDescent="0.2">
      <c r="A19" s="198"/>
      <c r="B19" s="195" t="s">
        <v>97</v>
      </c>
      <c r="C19" s="290">
        <v>2494046.4</v>
      </c>
      <c r="D19" s="290">
        <v>617715.37</v>
      </c>
      <c r="E19" s="290">
        <v>0</v>
      </c>
      <c r="F19" s="290">
        <v>207219.9</v>
      </c>
      <c r="G19" s="290">
        <v>644498.76</v>
      </c>
      <c r="H19" s="290">
        <f>SUMIF('Contract level'!$A:$A,"="&amp;'DFP-Com'!$A17,'Contract level'!AQ:AQ)</f>
        <v>851718.66000000015</v>
      </c>
      <c r="I19" s="290">
        <f>SUMIF('Contract level'!$A:$A,"="&amp;'DFP-Com'!$A17,'Contract level'!AR:AR)</f>
        <v>12697.350000000004</v>
      </c>
      <c r="J19" s="290">
        <f>SUMIF('Contract level'!$A:$A,"="&amp;'DFP-Com'!$A17,'Contract level'!AS:AS)</f>
        <v>207219.94</v>
      </c>
      <c r="K19" s="290">
        <f>SUMIF('Contract level'!$A:$A,"="&amp;'DFP-Com'!$A17,'Contract level'!AT:AT)</f>
        <v>207219.94</v>
      </c>
      <c r="L19" s="290">
        <f>SUMIF('Contract level'!$A:$A,"="&amp;'DFP-Com'!$A17,'Contract level'!AU:AU)</f>
        <v>0</v>
      </c>
      <c r="M19" s="290">
        <f>SUMIF('Contract level'!$A:$A,"="&amp;'DFP-Com'!$A17,'Contract level'!AV:AV)</f>
        <v>0</v>
      </c>
      <c r="N19" s="290">
        <f>SUM(H19:M19)+D19+C19</f>
        <v>4390617.66</v>
      </c>
      <c r="O19" s="197">
        <v>0</v>
      </c>
      <c r="P19" s="276"/>
    </row>
    <row r="20" spans="1:18" s="199" customFormat="1" outlineLevel="1" x14ac:dyDescent="0.2">
      <c r="A20" s="198"/>
      <c r="B20" s="195" t="s">
        <v>104</v>
      </c>
      <c r="C20" s="290">
        <v>529.46</v>
      </c>
      <c r="D20" s="290">
        <v>0</v>
      </c>
      <c r="E20" s="290">
        <v>0</v>
      </c>
      <c r="F20" s="290"/>
      <c r="G20" s="290"/>
      <c r="H20" s="290">
        <f>SUMIF('Contract level'!$A:$A,"="&amp;'DFP-Com'!$A18,'Contract level'!AQ:AQ)</f>
        <v>0</v>
      </c>
      <c r="I20" s="290">
        <f>SUMIF('Contract level'!$A:$A,"="&amp;'DFP-Com'!$A18,'Contract level'!AR:AR)</f>
        <v>0</v>
      </c>
      <c r="J20" s="290">
        <f>SUMIF('Contract level'!$A:$A,"="&amp;'DFP-Com'!$A18,'Contract level'!AS:AS)</f>
        <v>0</v>
      </c>
      <c r="K20" s="290">
        <f>SUMIF('Contract level'!$A:$A,"="&amp;'DFP-Com'!$A18,'Contract level'!AT:AT)</f>
        <v>0</v>
      </c>
      <c r="L20" s="290">
        <f>SUMIF('Contract level'!$A:$A,"="&amp;'DFP-Com'!$A18,'Contract level'!AU:AU)</f>
        <v>0</v>
      </c>
      <c r="M20" s="290">
        <f>SUMIF('Contract level'!$A:$A,"="&amp;'DFP-Com'!$A18,'Contract level'!AV:AV)</f>
        <v>0</v>
      </c>
      <c r="N20" s="290">
        <f>SUM(H20:M20)+D20+C20</f>
        <v>529.46</v>
      </c>
      <c r="O20" s="197">
        <v>0</v>
      </c>
      <c r="P20" s="276"/>
    </row>
    <row r="21" spans="1:18" s="199" customFormat="1" ht="25.5" outlineLevel="1" x14ac:dyDescent="0.2">
      <c r="A21" s="198"/>
      <c r="B21" s="45" t="s">
        <v>69</v>
      </c>
      <c r="C21" s="191">
        <f>C22</f>
        <v>1795443.8000000003</v>
      </c>
      <c r="D21" s="191">
        <f>D22</f>
        <v>625467.88</v>
      </c>
      <c r="E21" s="191">
        <f t="shared" ref="E21:M21" si="4">E22</f>
        <v>9343.15</v>
      </c>
      <c r="F21" s="191">
        <f t="shared" si="4"/>
        <v>431379.44500000001</v>
      </c>
      <c r="G21" s="191">
        <f t="shared" si="4"/>
        <v>102735.88500000001</v>
      </c>
      <c r="H21" s="191">
        <f t="shared" si="4"/>
        <v>543458.48</v>
      </c>
      <c r="I21" s="191">
        <f t="shared" si="4"/>
        <v>1073682.8327317806</v>
      </c>
      <c r="J21" s="191">
        <f t="shared" si="4"/>
        <v>142993.23782435386</v>
      </c>
      <c r="K21" s="191">
        <f t="shared" si="4"/>
        <v>80216.069443865665</v>
      </c>
      <c r="L21" s="191">
        <f t="shared" si="4"/>
        <v>23279.75</v>
      </c>
      <c r="M21" s="191">
        <f t="shared" si="4"/>
        <v>0</v>
      </c>
      <c r="N21" s="191">
        <f>N22</f>
        <v>4284542.0500000007</v>
      </c>
      <c r="O21" s="193">
        <f>'QFR - B'!H16</f>
        <v>4300000</v>
      </c>
      <c r="P21" s="275">
        <f>O21-N21</f>
        <v>15457.949999999255</v>
      </c>
    </row>
    <row r="22" spans="1:18" s="199" customFormat="1" ht="12.95" customHeight="1" outlineLevel="1" x14ac:dyDescent="0.2">
      <c r="A22" s="198"/>
      <c r="B22" s="195" t="s">
        <v>105</v>
      </c>
      <c r="C22" s="290">
        <v>1795443.8000000003</v>
      </c>
      <c r="D22" s="290">
        <v>625467.88</v>
      </c>
      <c r="E22" s="290">
        <v>9343.15</v>
      </c>
      <c r="F22" s="290">
        <v>431379.44500000001</v>
      </c>
      <c r="G22" s="290">
        <v>102735.88500000001</v>
      </c>
      <c r="H22" s="290">
        <f>SUMIF('Contract level'!$A:$A,"="&amp;'DFP-Com'!$A20,'Contract level'!AQ:AQ)</f>
        <v>543458.48</v>
      </c>
      <c r="I22" s="290">
        <f>SUMIF('Contract level'!$A:$A,"="&amp;'DFP-Com'!$A20,'Contract level'!AR:AR)</f>
        <v>1073682.8327317806</v>
      </c>
      <c r="J22" s="290">
        <f>SUMIF('Contract level'!$A:$A,"="&amp;'DFP-Com'!$A20,'Contract level'!AS:AS)</f>
        <v>142993.23782435386</v>
      </c>
      <c r="K22" s="290">
        <f>SUMIF('Contract level'!$A:$A,"="&amp;'DFP-Com'!$A20,'Contract level'!AT:AT)</f>
        <v>80216.069443865665</v>
      </c>
      <c r="L22" s="290">
        <f>SUMIF('Contract level'!$A:$A,"="&amp;'DFP-Com'!$A20,'Contract level'!AU:AU)</f>
        <v>23279.75</v>
      </c>
      <c r="M22" s="290">
        <f>SUMIF('Contract level'!$A:$A,"="&amp;'DFP-Com'!$A20,'Contract level'!AV:AV)</f>
        <v>0</v>
      </c>
      <c r="N22" s="290">
        <f>SUM(H22:M22)+D22+C22</f>
        <v>4284542.0500000007</v>
      </c>
      <c r="O22" s="197">
        <v>0</v>
      </c>
      <c r="P22" s="276"/>
    </row>
    <row r="23" spans="1:18" s="199" customFormat="1" outlineLevel="1" x14ac:dyDescent="0.2">
      <c r="A23" s="198"/>
      <c r="B23" s="45" t="s">
        <v>70</v>
      </c>
      <c r="C23" s="191">
        <f>SUM(C24:C26)</f>
        <v>2269464.88</v>
      </c>
      <c r="D23" s="191">
        <f>SUM(D24:D26)</f>
        <v>19924.920000000002</v>
      </c>
      <c r="E23" s="191">
        <f t="shared" ref="E23:N23" si="5">SUM(E24:E26)</f>
        <v>109119.08</v>
      </c>
      <c r="F23" s="191">
        <f t="shared" si="5"/>
        <v>6959.875</v>
      </c>
      <c r="G23" s="191">
        <f t="shared" si="5"/>
        <v>319936.63500000001</v>
      </c>
      <c r="H23" s="191">
        <f t="shared" ref="H23:I23" si="6">SUM(H24:H26)</f>
        <v>436015.58999999997</v>
      </c>
      <c r="I23" s="191">
        <f t="shared" si="6"/>
        <v>174368.005</v>
      </c>
      <c r="J23" s="191">
        <f t="shared" ref="J23:L23" si="7">SUM(J24:J26)</f>
        <v>124538.58892500067</v>
      </c>
      <c r="K23" s="191">
        <f t="shared" si="7"/>
        <v>20879.625</v>
      </c>
      <c r="L23" s="191">
        <f t="shared" si="7"/>
        <v>52895.052500000005</v>
      </c>
      <c r="M23" s="191">
        <f t="shared" ref="M23" si="8">SUM(M24:M26)</f>
        <v>0</v>
      </c>
      <c r="N23" s="191">
        <f t="shared" si="5"/>
        <v>3098086.6614250005</v>
      </c>
      <c r="O23" s="193">
        <f>'QFR - B'!H17</f>
        <v>3046000</v>
      </c>
      <c r="P23" s="275">
        <f>O23-N23</f>
        <v>-52086.661425000522</v>
      </c>
    </row>
    <row r="24" spans="1:18" s="199" customFormat="1" ht="12.95" customHeight="1" outlineLevel="1" x14ac:dyDescent="0.2">
      <c r="A24" s="198"/>
      <c r="B24" s="195" t="s">
        <v>98</v>
      </c>
      <c r="C24" s="290">
        <v>2099093.15</v>
      </c>
      <c r="D24" s="290">
        <v>0</v>
      </c>
      <c r="E24" s="290">
        <v>103658.92</v>
      </c>
      <c r="F24" s="290">
        <v>0</v>
      </c>
      <c r="G24" s="290">
        <v>310976.76</v>
      </c>
      <c r="H24" s="290">
        <f>SUMIF('Contract level'!$A:$A,"="&amp;'DFP-Com'!$A22,'Contract level'!AQ:AQ)</f>
        <v>414635.68</v>
      </c>
      <c r="I24" s="290">
        <f>SUMIF('Contract level'!$A:$A,"="&amp;'DFP-Com'!$A22,'Contract level'!AR:AR)</f>
        <v>155488.38</v>
      </c>
      <c r="J24" s="290">
        <f>SUMIF('Contract level'!$A:$A,"="&amp;'DFP-Com'!$A22,'Contract level'!AS:AS)</f>
        <v>103658.96392500067</v>
      </c>
      <c r="K24" s="290">
        <f>SUMIF('Contract level'!$A:$A,"="&amp;'DFP-Com'!$A22,'Contract level'!AT:AT)</f>
        <v>0</v>
      </c>
      <c r="L24" s="290">
        <f>SUMIF('Contract level'!$A:$A,"="&amp;'DFP-Com'!$A22,'Contract level'!AU:AU)</f>
        <v>0</v>
      </c>
      <c r="M24" s="290">
        <f>SUMIF('Contract level'!$A:$A,"="&amp;'DFP-Com'!$A22,'Contract level'!AV:AV)</f>
        <v>0</v>
      </c>
      <c r="N24" s="290">
        <f>SUM(H24:M24)+D24+C24</f>
        <v>2772876.1739250007</v>
      </c>
      <c r="O24" s="197">
        <v>0</v>
      </c>
      <c r="P24" s="276"/>
    </row>
    <row r="25" spans="1:18" s="199" customFormat="1" ht="12.95" customHeight="1" outlineLevel="1" x14ac:dyDescent="0.2">
      <c r="A25" s="198"/>
      <c r="B25" s="195" t="s">
        <v>114</v>
      </c>
      <c r="C25" s="290">
        <f>163102+6853.12</f>
        <v>169955.12</v>
      </c>
      <c r="D25" s="290">
        <v>19924.920000000002</v>
      </c>
      <c r="E25" s="290">
        <v>5460.16</v>
      </c>
      <c r="F25" s="290">
        <v>6959.875</v>
      </c>
      <c r="G25" s="290">
        <v>8959.875</v>
      </c>
      <c r="H25" s="290">
        <f>SUMIF('Contract level'!$A:$A,"="&amp;'DFP-Com'!$A23,'Contract level'!AQ:AQ)</f>
        <v>21379.910000000003</v>
      </c>
      <c r="I25" s="290">
        <f>SUMIF('Contract level'!$A:$A,"="&amp;'DFP-Com'!$A23,'Contract level'!AR:AR)</f>
        <v>18879.625</v>
      </c>
      <c r="J25" s="290">
        <f>SUMIF('Contract level'!$A:$A,"="&amp;'DFP-Com'!$A23,'Contract level'!AS:AS)</f>
        <v>20879.625</v>
      </c>
      <c r="K25" s="290">
        <f>SUMIF('Contract level'!$A:$A,"="&amp;'DFP-Com'!$A23,'Contract level'!AT:AT)</f>
        <v>20879.625</v>
      </c>
      <c r="L25" s="290">
        <f>SUMIF('Contract level'!$A:$A,"="&amp;'DFP-Com'!$A23,'Contract level'!AU:AU)</f>
        <v>52895.052500000005</v>
      </c>
      <c r="M25" s="290">
        <f>SUMIF('Contract level'!$A:$A,"="&amp;'DFP-Com'!$A23,'Contract level'!AV:AV)</f>
        <v>0</v>
      </c>
      <c r="N25" s="290">
        <f>SUM(H25:M25)+D25+C25</f>
        <v>324793.87750000006</v>
      </c>
      <c r="O25" s="197">
        <v>0</v>
      </c>
      <c r="P25" s="276"/>
    </row>
    <row r="26" spans="1:18" s="199" customFormat="1" outlineLevel="1" x14ac:dyDescent="0.2">
      <c r="A26" s="198"/>
      <c r="B26" s="195" t="s">
        <v>113</v>
      </c>
      <c r="C26" s="290">
        <f>7269.73-6853.12</f>
        <v>416.60999999999967</v>
      </c>
      <c r="D26" s="290">
        <v>0</v>
      </c>
      <c r="E26" s="290">
        <v>0</v>
      </c>
      <c r="F26" s="290">
        <v>0</v>
      </c>
      <c r="G26" s="290">
        <v>0</v>
      </c>
      <c r="H26" s="290">
        <f>SUMIF('Contract level'!$A:$A,"="&amp;'DFP-Com'!$A24,'Contract level'!AQ:AQ)</f>
        <v>0</v>
      </c>
      <c r="I26" s="290">
        <f>SUMIF('Contract level'!$A:$A,"="&amp;'DFP-Com'!$A24,'Contract level'!AR:AR)</f>
        <v>0</v>
      </c>
      <c r="J26" s="290">
        <f>SUMIF('Contract level'!$A:$A,"="&amp;'DFP-Com'!$A24,'Contract level'!AS:AS)</f>
        <v>0</v>
      </c>
      <c r="K26" s="290">
        <f>SUMIF('Contract level'!$A:$A,"="&amp;'DFP-Com'!$A24,'Contract level'!AT:AT)</f>
        <v>0</v>
      </c>
      <c r="L26" s="290">
        <f>SUMIF('Contract level'!$A:$A,"="&amp;'DFP-Com'!$A24,'Contract level'!AU:AU)</f>
        <v>0</v>
      </c>
      <c r="M26" s="290">
        <f>SUMIF('Contract level'!$A:$A,"="&amp;'DFP-Com'!$A24,'Contract level'!AV:AV)</f>
        <v>0</v>
      </c>
      <c r="N26" s="290">
        <f>SUM(H26:M26)+D26+C26</f>
        <v>416.60999999999967</v>
      </c>
      <c r="O26" s="197">
        <v>0</v>
      </c>
      <c r="P26" s="276"/>
    </row>
    <row r="27" spans="1:18" s="199" customFormat="1" x14ac:dyDescent="0.2">
      <c r="A27" s="198"/>
      <c r="B27" s="46" t="s">
        <v>61</v>
      </c>
      <c r="C27" s="192">
        <f>C23+C21+C17</f>
        <v>11509198.080000002</v>
      </c>
      <c r="D27" s="192">
        <f>D23+D21+D17</f>
        <v>1833232.24</v>
      </c>
      <c r="E27" s="192">
        <f t="shared" ref="E27:N27" si="9">E23+E21+E17</f>
        <v>118462.23</v>
      </c>
      <c r="F27" s="192">
        <f t="shared" si="9"/>
        <v>645559.22</v>
      </c>
      <c r="G27" s="192">
        <f t="shared" si="9"/>
        <v>1585465.8900000001</v>
      </c>
      <c r="H27" s="192">
        <f t="shared" ref="H27:I27" si="10">H23+H21+H17</f>
        <v>2349487.3403088734</v>
      </c>
      <c r="I27" s="192">
        <f t="shared" si="10"/>
        <v>1779042.798040654</v>
      </c>
      <c r="J27" s="192">
        <f t="shared" ref="J27:L27" si="11">J23+J21+J17</f>
        <v>474751.76674935455</v>
      </c>
      <c r="K27" s="192">
        <f t="shared" si="11"/>
        <v>1344904.8644438656</v>
      </c>
      <c r="L27" s="192">
        <f t="shared" si="11"/>
        <v>76174.831393175307</v>
      </c>
      <c r="M27" s="192">
        <f t="shared" ref="M27" si="12">M23+M21+M17</f>
        <v>0</v>
      </c>
      <c r="N27" s="192">
        <f t="shared" si="9"/>
        <v>19366791.920935925</v>
      </c>
      <c r="O27" s="194">
        <f>O17+O21+O23</f>
        <v>19346000</v>
      </c>
      <c r="P27" s="277">
        <f>P17+P21+P23</f>
        <v>-20791.920935925562</v>
      </c>
    </row>
    <row r="28" spans="1:18" x14ac:dyDescent="0.2">
      <c r="A28" s="44"/>
      <c r="B28" s="48"/>
      <c r="C28" s="49"/>
      <c r="D28" s="50"/>
      <c r="E28" s="209"/>
      <c r="F28" s="209"/>
      <c r="G28" s="209"/>
      <c r="H28" s="209"/>
      <c r="I28" s="209"/>
      <c r="J28" s="209"/>
      <c r="K28" s="209"/>
      <c r="L28" s="209"/>
      <c r="M28" s="209"/>
      <c r="N28" s="209"/>
      <c r="O28" s="260"/>
      <c r="P28" s="278"/>
      <c r="Q28" s="5"/>
      <c r="R28" s="5"/>
    </row>
    <row r="29" spans="1:18" x14ac:dyDescent="0.2">
      <c r="A29" s="44"/>
      <c r="B29" s="40" t="s">
        <v>73</v>
      </c>
      <c r="C29" s="51"/>
      <c r="D29" s="52"/>
      <c r="E29" s="210"/>
      <c r="F29" s="210"/>
      <c r="G29" s="210"/>
      <c r="H29" s="210"/>
      <c r="I29" s="210"/>
      <c r="J29" s="210"/>
      <c r="K29" s="210"/>
      <c r="L29" s="210"/>
      <c r="M29" s="210"/>
      <c r="N29" s="210"/>
      <c r="O29" s="261"/>
      <c r="P29" s="279"/>
      <c r="Q29" s="5"/>
      <c r="R29" s="5"/>
    </row>
    <row r="30" spans="1:18" outlineLevel="1" x14ac:dyDescent="0.2">
      <c r="A30" s="44"/>
      <c r="B30" s="45" t="s">
        <v>115</v>
      </c>
      <c r="C30" s="37">
        <f t="shared" ref="C30:N30" si="13">SUM(C31:C31)</f>
        <v>436406.04</v>
      </c>
      <c r="D30" s="399">
        <f t="shared" si="13"/>
        <v>45475.32</v>
      </c>
      <c r="E30" s="212">
        <f t="shared" si="13"/>
        <v>19046.710000000003</v>
      </c>
      <c r="F30" s="212">
        <f t="shared" si="13"/>
        <v>13483.810000000001</v>
      </c>
      <c r="G30" s="212">
        <f t="shared" si="13"/>
        <v>12742.240000000002</v>
      </c>
      <c r="H30" s="212">
        <f t="shared" si="13"/>
        <v>45272.750909090901</v>
      </c>
      <c r="I30" s="212">
        <f t="shared" si="13"/>
        <v>59905.778722448209</v>
      </c>
      <c r="J30" s="212">
        <f t="shared" si="13"/>
        <v>61072.775600700028</v>
      </c>
      <c r="K30" s="212">
        <f t="shared" si="13"/>
        <v>60489.277161574122</v>
      </c>
      <c r="L30" s="212">
        <f t="shared" si="13"/>
        <v>16366.907606186734</v>
      </c>
      <c r="M30" s="212">
        <f t="shared" si="13"/>
        <v>0</v>
      </c>
      <c r="N30" s="212">
        <f t="shared" si="13"/>
        <v>724988.84999999986</v>
      </c>
      <c r="O30" s="193">
        <f>'QFR - B'!H20</f>
        <v>800000</v>
      </c>
      <c r="P30" s="275">
        <f>O30-N30</f>
        <v>75011.15000000014</v>
      </c>
      <c r="Q30" s="5"/>
      <c r="R30" s="5"/>
    </row>
    <row r="31" spans="1:18" s="199" customFormat="1" outlineLevel="1" x14ac:dyDescent="0.2">
      <c r="A31" s="198"/>
      <c r="B31" s="195" t="s">
        <v>108</v>
      </c>
      <c r="C31" s="202">
        <v>436406.04</v>
      </c>
      <c r="D31" s="371">
        <v>45475.32</v>
      </c>
      <c r="E31" s="290">
        <v>19046.710000000003</v>
      </c>
      <c r="F31" s="290">
        <v>13483.810000000001</v>
      </c>
      <c r="G31" s="290">
        <v>12742.240000000002</v>
      </c>
      <c r="H31" s="290">
        <f>SUMIF('Contract level'!$A:$A,"="&amp;'DFP-Com'!$A29,'Contract level'!AQ:AQ)</f>
        <v>45272.750909090901</v>
      </c>
      <c r="I31" s="290">
        <f>SUMIF('Contract level'!$A:$A,"="&amp;'DFP-Com'!$A29,'Contract level'!AR:AR)</f>
        <v>59905.778722448209</v>
      </c>
      <c r="J31" s="290">
        <f>SUMIF('Contract level'!$A:$A,"="&amp;'DFP-Com'!$A29,'Contract level'!AS:AS)</f>
        <v>61072.775600700028</v>
      </c>
      <c r="K31" s="290">
        <f>SUMIF('Contract level'!$A:$A,"="&amp;'DFP-Com'!$A29,'Contract level'!AT:AT)</f>
        <v>60489.277161574122</v>
      </c>
      <c r="L31" s="290">
        <f>SUMIF('Contract level'!$A:$A,"="&amp;'DFP-Com'!$A29,'Contract level'!AU:AU)</f>
        <v>16366.907606186734</v>
      </c>
      <c r="M31" s="290">
        <f>SUMIF('Contract level'!$A:$A,"="&amp;'DFP-Com'!$A29,'Contract level'!AV:AV)</f>
        <v>0</v>
      </c>
      <c r="N31" s="290">
        <f>SUM(H31:M31)+D31+C31</f>
        <v>724988.84999999986</v>
      </c>
      <c r="O31" s="197"/>
      <c r="P31" s="276"/>
    </row>
    <row r="32" spans="1:18" outlineLevel="1" x14ac:dyDescent="0.2">
      <c r="A32" s="44"/>
      <c r="B32" s="45" t="s">
        <v>77</v>
      </c>
      <c r="C32" s="338">
        <f>SUM(C33:C35)</f>
        <v>1540172.41</v>
      </c>
      <c r="D32" s="338">
        <f>SUM(D33:D35)</f>
        <v>8002.86</v>
      </c>
      <c r="E32" s="191">
        <f t="shared" ref="E32:G32" si="14">SUM(E33:E35)</f>
        <v>0</v>
      </c>
      <c r="F32" s="191">
        <f t="shared" si="14"/>
        <v>17000</v>
      </c>
      <c r="G32" s="191">
        <f t="shared" si="14"/>
        <v>0</v>
      </c>
      <c r="H32" s="191">
        <f t="shared" ref="H32:I32" si="15">SUM(H33:H35)</f>
        <v>17000</v>
      </c>
      <c r="I32" s="191">
        <f t="shared" si="15"/>
        <v>17245.170000000013</v>
      </c>
      <c r="J32" s="191">
        <f t="shared" ref="J32:L32" si="16">SUM(J33:J35)</f>
        <v>0</v>
      </c>
      <c r="K32" s="191">
        <f t="shared" si="16"/>
        <v>184550</v>
      </c>
      <c r="L32" s="191">
        <f t="shared" si="16"/>
        <v>0</v>
      </c>
      <c r="M32" s="191">
        <f t="shared" ref="M32" si="17">SUM(M33:M35)</f>
        <v>0</v>
      </c>
      <c r="N32" s="191">
        <f>SUM(N33:N35)</f>
        <v>1766970.44</v>
      </c>
      <c r="O32" s="193">
        <f>'QFR - B'!H21</f>
        <v>3560000</v>
      </c>
      <c r="P32" s="275">
        <f>O32-N32</f>
        <v>1793029.56</v>
      </c>
      <c r="Q32" s="5"/>
      <c r="R32" s="5"/>
    </row>
    <row r="33" spans="1:18" s="199" customFormat="1" outlineLevel="1" x14ac:dyDescent="0.2">
      <c r="A33" s="198"/>
      <c r="B33" s="195" t="s">
        <v>109</v>
      </c>
      <c r="C33" s="371">
        <v>469299.64</v>
      </c>
      <c r="D33" s="290">
        <v>8002.86</v>
      </c>
      <c r="E33" s="290"/>
      <c r="F33" s="290">
        <v>17000</v>
      </c>
      <c r="G33" s="290">
        <v>0</v>
      </c>
      <c r="H33" s="290">
        <f>SUMIF('Contract level'!$A:$A,"="&amp;'DFP-Com'!$A31,'Contract level'!AQ:AQ)</f>
        <v>17000</v>
      </c>
      <c r="I33" s="290">
        <f>SUMIF('Contract level'!$A:$A,"="&amp;'DFP-Com'!$A31,'Contract level'!AR:AR)</f>
        <v>17245.170000000013</v>
      </c>
      <c r="J33" s="290">
        <f>SUMIF('Contract level'!$A:$A,"="&amp;'DFP-Com'!$A31,'Contract level'!AS:AS)</f>
        <v>0</v>
      </c>
      <c r="K33" s="290">
        <f>SUMIF('Contract level'!$A:$A,"="&amp;'DFP-Com'!$A31,'Contract level'!AT:AT)</f>
        <v>184550</v>
      </c>
      <c r="L33" s="290">
        <f>SUMIF('Contract level'!$A:$A,"="&amp;'DFP-Com'!$A31,'Contract level'!AU:AU)</f>
        <v>0</v>
      </c>
      <c r="M33" s="290">
        <f>SUMIF('Contract level'!$A:$A,"="&amp;'DFP-Com'!$A31,'Contract level'!AV:AV)</f>
        <v>0</v>
      </c>
      <c r="N33" s="290">
        <f>SUM(H33:M33)+D33+C33</f>
        <v>696097.67</v>
      </c>
      <c r="O33" s="197"/>
      <c r="P33" s="276"/>
    </row>
    <row r="34" spans="1:18" s="199" customFormat="1" outlineLevel="1" x14ac:dyDescent="0.2">
      <c r="A34" s="198"/>
      <c r="B34" s="195" t="s">
        <v>110</v>
      </c>
      <c r="C34" s="371">
        <v>1030228.9999999999</v>
      </c>
      <c r="D34" s="371">
        <v>0</v>
      </c>
      <c r="E34" s="290">
        <v>0</v>
      </c>
      <c r="F34" s="290">
        <v>0</v>
      </c>
      <c r="G34" s="290"/>
      <c r="H34" s="290">
        <f>SUMIF('Contract level'!$A:$A,"="&amp;'DFP-Com'!$A32,'Contract level'!AQ:AQ)</f>
        <v>0</v>
      </c>
      <c r="I34" s="290">
        <f>SUMIF('Contract level'!$A:$A,"="&amp;'DFP-Com'!$A32,'Contract level'!AR:AR)</f>
        <v>0</v>
      </c>
      <c r="J34" s="290">
        <f>SUMIF('Contract level'!$A:$A,"="&amp;'DFP-Com'!$A32,'Contract level'!AS:AS)</f>
        <v>0</v>
      </c>
      <c r="K34" s="290">
        <f>SUMIF('Contract level'!$A:$A,"="&amp;'DFP-Com'!$A32,'Contract level'!AT:AT)</f>
        <v>0</v>
      </c>
      <c r="L34" s="290">
        <f>SUMIF('Contract level'!$A:$A,"="&amp;'DFP-Com'!$A32,'Contract level'!AU:AU)</f>
        <v>0</v>
      </c>
      <c r="M34" s="290">
        <f>SUMIF('Contract level'!$A:$A,"="&amp;'DFP-Com'!$A32,'Contract level'!AV:AV)</f>
        <v>0</v>
      </c>
      <c r="N34" s="290">
        <f>SUM(H34:M34)+D34+C34</f>
        <v>1030228.9999999999</v>
      </c>
      <c r="O34" s="197"/>
      <c r="P34" s="276"/>
    </row>
    <row r="35" spans="1:18" s="199" customFormat="1" outlineLevel="1" x14ac:dyDescent="0.2">
      <c r="A35" s="198"/>
      <c r="B35" s="195" t="s">
        <v>112</v>
      </c>
      <c r="C35" s="371">
        <v>40643.769999999997</v>
      </c>
      <c r="D35" s="371">
        <v>0</v>
      </c>
      <c r="E35" s="290"/>
      <c r="F35" s="290">
        <v>0</v>
      </c>
      <c r="G35" s="290">
        <v>0</v>
      </c>
      <c r="H35" s="290">
        <f>SUMIF('Contract level'!$A:$A,"="&amp;'DFP-Com'!$A33,'Contract level'!AQ:AQ)</f>
        <v>0</v>
      </c>
      <c r="I35" s="290">
        <f>SUMIF('Contract level'!$A:$A,"="&amp;'DFP-Com'!$A33,'Contract level'!AR:AR)</f>
        <v>0</v>
      </c>
      <c r="J35" s="290">
        <f>SUMIF('Contract level'!$A:$A,"="&amp;'DFP-Com'!$A33,'Contract level'!AS:AS)</f>
        <v>0</v>
      </c>
      <c r="K35" s="290">
        <f>SUMIF('Contract level'!$A:$A,"="&amp;'DFP-Com'!$A33,'Contract level'!AT:AT)</f>
        <v>0</v>
      </c>
      <c r="L35" s="290">
        <f>SUMIF('Contract level'!$A:$A,"="&amp;'DFP-Com'!$A33,'Contract level'!AU:AU)</f>
        <v>0</v>
      </c>
      <c r="M35" s="290">
        <f>SUMIF('Contract level'!$A:$A,"="&amp;'DFP-Com'!$A33,'Contract level'!AV:AV)</f>
        <v>0</v>
      </c>
      <c r="N35" s="290">
        <f>SUM(H35:M35)+D35+C35</f>
        <v>40643.769999999997</v>
      </c>
      <c r="O35" s="197"/>
      <c r="P35" s="276"/>
    </row>
    <row r="36" spans="1:18" x14ac:dyDescent="0.2">
      <c r="A36" s="44"/>
      <c r="B36" s="53" t="s">
        <v>62</v>
      </c>
      <c r="C36" s="47">
        <f>C32+C30</f>
        <v>1976578.45</v>
      </c>
      <c r="D36" s="398">
        <f>D32+D30</f>
        <v>53478.18</v>
      </c>
      <c r="E36" s="192">
        <f t="shared" ref="E36:P36" si="18">E32+E30</f>
        <v>19046.710000000003</v>
      </c>
      <c r="F36" s="192">
        <f t="shared" si="18"/>
        <v>30483.81</v>
      </c>
      <c r="G36" s="192">
        <f t="shared" si="18"/>
        <v>12742.240000000002</v>
      </c>
      <c r="H36" s="192">
        <f t="shared" ref="H36:I36" si="19">H32+H30</f>
        <v>62272.750909090901</v>
      </c>
      <c r="I36" s="192">
        <f t="shared" si="19"/>
        <v>77150.948722448229</v>
      </c>
      <c r="J36" s="192">
        <f t="shared" ref="J36:L36" si="20">J32+J30</f>
        <v>61072.775600700028</v>
      </c>
      <c r="K36" s="192">
        <f t="shared" si="20"/>
        <v>245039.27716157411</v>
      </c>
      <c r="L36" s="192">
        <f t="shared" si="20"/>
        <v>16366.907606186734</v>
      </c>
      <c r="M36" s="192">
        <f t="shared" ref="M36" si="21">M32+M30</f>
        <v>0</v>
      </c>
      <c r="N36" s="192">
        <f>N32+N30</f>
        <v>2491959.29</v>
      </c>
      <c r="O36" s="192">
        <f t="shared" si="18"/>
        <v>4360000</v>
      </c>
      <c r="P36" s="281">
        <f t="shared" si="18"/>
        <v>1868040.7100000002</v>
      </c>
      <c r="Q36" s="5"/>
      <c r="R36" s="5"/>
    </row>
    <row r="37" spans="1:18" x14ac:dyDescent="0.2">
      <c r="A37" s="44"/>
      <c r="B37" s="48"/>
      <c r="C37" s="49"/>
      <c r="D37" s="50"/>
      <c r="E37" s="209"/>
      <c r="F37" s="209"/>
      <c r="G37" s="209"/>
      <c r="H37" s="209"/>
      <c r="I37" s="209"/>
      <c r="J37" s="209"/>
      <c r="K37" s="209"/>
      <c r="L37" s="209"/>
      <c r="M37" s="209"/>
      <c r="N37" s="209"/>
      <c r="O37" s="260"/>
      <c r="P37" s="278"/>
      <c r="Q37" s="5"/>
      <c r="R37" s="5"/>
    </row>
    <row r="38" spans="1:18" s="9" customFormat="1" x14ac:dyDescent="0.2">
      <c r="A38" s="54"/>
      <c r="B38" s="40" t="s">
        <v>81</v>
      </c>
      <c r="C38" s="55"/>
      <c r="D38" s="56"/>
      <c r="E38" s="257"/>
      <c r="F38" s="257"/>
      <c r="G38" s="257"/>
      <c r="H38" s="257"/>
      <c r="I38" s="257"/>
      <c r="J38" s="257"/>
      <c r="K38" s="257"/>
      <c r="L38" s="257"/>
      <c r="M38" s="257"/>
      <c r="N38" s="210"/>
      <c r="O38" s="261"/>
      <c r="P38" s="279"/>
    </row>
    <row r="39" spans="1:18" s="9" customFormat="1" outlineLevel="1" x14ac:dyDescent="0.2">
      <c r="A39" s="54"/>
      <c r="B39" s="59" t="s">
        <v>82</v>
      </c>
      <c r="C39" s="338">
        <f t="shared" ref="C39:D39" si="22">SUM(C40:C43)</f>
        <v>336176.34999999992</v>
      </c>
      <c r="D39" s="338">
        <f t="shared" si="22"/>
        <v>22774.79</v>
      </c>
      <c r="E39" s="191">
        <f t="shared" ref="E39:N39" si="23">SUM(E40:E43)</f>
        <v>16730</v>
      </c>
      <c r="F39" s="191">
        <f t="shared" si="23"/>
        <v>24330</v>
      </c>
      <c r="G39" s="191">
        <f t="shared" si="23"/>
        <v>13565.6</v>
      </c>
      <c r="H39" s="191">
        <f t="shared" si="23"/>
        <v>54625.599999999999</v>
      </c>
      <c r="I39" s="191">
        <f t="shared" si="23"/>
        <v>219586.26995448</v>
      </c>
      <c r="J39" s="191">
        <f t="shared" si="23"/>
        <v>287539.62995447998</v>
      </c>
      <c r="K39" s="191">
        <f t="shared" si="23"/>
        <v>312316.37995447998</v>
      </c>
      <c r="L39" s="191">
        <f t="shared" si="23"/>
        <v>157084.87013656</v>
      </c>
      <c r="M39" s="191">
        <f t="shared" ref="M39" si="24">SUM(M40:M43)</f>
        <v>0</v>
      </c>
      <c r="N39" s="212">
        <f t="shared" si="23"/>
        <v>1390103.8900000001</v>
      </c>
      <c r="O39" s="193">
        <f>'QFR - B'!H24</f>
        <v>1431000</v>
      </c>
      <c r="P39" s="275">
        <f>O39-N39</f>
        <v>40896.10999999987</v>
      </c>
    </row>
    <row r="40" spans="1:18" s="205" customFormat="1" outlineLevel="1" x14ac:dyDescent="0.2">
      <c r="A40" s="203"/>
      <c r="B40" s="204" t="s">
        <v>99</v>
      </c>
      <c r="C40" s="362">
        <v>315526.93999999994</v>
      </c>
      <c r="D40" s="362">
        <v>16804.830000000002</v>
      </c>
      <c r="E40" s="289">
        <v>14730</v>
      </c>
      <c r="F40" s="290">
        <v>14330</v>
      </c>
      <c r="G40" s="290">
        <v>7565.6</v>
      </c>
      <c r="H40" s="290">
        <f>SUMIF('Contract level'!$A:$A,"="&amp;'DFP-Com'!$A38,'Contract level'!AQ:AQ)</f>
        <v>36625.599999999999</v>
      </c>
      <c r="I40" s="290">
        <f>SUMIF('Contract level'!$A:$A,"="&amp;'DFP-Com'!$A38,'Contract level'!AR:AR)</f>
        <v>47586.269954480005</v>
      </c>
      <c r="J40" s="290">
        <f>SUMIF('Contract level'!$A:$A,"="&amp;'DFP-Com'!$A38,'Contract level'!AS:AS)</f>
        <v>21636.379954479999</v>
      </c>
      <c r="K40" s="290">
        <f>SUMIF('Contract level'!$A:$A,"="&amp;'DFP-Com'!$A38,'Contract level'!AT:AT)</f>
        <v>256316.37995448001</v>
      </c>
      <c r="L40" s="290">
        <f>SUMIF('Contract level'!$A:$A,"="&amp;'DFP-Com'!$A38,'Contract level'!AU:AU)</f>
        <v>72084.870136559999</v>
      </c>
      <c r="M40" s="290">
        <f>SUMIF('Contract level'!$A:$A,"="&amp;'DFP-Com'!$A38,'Contract level'!AV:AV)</f>
        <v>0</v>
      </c>
      <c r="N40" s="290">
        <f>SUM(H40:M40)+D40+C40</f>
        <v>766581.27</v>
      </c>
      <c r="O40" s="262"/>
      <c r="P40" s="280"/>
    </row>
    <row r="41" spans="1:18" s="205" customFormat="1" outlineLevel="1" x14ac:dyDescent="0.2">
      <c r="A41" s="203"/>
      <c r="B41" s="204" t="s">
        <v>100</v>
      </c>
      <c r="C41" s="362">
        <v>0</v>
      </c>
      <c r="D41" s="362">
        <v>0</v>
      </c>
      <c r="E41" s="289"/>
      <c r="F41" s="289"/>
      <c r="G41" s="289"/>
      <c r="H41" s="290">
        <f>SUMIF('Contract level'!$A:$A,"="&amp;'DFP-Com'!$A39,'Contract level'!AQ:AQ)</f>
        <v>0</v>
      </c>
      <c r="I41" s="290">
        <f>SUMIF('Contract level'!$A:$A,"="&amp;'DFP-Com'!$A39,'Contract level'!AR:AR)</f>
        <v>0</v>
      </c>
      <c r="J41" s="290">
        <f>SUMIF('Contract level'!$A:$A,"="&amp;'DFP-Com'!$A39,'Contract level'!AS:AS)</f>
        <v>0</v>
      </c>
      <c r="K41" s="290">
        <f>SUMIF('Contract level'!$A:$A,"="&amp;'DFP-Com'!$A39,'Contract level'!AT:AT)</f>
        <v>0</v>
      </c>
      <c r="L41" s="290">
        <f>SUMIF('Contract level'!$A:$A,"="&amp;'DFP-Com'!$A39,'Contract level'!AU:AU)</f>
        <v>0</v>
      </c>
      <c r="M41" s="290">
        <f>SUMIF('Contract level'!$A:$A,"="&amp;'DFP-Com'!$A39,'Contract level'!AV:AV)</f>
        <v>0</v>
      </c>
      <c r="N41" s="290">
        <f>SUM(H41:M41)+D41+C41</f>
        <v>0</v>
      </c>
      <c r="O41" s="262"/>
      <c r="P41" s="280"/>
    </row>
    <row r="42" spans="1:18" s="205" customFormat="1" outlineLevel="1" x14ac:dyDescent="0.2">
      <c r="A42" s="203"/>
      <c r="B42" s="204" t="s">
        <v>101</v>
      </c>
      <c r="C42" s="362">
        <v>0</v>
      </c>
      <c r="D42" s="362">
        <v>0</v>
      </c>
      <c r="E42" s="289"/>
      <c r="F42" s="289"/>
      <c r="G42" s="289"/>
      <c r="H42" s="290">
        <f>SUMIF('Contract level'!$A:$A,"="&amp;'DFP-Com'!$A40,'Contract level'!AQ:AQ)</f>
        <v>0</v>
      </c>
      <c r="I42" s="290">
        <f>SUMIF('Contract level'!$A:$A,"="&amp;'DFP-Com'!$A40,'Contract level'!AR:AR)</f>
        <v>0</v>
      </c>
      <c r="J42" s="290">
        <f>SUMIF('Contract level'!$A:$A,"="&amp;'DFP-Com'!$A40,'Contract level'!AS:AS)</f>
        <v>0</v>
      </c>
      <c r="K42" s="290">
        <f>SUMIF('Contract level'!$A:$A,"="&amp;'DFP-Com'!$A40,'Contract level'!AT:AT)</f>
        <v>0</v>
      </c>
      <c r="L42" s="290">
        <f>SUMIF('Contract level'!$A:$A,"="&amp;'DFP-Com'!$A40,'Contract level'!AU:AU)</f>
        <v>0</v>
      </c>
      <c r="M42" s="290">
        <f>SUMIF('Contract level'!$A:$A,"="&amp;'DFP-Com'!$A40,'Contract level'!AV:AV)</f>
        <v>0</v>
      </c>
      <c r="N42" s="290">
        <f>SUM(H42:M42)+D42+C42</f>
        <v>0</v>
      </c>
      <c r="O42" s="262"/>
      <c r="P42" s="280"/>
    </row>
    <row r="43" spans="1:18" s="205" customFormat="1" outlineLevel="1" x14ac:dyDescent="0.2">
      <c r="A43" s="203"/>
      <c r="B43" s="204" t="s">
        <v>111</v>
      </c>
      <c r="C43" s="362">
        <v>20649.41</v>
      </c>
      <c r="D43" s="362">
        <v>5969.96</v>
      </c>
      <c r="E43" s="289">
        <v>2000</v>
      </c>
      <c r="F43" s="289">
        <v>10000</v>
      </c>
      <c r="G43" s="289">
        <v>6000</v>
      </c>
      <c r="H43" s="290">
        <f>SUMIF('Contract level'!$A:$A,"="&amp;'DFP-Com'!$A41,'Contract level'!AQ:AQ)</f>
        <v>18000</v>
      </c>
      <c r="I43" s="290">
        <f>SUMIF('Contract level'!$A:$A,"="&amp;'DFP-Com'!$A41,'Contract level'!AR:AR)</f>
        <v>172000</v>
      </c>
      <c r="J43" s="290">
        <f>SUMIF('Contract level'!$A:$A,"="&amp;'DFP-Com'!$A41,'Contract level'!AS:AS)</f>
        <v>265903.25</v>
      </c>
      <c r="K43" s="290">
        <f>SUMIF('Contract level'!$A:$A,"="&amp;'DFP-Com'!$A41,'Contract level'!AT:AT)</f>
        <v>56000</v>
      </c>
      <c r="L43" s="290">
        <f>SUMIF('Contract level'!$A:$A,"="&amp;'DFP-Com'!$A41,'Contract level'!AU:AU)</f>
        <v>85000</v>
      </c>
      <c r="M43" s="290">
        <f>SUMIF('Contract level'!$A:$A,"="&amp;'DFP-Com'!$A41,'Contract level'!AV:AV)</f>
        <v>0</v>
      </c>
      <c r="N43" s="290">
        <f>SUM(H43:M43)+D43+C43</f>
        <v>623522.62</v>
      </c>
      <c r="O43" s="262"/>
      <c r="P43" s="280"/>
    </row>
    <row r="44" spans="1:18" x14ac:dyDescent="0.2">
      <c r="A44" s="44"/>
      <c r="B44" s="53" t="s">
        <v>17</v>
      </c>
      <c r="C44" s="398">
        <f>C39</f>
        <v>336176.34999999992</v>
      </c>
      <c r="D44" s="398">
        <f>D39</f>
        <v>22774.79</v>
      </c>
      <c r="E44" s="192">
        <f t="shared" ref="E44:P44" si="25">E39</f>
        <v>16730</v>
      </c>
      <c r="F44" s="192">
        <f t="shared" si="25"/>
        <v>24330</v>
      </c>
      <c r="G44" s="192">
        <f t="shared" si="25"/>
        <v>13565.6</v>
      </c>
      <c r="H44" s="192">
        <f t="shared" ref="H44:I44" si="26">H39</f>
        <v>54625.599999999999</v>
      </c>
      <c r="I44" s="192">
        <f t="shared" si="26"/>
        <v>219586.26995448</v>
      </c>
      <c r="J44" s="192">
        <f t="shared" ref="J44:L44" si="27">J39</f>
        <v>287539.62995447998</v>
      </c>
      <c r="K44" s="192">
        <f t="shared" si="27"/>
        <v>312316.37995447998</v>
      </c>
      <c r="L44" s="192">
        <f t="shared" si="27"/>
        <v>157084.87013656</v>
      </c>
      <c r="M44" s="192">
        <f t="shared" ref="M44" si="28">M39</f>
        <v>0</v>
      </c>
      <c r="N44" s="192">
        <f t="shared" si="25"/>
        <v>1390103.8900000001</v>
      </c>
      <c r="O44" s="263">
        <f t="shared" si="25"/>
        <v>1431000</v>
      </c>
      <c r="P44" s="281">
        <f t="shared" si="25"/>
        <v>40896.10999999987</v>
      </c>
      <c r="Q44" s="5"/>
      <c r="R44" s="5"/>
    </row>
    <row r="45" spans="1:18" x14ac:dyDescent="0.2">
      <c r="A45" s="44"/>
      <c r="B45" s="48"/>
      <c r="C45" s="49"/>
      <c r="D45" s="50"/>
      <c r="E45" s="209"/>
      <c r="F45" s="209"/>
      <c r="G45" s="209"/>
      <c r="H45" s="209"/>
      <c r="I45" s="209"/>
      <c r="J45" s="209"/>
      <c r="K45" s="209"/>
      <c r="L45" s="209"/>
      <c r="M45" s="209"/>
      <c r="N45" s="209"/>
      <c r="O45" s="260"/>
      <c r="P45" s="278"/>
      <c r="Q45" s="5"/>
      <c r="R45" s="5"/>
    </row>
    <row r="46" spans="1:18" s="9" customFormat="1" x14ac:dyDescent="0.2">
      <c r="A46" s="54"/>
      <c r="B46" s="40" t="s">
        <v>75</v>
      </c>
      <c r="C46" s="55"/>
      <c r="D46" s="56"/>
      <c r="E46" s="257"/>
      <c r="F46" s="257"/>
      <c r="G46" s="257"/>
      <c r="H46" s="257"/>
      <c r="I46" s="257"/>
      <c r="J46" s="257"/>
      <c r="K46" s="257"/>
      <c r="L46" s="257"/>
      <c r="M46" s="257"/>
      <c r="N46" s="210"/>
      <c r="O46" s="261"/>
      <c r="P46" s="279"/>
    </row>
    <row r="47" spans="1:18" outlineLevel="1" x14ac:dyDescent="0.2">
      <c r="A47" s="44"/>
      <c r="B47" s="60" t="s">
        <v>84</v>
      </c>
      <c r="C47" s="338">
        <f t="shared" ref="C47:G47" si="29">SUM(C48:C51)</f>
        <v>612580.89000000013</v>
      </c>
      <c r="D47" s="338">
        <f t="shared" si="29"/>
        <v>93404</v>
      </c>
      <c r="E47" s="191">
        <f t="shared" si="29"/>
        <v>43416.480000000003</v>
      </c>
      <c r="F47" s="191">
        <f t="shared" si="29"/>
        <v>34777.514999999999</v>
      </c>
      <c r="G47" s="191">
        <f t="shared" si="29"/>
        <v>36777.504999999997</v>
      </c>
      <c r="H47" s="191">
        <f t="shared" ref="H47:I47" si="30">SUM(H48:H51)</f>
        <v>114971.51333333334</v>
      </c>
      <c r="I47" s="191">
        <f t="shared" si="30"/>
        <v>97790.462499999994</v>
      </c>
      <c r="J47" s="191">
        <f t="shared" ref="J47:L47" si="31">SUM(J48:J51)</f>
        <v>67332.5625</v>
      </c>
      <c r="K47" s="191">
        <f t="shared" si="31"/>
        <v>92243.276666666672</v>
      </c>
      <c r="L47" s="191">
        <f t="shared" si="31"/>
        <v>174598.97999999998</v>
      </c>
      <c r="M47" s="191">
        <f t="shared" ref="M47" si="32">SUM(M48:M51)</f>
        <v>10000</v>
      </c>
      <c r="N47" s="212">
        <f>SUM(N48:N51)</f>
        <v>1262921.6850000003</v>
      </c>
      <c r="O47" s="193">
        <f>'QFR - B'!H27</f>
        <v>1060500</v>
      </c>
      <c r="P47" s="275">
        <f>O47-N47</f>
        <v>-202421.68500000029</v>
      </c>
      <c r="Q47" s="5"/>
      <c r="R47" s="5"/>
    </row>
    <row r="48" spans="1:18" s="199" customFormat="1" ht="12.75" customHeight="1" outlineLevel="1" x14ac:dyDescent="0.2">
      <c r="A48" s="198"/>
      <c r="B48" s="208" t="s">
        <v>121</v>
      </c>
      <c r="C48" s="362">
        <v>484985.35000000021</v>
      </c>
      <c r="D48" s="362">
        <v>58504.04</v>
      </c>
      <c r="E48" s="289">
        <v>15595.039999999999</v>
      </c>
      <c r="F48" s="289">
        <v>21045.375</v>
      </c>
      <c r="G48" s="289">
        <v>21045.375</v>
      </c>
      <c r="H48" s="290">
        <f>SUMIF('Contract level'!$A:$A,"="&amp;'DFP-Com'!$A46,'Contract level'!AQ:AQ)</f>
        <v>57685.79</v>
      </c>
      <c r="I48" s="290">
        <f>SUMIF('Contract level'!$A:$A,"="&amp;'DFP-Com'!$A46,'Contract level'!AR:AR)</f>
        <v>63136.125</v>
      </c>
      <c r="J48" s="290">
        <f>SUMIF('Contract level'!$A:$A,"="&amp;'DFP-Com'!$A46,'Contract level'!AS:AS)</f>
        <v>63136.125</v>
      </c>
      <c r="K48" s="290">
        <f>SUMIF('Contract level'!$A:$A,"="&amp;'DFP-Com'!$A46,'Contract level'!AT:AT)</f>
        <v>63136.125</v>
      </c>
      <c r="L48" s="290">
        <f>SUMIF('Contract level'!$A:$A,"="&amp;'DFP-Com'!$A46,'Contract level'!AU:AU)</f>
        <v>159944.85</v>
      </c>
      <c r="M48" s="290">
        <f>SUMIF('Contract level'!$A:$A,"="&amp;'DFP-Com'!$A46,'Contract level'!AV:AV)</f>
        <v>0</v>
      </c>
      <c r="N48" s="196">
        <f>SUM(H48:M48)+D48+C48</f>
        <v>950528.40500000026</v>
      </c>
      <c r="O48" s="262"/>
      <c r="P48" s="276"/>
    </row>
    <row r="49" spans="1:18" s="199" customFormat="1" outlineLevel="1" x14ac:dyDescent="0.2">
      <c r="A49" s="198"/>
      <c r="B49" s="208" t="s">
        <v>122</v>
      </c>
      <c r="C49" s="362">
        <v>31815.310000000005</v>
      </c>
      <c r="D49" s="362">
        <v>12459.14</v>
      </c>
      <c r="E49" s="289">
        <v>4000</v>
      </c>
      <c r="F49" s="289">
        <v>4000</v>
      </c>
      <c r="G49" s="289">
        <v>4000</v>
      </c>
      <c r="H49" s="290">
        <f>SUMIF('Contract level'!$A:$A,"="&amp;'DFP-Com'!$A47,'Contract level'!AQ:AQ)</f>
        <v>12000</v>
      </c>
      <c r="I49" s="290">
        <f>SUMIF('Contract level'!$A:$A,"="&amp;'DFP-Com'!$A47,'Contract level'!AR:AR)</f>
        <v>15000</v>
      </c>
      <c r="J49" s="290">
        <f>SUMIF('Contract level'!$A:$A,"="&amp;'DFP-Com'!$A47,'Contract level'!AS:AS)</f>
        <v>2000</v>
      </c>
      <c r="K49" s="290">
        <f>SUMIF('Contract level'!$A:$A,"="&amp;'DFP-Com'!$A47,'Contract level'!AT:AT)</f>
        <v>2000</v>
      </c>
      <c r="L49" s="290">
        <f>SUMIF('Contract level'!$A:$A,"="&amp;'DFP-Com'!$A47,'Contract level'!AU:AU)</f>
        <v>2725.55</v>
      </c>
      <c r="M49" s="290">
        <f>SUMIF('Contract level'!$A:$A,"="&amp;'DFP-Com'!$A47,'Contract level'!AV:AV)</f>
        <v>0</v>
      </c>
      <c r="N49" s="290">
        <f>SUM(H49:M49)+D49+C49</f>
        <v>78000</v>
      </c>
      <c r="O49" s="262"/>
      <c r="P49" s="280"/>
    </row>
    <row r="50" spans="1:18" s="199" customFormat="1" outlineLevel="1" x14ac:dyDescent="0.2">
      <c r="A50" s="198"/>
      <c r="B50" s="208" t="s">
        <v>123</v>
      </c>
      <c r="C50" s="362">
        <v>49000</v>
      </c>
      <c r="D50" s="362">
        <v>6000</v>
      </c>
      <c r="E50" s="289">
        <v>18000</v>
      </c>
      <c r="F50" s="289">
        <v>6000</v>
      </c>
      <c r="G50" s="289">
        <v>6000</v>
      </c>
      <c r="H50" s="290">
        <f>SUMIF('Contract level'!$A:$A,"="&amp;'DFP-Com'!$A48,'Contract level'!AQ:AQ)</f>
        <v>30000</v>
      </c>
      <c r="I50" s="290">
        <f>SUMIF('Contract level'!$A:$A,"="&amp;'DFP-Com'!$A48,'Contract level'!AR:AR)</f>
        <v>0</v>
      </c>
      <c r="J50" s="290">
        <f>SUMIF('Contract level'!$A:$A,"="&amp;'DFP-Com'!$A48,'Contract level'!AS:AS)</f>
        <v>0</v>
      </c>
      <c r="K50" s="290">
        <f>SUMIF('Contract level'!$A:$A,"="&amp;'DFP-Com'!$A48,'Contract level'!AT:AT)</f>
        <v>25000</v>
      </c>
      <c r="L50" s="290">
        <f>SUMIF('Contract level'!$A:$A,"="&amp;'DFP-Com'!$A48,'Contract level'!AU:AU)</f>
        <v>0</v>
      </c>
      <c r="M50" s="290">
        <f>SUMIF('Contract level'!$A:$A,"="&amp;'DFP-Com'!$A48,'Contract level'!AV:AV)</f>
        <v>10000</v>
      </c>
      <c r="N50" s="290">
        <f>SUM(H50:M50)+D50+C50</f>
        <v>120000</v>
      </c>
      <c r="O50" s="262"/>
      <c r="P50" s="280"/>
    </row>
    <row r="51" spans="1:18" s="199" customFormat="1" outlineLevel="1" x14ac:dyDescent="0.2">
      <c r="A51" s="198"/>
      <c r="B51" s="208" t="s">
        <v>124</v>
      </c>
      <c r="C51" s="362">
        <v>46780.23</v>
      </c>
      <c r="D51" s="362">
        <v>16440.82</v>
      </c>
      <c r="E51" s="289">
        <f>3821.44+2000</f>
        <v>5821.4400000000005</v>
      </c>
      <c r="F51" s="289">
        <v>3732.1400000000003</v>
      </c>
      <c r="G51" s="289">
        <v>5732.13</v>
      </c>
      <c r="H51" s="290">
        <f>SUMIF('Contract level'!$A:$A,"="&amp;'DFP-Com'!$A49,'Contract level'!AQ:AQ)</f>
        <v>15285.723333333333</v>
      </c>
      <c r="I51" s="290">
        <f>SUMIF('Contract level'!$A:$A,"="&amp;'DFP-Com'!$A49,'Contract level'!AR:AR)</f>
        <v>19654.337500000001</v>
      </c>
      <c r="J51" s="290">
        <f>SUMIF('Contract level'!$A:$A,"="&amp;'DFP-Com'!$A49,'Contract level'!AS:AS)</f>
        <v>2196.4375</v>
      </c>
      <c r="K51" s="290">
        <f>SUMIF('Contract level'!$A:$A,"="&amp;'DFP-Com'!$A49,'Contract level'!AT:AT)</f>
        <v>2107.1516666666666</v>
      </c>
      <c r="L51" s="290">
        <f>SUMIF('Contract level'!$A:$A,"="&amp;'DFP-Com'!$A49,'Contract level'!AU:AU)</f>
        <v>11928.58</v>
      </c>
      <c r="M51" s="290">
        <f>SUMIF('Contract level'!$A:$A,"="&amp;'DFP-Com'!$A49,'Contract level'!AV:AV)</f>
        <v>0</v>
      </c>
      <c r="N51" s="290">
        <f>SUM(H51:M51)+D51+C51</f>
        <v>114393.28</v>
      </c>
      <c r="O51" s="262"/>
      <c r="P51" s="280"/>
    </row>
    <row r="52" spans="1:18" s="9" customFormat="1" x14ac:dyDescent="0.2">
      <c r="B52" s="61" t="s">
        <v>83</v>
      </c>
      <c r="C52" s="398">
        <f t="shared" ref="C52:P52" si="33">C47</f>
        <v>612580.89000000013</v>
      </c>
      <c r="D52" s="398">
        <f t="shared" si="33"/>
        <v>93404</v>
      </c>
      <c r="E52" s="192">
        <f t="shared" si="33"/>
        <v>43416.480000000003</v>
      </c>
      <c r="F52" s="192">
        <f t="shared" si="33"/>
        <v>34777.514999999999</v>
      </c>
      <c r="G52" s="192">
        <f t="shared" si="33"/>
        <v>36777.504999999997</v>
      </c>
      <c r="H52" s="192">
        <f t="shared" ref="H52:I52" si="34">H47</f>
        <v>114971.51333333334</v>
      </c>
      <c r="I52" s="192">
        <f t="shared" si="34"/>
        <v>97790.462499999994</v>
      </c>
      <c r="J52" s="192">
        <f t="shared" ref="J52:L52" si="35">J47</f>
        <v>67332.5625</v>
      </c>
      <c r="K52" s="192">
        <f t="shared" si="35"/>
        <v>92243.276666666672</v>
      </c>
      <c r="L52" s="192">
        <f t="shared" si="35"/>
        <v>174598.97999999998</v>
      </c>
      <c r="M52" s="192">
        <f t="shared" ref="M52" si="36">M47</f>
        <v>10000</v>
      </c>
      <c r="N52" s="192">
        <f t="shared" si="33"/>
        <v>1262921.6850000003</v>
      </c>
      <c r="O52" s="263">
        <f t="shared" si="33"/>
        <v>1060500</v>
      </c>
      <c r="P52" s="281">
        <f t="shared" si="33"/>
        <v>-202421.68500000029</v>
      </c>
    </row>
    <row r="53" spans="1:18" x14ac:dyDescent="0.2">
      <c r="A53" s="5"/>
      <c r="B53" s="48"/>
      <c r="C53" s="49"/>
      <c r="D53" s="50"/>
      <c r="E53" s="209"/>
      <c r="F53" s="209"/>
      <c r="G53" s="209"/>
      <c r="H53" s="209"/>
      <c r="I53" s="209"/>
      <c r="J53" s="209"/>
      <c r="K53" s="209"/>
      <c r="L53" s="209"/>
      <c r="M53" s="209"/>
      <c r="N53" s="211"/>
      <c r="O53" s="260"/>
      <c r="P53" s="282"/>
      <c r="Q53" s="5"/>
      <c r="R53" s="5"/>
    </row>
    <row r="54" spans="1:18" s="216" customFormat="1" ht="17.25" thickBot="1" x14ac:dyDescent="0.3">
      <c r="B54" s="221" t="s">
        <v>117</v>
      </c>
      <c r="C54" s="217">
        <f t="shared" ref="C54:P54" si="37">C52+C44+C36+C27</f>
        <v>14434533.770000001</v>
      </c>
      <c r="D54" s="321">
        <f t="shared" si="37"/>
        <v>2002889.21</v>
      </c>
      <c r="E54" s="218">
        <f t="shared" si="37"/>
        <v>197655.41999999998</v>
      </c>
      <c r="F54" s="218">
        <f t="shared" si="37"/>
        <v>735150.54499999993</v>
      </c>
      <c r="G54" s="218">
        <f>G52+G44+G36+G27</f>
        <v>1648551.2350000001</v>
      </c>
      <c r="H54" s="218">
        <f t="shared" ref="H54" si="38">H52+H44+H36+H27</f>
        <v>2581357.2045512977</v>
      </c>
      <c r="I54" s="218">
        <f t="shared" ref="I54:L54" si="39">I52+I44+I36+I27</f>
        <v>2173570.4792175824</v>
      </c>
      <c r="J54" s="218">
        <f t="shared" si="39"/>
        <v>890696.73480453459</v>
      </c>
      <c r="K54" s="218">
        <f t="shared" si="39"/>
        <v>1994503.7982265863</v>
      </c>
      <c r="L54" s="218">
        <f t="shared" si="39"/>
        <v>424225.58913592203</v>
      </c>
      <c r="M54" s="218">
        <f t="shared" ref="M54" si="40">M52+M44+M36+M27</f>
        <v>10000</v>
      </c>
      <c r="N54" s="218">
        <f t="shared" si="37"/>
        <v>24511776.785935923</v>
      </c>
      <c r="O54" s="218">
        <f t="shared" si="37"/>
        <v>26197500</v>
      </c>
      <c r="P54" s="283">
        <f t="shared" si="37"/>
        <v>1685723.2140640742</v>
      </c>
    </row>
    <row r="55" spans="1:18" ht="13.5" thickTop="1" x14ac:dyDescent="0.2">
      <c r="B55" s="7" t="s">
        <v>119</v>
      </c>
      <c r="Q55" s="205"/>
    </row>
    <row r="56" spans="1:18" x14ac:dyDescent="0.2">
      <c r="B56" s="63" t="s">
        <v>120</v>
      </c>
      <c r="P56" s="397"/>
    </row>
    <row r="57" spans="1:18" x14ac:dyDescent="0.2">
      <c r="B57" s="7"/>
      <c r="Q57" s="205"/>
    </row>
    <row r="58" spans="1:18" x14ac:dyDescent="0.2">
      <c r="B58" s="7"/>
      <c r="C58" s="267"/>
    </row>
    <row r="59" spans="1:18" x14ac:dyDescent="0.2">
      <c r="B59" s="7"/>
      <c r="C59" s="267"/>
    </row>
    <row r="60" spans="1:18" x14ac:dyDescent="0.2">
      <c r="B60" s="7"/>
    </row>
    <row r="61" spans="1:18" x14ac:dyDescent="0.2">
      <c r="B61" s="7"/>
      <c r="N61" s="1">
        <f>+P47+P23</f>
        <v>-254508.34642500081</v>
      </c>
    </row>
    <row r="62" spans="1:18" x14ac:dyDescent="0.2">
      <c r="B62" s="7"/>
    </row>
    <row r="63" spans="1:18" x14ac:dyDescent="0.2">
      <c r="B63" s="7"/>
    </row>
    <row r="64" spans="1:18" x14ac:dyDescent="0.2">
      <c r="B64" s="7"/>
    </row>
    <row r="65" spans="2:4" x14ac:dyDescent="0.2">
      <c r="B65" s="7"/>
    </row>
    <row r="66" spans="2:4" x14ac:dyDescent="0.2">
      <c r="B66" s="7"/>
    </row>
    <row r="67" spans="2:4" x14ac:dyDescent="0.2">
      <c r="B67" s="7"/>
    </row>
    <row r="68" spans="2:4" x14ac:dyDescent="0.2">
      <c r="B68" s="7"/>
    </row>
    <row r="69" spans="2:4" x14ac:dyDescent="0.2">
      <c r="B69" s="7"/>
    </row>
    <row r="70" spans="2:4" x14ac:dyDescent="0.2">
      <c r="D70" s="397"/>
    </row>
  </sheetData>
  <mergeCells count="6">
    <mergeCell ref="P12:P13"/>
    <mergeCell ref="B11:B12"/>
    <mergeCell ref="N12:N13"/>
    <mergeCell ref="O12:O13"/>
    <mergeCell ref="E12:G12"/>
    <mergeCell ref="E11:G11"/>
  </mergeCells>
  <phoneticPr fontId="28" type="noConversion"/>
  <pageMargins left="0.70866141732283472" right="0.70866141732283472" top="0.74803149606299213" bottom="0.74803149606299213" header="0.31496062992125984" footer="0.31496062992125984"/>
  <pageSetup scale="43" orientation="landscape" r:id="rId1"/>
  <ignoredErrors>
    <ignoredError sqref="N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I38"/>
  <sheetViews>
    <sheetView showGridLines="0" zoomScale="74" zoomScaleNormal="74" zoomScalePageLayoutView="85" workbookViewId="0">
      <pane ySplit="13" topLeftCell="A14" activePane="bottomLeft" state="frozen"/>
      <selection pane="bottomLeft" activeCell="B8" sqref="B8"/>
    </sheetView>
  </sheetViews>
  <sheetFormatPr baseColWidth="10" defaultColWidth="9.140625" defaultRowHeight="15" x14ac:dyDescent="0.25"/>
  <cols>
    <col min="1" max="1" width="2.42578125" customWidth="1"/>
    <col min="2" max="2" width="29.42578125" customWidth="1"/>
    <col min="3" max="3" width="18.42578125" customWidth="1"/>
    <col min="4" max="4" width="22.42578125" customWidth="1"/>
    <col min="5" max="5" width="19" customWidth="1"/>
    <col min="6" max="6" width="18.140625" customWidth="1"/>
    <col min="7" max="7" width="18.85546875" customWidth="1"/>
    <col min="8" max="8" width="9.140625" customWidth="1"/>
    <col min="9" max="9" width="13" bestFit="1" customWidth="1"/>
  </cols>
  <sheetData>
    <row r="1" spans="2:9" x14ac:dyDescent="0.25">
      <c r="B1" s="67" t="s">
        <v>21</v>
      </c>
      <c r="C1" s="68"/>
      <c r="D1" s="68"/>
      <c r="E1" s="68"/>
      <c r="F1" s="68"/>
      <c r="G1" s="69"/>
    </row>
    <row r="2" spans="2:9" x14ac:dyDescent="0.25">
      <c r="B2" s="70"/>
      <c r="C2" s="71" t="s">
        <v>1</v>
      </c>
      <c r="D2" s="144" t="s">
        <v>63</v>
      </c>
      <c r="E2" s="73"/>
      <c r="F2" s="74"/>
      <c r="G2" s="75"/>
    </row>
    <row r="3" spans="2:9" x14ac:dyDescent="0.25">
      <c r="B3" s="70"/>
      <c r="C3" s="71" t="s">
        <v>2</v>
      </c>
      <c r="D3" s="171" t="s">
        <v>64</v>
      </c>
      <c r="E3" s="73"/>
      <c r="F3" s="74"/>
      <c r="G3" s="75"/>
    </row>
    <row r="4" spans="2:9" x14ac:dyDescent="0.25">
      <c r="B4" s="70"/>
      <c r="C4" s="71" t="s">
        <v>3</v>
      </c>
      <c r="D4" s="171" t="str">
        <f>'THP DR'!B7</f>
        <v>TR14GTM15001</v>
      </c>
      <c r="E4" s="73"/>
      <c r="F4" s="74"/>
      <c r="G4" s="75"/>
    </row>
    <row r="5" spans="2:9" x14ac:dyDescent="0.25">
      <c r="B5" s="70"/>
      <c r="C5" s="71" t="s">
        <v>4</v>
      </c>
      <c r="D5" s="172">
        <v>43816</v>
      </c>
      <c r="E5" s="73"/>
      <c r="F5" s="74"/>
      <c r="G5" s="75"/>
    </row>
    <row r="6" spans="2:9" ht="15.75" thickBot="1" x14ac:dyDescent="0.3">
      <c r="B6" s="77"/>
      <c r="C6" s="78"/>
      <c r="D6" s="79"/>
      <c r="E6" s="78"/>
      <c r="F6" s="79"/>
      <c r="G6" s="80"/>
    </row>
    <row r="7" spans="2:9" x14ac:dyDescent="0.25">
      <c r="B7" s="81" t="s">
        <v>22</v>
      </c>
      <c r="C7" s="82"/>
      <c r="D7" s="82"/>
      <c r="E7" s="82"/>
      <c r="F7" s="82"/>
      <c r="G7" s="83"/>
      <c r="H7" s="84"/>
    </row>
    <row r="8" spans="2:9" x14ac:dyDescent="0.25">
      <c r="B8" s="85" t="str">
        <f>"Disbursement Period:"&amp; TEXT('THP DR'!B11,"dd-mmm-yy")&amp;" to "&amp;TEXT('THP DR'!B12,"dd-mmm-yy")</f>
        <v>Disbursement Period:01-ene-20 to 31-mar-20</v>
      </c>
      <c r="C8" s="86"/>
      <c r="D8" s="86"/>
      <c r="E8" s="86"/>
      <c r="F8" s="86"/>
      <c r="G8" s="87"/>
      <c r="H8" s="84"/>
    </row>
    <row r="9" spans="2:9" s="93" customFormat="1" ht="12.75" x14ac:dyDescent="0.2">
      <c r="B9" s="88" t="s">
        <v>23</v>
      </c>
      <c r="C9" s="89"/>
      <c r="D9" s="89"/>
      <c r="E9" s="90"/>
      <c r="F9" s="90"/>
      <c r="G9" s="91"/>
      <c r="H9" s="92"/>
    </row>
    <row r="10" spans="2:9" ht="15.75" thickBot="1" x14ac:dyDescent="0.3">
      <c r="B10" s="94" t="s">
        <v>205</v>
      </c>
      <c r="C10" s="95"/>
      <c r="D10" s="95"/>
      <c r="E10" s="95"/>
      <c r="F10" s="95"/>
      <c r="G10" s="96"/>
      <c r="H10" s="84"/>
    </row>
    <row r="11" spans="2:9" ht="52.5" customHeight="1" thickBot="1" x14ac:dyDescent="0.3">
      <c r="B11" s="97"/>
      <c r="C11" s="98" t="s">
        <v>24</v>
      </c>
      <c r="D11" s="99" t="s">
        <v>25</v>
      </c>
      <c r="E11" s="511" t="s">
        <v>26</v>
      </c>
      <c r="F11" s="512"/>
      <c r="G11" s="100" t="s">
        <v>27</v>
      </c>
      <c r="H11" s="84"/>
    </row>
    <row r="12" spans="2:9" ht="23.25" x14ac:dyDescent="0.25">
      <c r="B12" s="101" t="s">
        <v>72</v>
      </c>
      <c r="C12" s="102"/>
      <c r="D12" s="103" t="s">
        <v>28</v>
      </c>
      <c r="E12" s="104" t="s">
        <v>29</v>
      </c>
      <c r="F12" s="105" t="s">
        <v>30</v>
      </c>
      <c r="G12" s="106" t="s">
        <v>31</v>
      </c>
      <c r="H12" s="84"/>
    </row>
    <row r="13" spans="2:9" s="93" customFormat="1" ht="13.5" thickBot="1" x14ac:dyDescent="0.25">
      <c r="B13" s="107" t="s">
        <v>80</v>
      </c>
      <c r="C13" s="108">
        <v>1</v>
      </c>
      <c r="D13" s="108">
        <v>2</v>
      </c>
      <c r="E13" s="108">
        <v>3</v>
      </c>
      <c r="F13" s="108">
        <v>4</v>
      </c>
      <c r="G13" s="109">
        <v>5</v>
      </c>
      <c r="H13" s="92"/>
    </row>
    <row r="14" spans="2:9" s="93" customFormat="1" x14ac:dyDescent="0.25">
      <c r="B14" s="513"/>
      <c r="C14" s="514"/>
      <c r="D14" s="514"/>
      <c r="E14" s="514"/>
      <c r="F14" s="514"/>
      <c r="G14" s="515"/>
      <c r="H14" s="92"/>
    </row>
    <row r="15" spans="2:9" s="93" customFormat="1" ht="26.45" customHeight="1" x14ac:dyDescent="0.2">
      <c r="B15" s="150" t="s">
        <v>67</v>
      </c>
      <c r="C15" s="173">
        <f>SUM(C16:C18)</f>
        <v>19700000</v>
      </c>
      <c r="D15" s="177">
        <f>SUM(D16:D18)</f>
        <v>19346000</v>
      </c>
      <c r="E15" s="173">
        <f>SUM(E16:E18)</f>
        <v>52100</v>
      </c>
      <c r="F15" s="173">
        <f>SUM(F16:F18)</f>
        <v>0</v>
      </c>
      <c r="G15" s="177">
        <f t="shared" ref="G15:G18" si="0">+D15+E15-F15</f>
        <v>19398100</v>
      </c>
      <c r="H15" s="92"/>
      <c r="I15" s="237"/>
    </row>
    <row r="16" spans="2:9" s="93" customFormat="1" ht="25.5" x14ac:dyDescent="0.2">
      <c r="B16" s="164" t="s">
        <v>68</v>
      </c>
      <c r="C16" s="163">
        <v>12000000</v>
      </c>
      <c r="D16" s="178">
        <f>'QFR - B'!H15</f>
        <v>12000000</v>
      </c>
      <c r="E16" s="174"/>
      <c r="F16" s="174">
        <v>0</v>
      </c>
      <c r="G16" s="178">
        <f t="shared" si="0"/>
        <v>12000000</v>
      </c>
      <c r="H16" s="92"/>
      <c r="I16" s="237" t="s">
        <v>102</v>
      </c>
    </row>
    <row r="17" spans="2:9" ht="45" customHeight="1" x14ac:dyDescent="0.25">
      <c r="B17" s="164" t="s">
        <v>69</v>
      </c>
      <c r="C17" s="163">
        <v>4700000</v>
      </c>
      <c r="D17" s="178">
        <f>'QFR - B'!H16</f>
        <v>4300000</v>
      </c>
      <c r="E17" s="174">
        <v>0</v>
      </c>
      <c r="F17" s="174"/>
      <c r="G17" s="178">
        <f t="shared" si="0"/>
        <v>4300000</v>
      </c>
    </row>
    <row r="18" spans="2:9" ht="25.5" x14ac:dyDescent="0.25">
      <c r="B18" s="164" t="s">
        <v>70</v>
      </c>
      <c r="C18" s="163">
        <v>3000000</v>
      </c>
      <c r="D18" s="178">
        <f>'QFR - B'!H17</f>
        <v>3046000</v>
      </c>
      <c r="E18" s="174">
        <v>52100</v>
      </c>
      <c r="F18" s="174"/>
      <c r="G18" s="178">
        <f t="shared" si="0"/>
        <v>3098100</v>
      </c>
    </row>
    <row r="19" spans="2:9" x14ac:dyDescent="0.25">
      <c r="B19" s="165"/>
      <c r="C19" s="163"/>
      <c r="D19" s="178"/>
      <c r="E19" s="174"/>
      <c r="F19" s="174"/>
      <c r="G19" s="178"/>
    </row>
    <row r="20" spans="2:9" ht="25.5" x14ac:dyDescent="0.25">
      <c r="B20" s="166" t="s">
        <v>73</v>
      </c>
      <c r="C20" s="154">
        <f>SUM(C21:C22)</f>
        <v>4000000</v>
      </c>
      <c r="D20" s="179">
        <f>SUM(D21:D22)</f>
        <v>4360000</v>
      </c>
      <c r="E20" s="154">
        <f>SUM(E21:E22)</f>
        <v>0</v>
      </c>
      <c r="F20" s="154">
        <f>SUM(F21:F22)</f>
        <v>252600</v>
      </c>
      <c r="G20" s="179">
        <f>+D20+E20-F20</f>
        <v>4107400</v>
      </c>
      <c r="I20" s="243"/>
    </row>
    <row r="21" spans="2:9" ht="25.5" x14ac:dyDescent="0.25">
      <c r="B21" s="164" t="s">
        <v>76</v>
      </c>
      <c r="C21" s="163">
        <v>0</v>
      </c>
      <c r="D21" s="178">
        <f>'QFR - B'!H20</f>
        <v>800000</v>
      </c>
      <c r="E21" s="174"/>
      <c r="F21" s="174"/>
      <c r="G21" s="178">
        <f>+D21+E21-F21</f>
        <v>800000</v>
      </c>
    </row>
    <row r="22" spans="2:9" ht="25.5" x14ac:dyDescent="0.25">
      <c r="B22" s="164" t="s">
        <v>77</v>
      </c>
      <c r="C22" s="163">
        <v>4000000</v>
      </c>
      <c r="D22" s="178">
        <f>'QFR - B'!H21</f>
        <v>3560000</v>
      </c>
      <c r="E22" s="174"/>
      <c r="F22" s="174">
        <v>252600</v>
      </c>
      <c r="G22" s="178">
        <f>+D22+E22-F22</f>
        <v>3307400</v>
      </c>
    </row>
    <row r="23" spans="2:9" x14ac:dyDescent="0.25">
      <c r="B23" s="165"/>
      <c r="C23" s="163"/>
      <c r="D23" s="180"/>
      <c r="E23" s="174"/>
      <c r="F23" s="174"/>
      <c r="G23" s="180"/>
    </row>
    <row r="24" spans="2:9" ht="26.45" customHeight="1" x14ac:dyDescent="0.25">
      <c r="B24" s="151" t="s">
        <v>74</v>
      </c>
      <c r="C24" s="154">
        <f>SUM(C25)</f>
        <v>1700000</v>
      </c>
      <c r="D24" s="179">
        <f t="shared" ref="D24:G24" si="1">SUM(D25)</f>
        <v>1431000</v>
      </c>
      <c r="E24" s="154">
        <f t="shared" si="1"/>
        <v>0</v>
      </c>
      <c r="F24" s="154">
        <f t="shared" si="1"/>
        <v>0</v>
      </c>
      <c r="G24" s="179">
        <f t="shared" si="1"/>
        <v>1431000</v>
      </c>
      <c r="I24" s="243"/>
    </row>
    <row r="25" spans="2:9" ht="26.45" customHeight="1" x14ac:dyDescent="0.25">
      <c r="B25" s="170" t="s">
        <v>78</v>
      </c>
      <c r="C25" s="163">
        <v>1700000</v>
      </c>
      <c r="D25" s="178">
        <f>'QFR - B'!H24</f>
        <v>1431000</v>
      </c>
      <c r="E25" s="174"/>
      <c r="F25" s="174">
        <v>0</v>
      </c>
      <c r="G25" s="178">
        <f>+D25+E25-F25</f>
        <v>1431000</v>
      </c>
    </row>
    <row r="26" spans="2:9" x14ac:dyDescent="0.25">
      <c r="B26" s="165"/>
      <c r="C26" s="163"/>
      <c r="D26" s="180"/>
      <c r="E26" s="174"/>
      <c r="F26" s="174"/>
      <c r="G26" s="180"/>
    </row>
    <row r="27" spans="2:9" ht="26.45" customHeight="1" x14ac:dyDescent="0.25">
      <c r="B27" s="151" t="s">
        <v>75</v>
      </c>
      <c r="C27" s="154">
        <f>SUM(C28)</f>
        <v>800000</v>
      </c>
      <c r="D27" s="179">
        <f t="shared" ref="D27:G27" si="2">SUM(D28)</f>
        <v>1060500</v>
      </c>
      <c r="E27" s="154">
        <f t="shared" si="2"/>
        <v>200500</v>
      </c>
      <c r="F27" s="154">
        <f t="shared" si="2"/>
        <v>0</v>
      </c>
      <c r="G27" s="179">
        <f t="shared" si="2"/>
        <v>1261000</v>
      </c>
      <c r="I27" s="243"/>
    </row>
    <row r="28" spans="2:9" ht="26.45" customHeight="1" x14ac:dyDescent="0.25">
      <c r="B28" s="170" t="s">
        <v>79</v>
      </c>
      <c r="C28" s="163">
        <v>800000</v>
      </c>
      <c r="D28" s="178">
        <f>'QFR - B'!H27</f>
        <v>1060500</v>
      </c>
      <c r="E28" s="174">
        <v>200500</v>
      </c>
      <c r="F28" s="174">
        <v>0</v>
      </c>
      <c r="G28" s="178">
        <f>+D28+E28-F28</f>
        <v>1261000</v>
      </c>
    </row>
    <row r="29" spans="2:9" ht="15.75" thickBot="1" x14ac:dyDescent="0.3">
      <c r="B29" s="168"/>
      <c r="C29" s="175"/>
      <c r="D29" s="181"/>
      <c r="E29" s="175"/>
      <c r="F29" s="175"/>
      <c r="G29" s="181"/>
    </row>
    <row r="30" spans="2:9" ht="26.45" customHeight="1" thickBot="1" x14ac:dyDescent="0.3">
      <c r="B30" s="169" t="s">
        <v>32</v>
      </c>
      <c r="C30" s="176">
        <f>+C15+C20+C24+C27</f>
        <v>26200000</v>
      </c>
      <c r="D30" s="176">
        <f>+D15+D20+D24+D27</f>
        <v>26197500</v>
      </c>
      <c r="E30" s="176">
        <f>+E15+E20+E24+E27</f>
        <v>252600</v>
      </c>
      <c r="F30" s="176">
        <f>+F15+F20+F24+F27</f>
        <v>252600</v>
      </c>
      <c r="G30" s="182">
        <f>+G15+G20+G24+G27</f>
        <v>26197500</v>
      </c>
      <c r="I30" s="244"/>
    </row>
    <row r="31" spans="2:9" x14ac:dyDescent="0.25">
      <c r="B31" t="s">
        <v>237</v>
      </c>
    </row>
    <row r="33" spans="2:7" x14ac:dyDescent="0.25">
      <c r="B33" s="213" t="s">
        <v>107</v>
      </c>
      <c r="C33" s="214"/>
      <c r="D33" s="214"/>
      <c r="E33" s="214"/>
      <c r="F33" s="214"/>
      <c r="G33" s="215"/>
    </row>
    <row r="34" spans="2:7" ht="25.5" x14ac:dyDescent="0.25">
      <c r="B34" s="166" t="s">
        <v>73</v>
      </c>
      <c r="C34" s="154">
        <f>SUM(C35)</f>
        <v>1800000</v>
      </c>
      <c r="D34" s="154">
        <f>SUM(D35)</f>
        <v>1800000</v>
      </c>
      <c r="E34" s="154">
        <f>E35</f>
        <v>0</v>
      </c>
      <c r="F34" s="154">
        <f>F35</f>
        <v>0</v>
      </c>
      <c r="G34" s="179">
        <f>+D34+E34-F34</f>
        <v>1800000</v>
      </c>
    </row>
    <row r="35" spans="2:7" ht="25.5" x14ac:dyDescent="0.25">
      <c r="B35" s="164" t="s">
        <v>106</v>
      </c>
      <c r="C35" s="163">
        <v>1800000</v>
      </c>
      <c r="D35" s="178">
        <f>'[1]QFR - B'!G34</f>
        <v>1800000</v>
      </c>
      <c r="E35" s="326"/>
      <c r="F35" s="326"/>
      <c r="G35" s="178">
        <f>D35+E35-F35</f>
        <v>1800000</v>
      </c>
    </row>
    <row r="36" spans="2:7" ht="26.25" x14ac:dyDescent="0.25">
      <c r="B36" s="151" t="s">
        <v>75</v>
      </c>
      <c r="C36" s="154">
        <f>SUM(C37)</f>
        <v>0</v>
      </c>
      <c r="D36" s="179">
        <f t="shared" ref="D36:G36" si="3">SUM(D37)</f>
        <v>2500</v>
      </c>
      <c r="E36" s="154">
        <f t="shared" si="3"/>
        <v>0</v>
      </c>
      <c r="F36" s="154">
        <f t="shared" si="3"/>
        <v>0</v>
      </c>
      <c r="G36" s="179">
        <f t="shared" si="3"/>
        <v>2500</v>
      </c>
    </row>
    <row r="37" spans="2:7" x14ac:dyDescent="0.25">
      <c r="B37" s="170" t="s">
        <v>79</v>
      </c>
      <c r="C37" s="163">
        <v>0</v>
      </c>
      <c r="D37" s="178">
        <v>2500</v>
      </c>
      <c r="E37" s="174">
        <v>0</v>
      </c>
      <c r="F37" s="326"/>
      <c r="G37" s="178">
        <f>+D37+E37-F37</f>
        <v>2500</v>
      </c>
    </row>
    <row r="38" spans="2:7" ht="15.75" thickBot="1" x14ac:dyDescent="0.3">
      <c r="B38" s="169" t="s">
        <v>32</v>
      </c>
      <c r="C38" s="176">
        <f>C34+C36</f>
        <v>1800000</v>
      </c>
      <c r="D38" s="176">
        <f>D34+D36</f>
        <v>1802500</v>
      </c>
      <c r="E38" s="176">
        <f>E34+E36</f>
        <v>0</v>
      </c>
      <c r="F38" s="176">
        <f>F34+F36</f>
        <v>0</v>
      </c>
      <c r="G38" s="176">
        <f>G34+G36</f>
        <v>1802500</v>
      </c>
    </row>
  </sheetData>
  <mergeCells count="2">
    <mergeCell ref="E11:F11"/>
    <mergeCell ref="B14:G14"/>
  </mergeCells>
  <phoneticPr fontId="28" type="noConversion"/>
  <conditionalFormatting sqref="D30:G30">
    <cfRule type="cellIs" dxfId="4" priority="5" stopIfTrue="1" operator="equal">
      <formula>0</formula>
    </cfRule>
  </conditionalFormatting>
  <conditionalFormatting sqref="C30">
    <cfRule type="cellIs" dxfId="3" priority="4" stopIfTrue="1" operator="equal">
      <formula>0</formula>
    </cfRule>
  </conditionalFormatting>
  <conditionalFormatting sqref="C38:G38">
    <cfRule type="cellIs" dxfId="2" priority="1" stopIfTrue="1" operator="equal">
      <formula>0</formula>
    </cfRule>
  </conditionalFormatting>
  <pageMargins left="0.70866141732283472" right="0.70866141732283472" top="0.74803149606299213" bottom="0.74803149606299213" header="0.31496062992125984" footer="0.31496062992125984"/>
  <pageSetup scale="59" orientation="portrait"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38"/>
  <sheetViews>
    <sheetView showGridLines="0" topLeftCell="B22" zoomScaleNormal="100" zoomScalePageLayoutView="90" workbookViewId="0">
      <selection activeCell="D6" sqref="D6"/>
    </sheetView>
  </sheetViews>
  <sheetFormatPr baseColWidth="10" defaultColWidth="9.140625" defaultRowHeight="15" x14ac:dyDescent="0.25"/>
  <cols>
    <col min="1" max="1" width="3.42578125" customWidth="1"/>
    <col min="2" max="2" width="33.85546875" customWidth="1"/>
    <col min="3" max="3" width="16.42578125" customWidth="1"/>
    <col min="4" max="4" width="21" bestFit="1" customWidth="1"/>
    <col min="5" max="6" width="16.42578125" customWidth="1"/>
    <col min="7" max="7" width="16.42578125" style="288" customWidth="1"/>
    <col min="8" max="8" width="16.42578125" customWidth="1"/>
    <col min="9" max="9" width="10.140625" bestFit="1" customWidth="1"/>
  </cols>
  <sheetData>
    <row r="1" spans="1:8" x14ac:dyDescent="0.25">
      <c r="B1" s="67" t="s">
        <v>21</v>
      </c>
      <c r="C1" s="68"/>
      <c r="D1" s="68"/>
      <c r="E1" s="68"/>
      <c r="F1" s="68"/>
      <c r="G1" s="68"/>
      <c r="H1" s="69"/>
    </row>
    <row r="2" spans="1:8" x14ac:dyDescent="0.25">
      <c r="B2" s="70"/>
      <c r="C2" s="71" t="s">
        <v>1</v>
      </c>
      <c r="D2" s="144" t="s">
        <v>63</v>
      </c>
      <c r="E2" s="72"/>
      <c r="F2" s="72"/>
      <c r="G2" s="72"/>
      <c r="H2" s="75"/>
    </row>
    <row r="3" spans="1:8" x14ac:dyDescent="0.25">
      <c r="B3" s="70"/>
      <c r="C3" s="71" t="s">
        <v>2</v>
      </c>
      <c r="D3" s="144" t="s">
        <v>64</v>
      </c>
      <c r="E3" s="72"/>
      <c r="F3" s="72"/>
      <c r="G3" s="72"/>
      <c r="H3" s="75"/>
    </row>
    <row r="4" spans="1:8" x14ac:dyDescent="0.25">
      <c r="B4" s="70"/>
      <c r="C4" s="71" t="s">
        <v>3</v>
      </c>
      <c r="D4" s="144" t="str">
        <f>'THP DR'!B7</f>
        <v>TR14GTM15001</v>
      </c>
      <c r="E4" s="72"/>
      <c r="F4" s="72"/>
      <c r="G4" s="72"/>
      <c r="H4" s="75"/>
    </row>
    <row r="5" spans="1:8" x14ac:dyDescent="0.25">
      <c r="B5" s="70"/>
      <c r="C5" s="71" t="s">
        <v>4</v>
      </c>
      <c r="D5" s="145">
        <v>43816</v>
      </c>
      <c r="E5" s="76"/>
      <c r="F5" s="76"/>
      <c r="G5" s="76"/>
      <c r="H5" s="75"/>
    </row>
    <row r="6" spans="1:8" ht="5.0999999999999996" customHeight="1" thickBot="1" x14ac:dyDescent="0.3">
      <c r="B6" s="77"/>
      <c r="C6" s="78"/>
      <c r="D6" s="78"/>
      <c r="E6" s="78"/>
      <c r="F6" s="78"/>
      <c r="G6" s="78"/>
      <c r="H6" s="80"/>
    </row>
    <row r="7" spans="1:8" x14ac:dyDescent="0.25">
      <c r="B7" s="81" t="s">
        <v>33</v>
      </c>
      <c r="C7" s="110"/>
      <c r="D7" s="110"/>
      <c r="E7" s="110"/>
      <c r="F7" s="110"/>
      <c r="G7" s="110"/>
      <c r="H7" s="111"/>
    </row>
    <row r="8" spans="1:8" x14ac:dyDescent="0.25">
      <c r="A8" s="93"/>
      <c r="B8" s="85" t="str">
        <f>'QFR - A'!B8</f>
        <v>Disbursement Period:01-ene-20 to 31-mar-20</v>
      </c>
      <c r="C8" s="86"/>
      <c r="D8" s="86"/>
      <c r="E8" s="86"/>
      <c r="F8" s="86"/>
      <c r="G8" s="86"/>
      <c r="H8" s="87"/>
    </row>
    <row r="9" spans="1:8" x14ac:dyDescent="0.25">
      <c r="B9" s="146" t="s">
        <v>34</v>
      </c>
      <c r="C9" s="89"/>
      <c r="D9" s="89"/>
      <c r="E9" s="89"/>
      <c r="F9" s="89"/>
      <c r="G9" s="89"/>
      <c r="H9" s="91"/>
    </row>
    <row r="10" spans="1:8" ht="15.75" thickBot="1" x14ac:dyDescent="0.3">
      <c r="B10" s="146" t="str">
        <f>'QFR - A'!B10</f>
        <v>Out of Cycle Report:  Yes [ ] | No [ x ]</v>
      </c>
      <c r="C10" s="89"/>
      <c r="D10" s="89"/>
      <c r="E10" s="89"/>
      <c r="F10" s="89"/>
      <c r="G10" s="89"/>
      <c r="H10" s="91"/>
    </row>
    <row r="11" spans="1:8" ht="15" customHeight="1" x14ac:dyDescent="0.25">
      <c r="B11" s="148"/>
      <c r="C11" s="516" t="s">
        <v>24</v>
      </c>
      <c r="D11" s="516" t="s">
        <v>212</v>
      </c>
      <c r="E11" s="516" t="s">
        <v>241</v>
      </c>
      <c r="F11" s="516" t="s">
        <v>260</v>
      </c>
      <c r="G11" s="516" t="s">
        <v>261</v>
      </c>
      <c r="H11" s="516" t="s">
        <v>66</v>
      </c>
    </row>
    <row r="12" spans="1:8" ht="42" customHeight="1" thickBot="1" x14ac:dyDescent="0.3">
      <c r="B12" s="147" t="s">
        <v>72</v>
      </c>
      <c r="C12" s="517"/>
      <c r="D12" s="517"/>
      <c r="E12" s="517"/>
      <c r="F12" s="517"/>
      <c r="G12" s="517"/>
      <c r="H12" s="517"/>
    </row>
    <row r="13" spans="1:8" ht="15" customHeight="1" x14ac:dyDescent="0.25">
      <c r="A13" s="93"/>
      <c r="B13" s="149" t="s">
        <v>71</v>
      </c>
      <c r="C13" s="152">
        <v>1</v>
      </c>
      <c r="D13" s="152">
        <f>C13+1</f>
        <v>2</v>
      </c>
      <c r="E13" s="152">
        <v>3</v>
      </c>
      <c r="F13" s="152">
        <v>4</v>
      </c>
      <c r="G13" s="366"/>
      <c r="H13" s="159">
        <v>5</v>
      </c>
    </row>
    <row r="14" spans="1:8" ht="26.1" customHeight="1" x14ac:dyDescent="0.25">
      <c r="B14" s="150" t="s">
        <v>67</v>
      </c>
      <c r="C14" s="153">
        <f>SUM(C15:C17)</f>
        <v>19700000</v>
      </c>
      <c r="D14" s="269">
        <f>SUM(D15:D17)</f>
        <v>-400000</v>
      </c>
      <c r="E14" s="269">
        <f>SUM(E15:E17)</f>
        <v>0</v>
      </c>
      <c r="F14" s="269">
        <f>SUM(F15:F17)</f>
        <v>46000</v>
      </c>
      <c r="G14" s="269">
        <f>SUM(G15:G17)</f>
        <v>0</v>
      </c>
      <c r="H14" s="155">
        <f>C14+D14+E14+F14</f>
        <v>19346000</v>
      </c>
    </row>
    <row r="15" spans="1:8" ht="26.45" customHeight="1" x14ac:dyDescent="0.25">
      <c r="B15" s="164" t="s">
        <v>68</v>
      </c>
      <c r="C15" s="156">
        <v>12000000</v>
      </c>
      <c r="D15" s="270">
        <v>0</v>
      </c>
      <c r="E15" s="271">
        <v>0</v>
      </c>
      <c r="F15" s="271">
        <v>0</v>
      </c>
      <c r="G15" s="367"/>
      <c r="H15" s="157">
        <f>C15+D15+E15+F15</f>
        <v>12000000</v>
      </c>
    </row>
    <row r="16" spans="1:8" ht="26.45" customHeight="1" x14ac:dyDescent="0.25">
      <c r="B16" s="164" t="s">
        <v>69</v>
      </c>
      <c r="C16" s="156">
        <v>4700000</v>
      </c>
      <c r="D16" s="270">
        <v>-400000</v>
      </c>
      <c r="E16" s="271">
        <v>0</v>
      </c>
      <c r="F16" s="271">
        <v>0</v>
      </c>
      <c r="G16" s="367"/>
      <c r="H16" s="157">
        <f>C16+D16+E16+F16</f>
        <v>4300000</v>
      </c>
    </row>
    <row r="17" spans="2:9" ht="25.5" x14ac:dyDescent="0.25">
      <c r="B17" s="164" t="s">
        <v>70</v>
      </c>
      <c r="C17" s="156">
        <v>3000000</v>
      </c>
      <c r="D17" s="270">
        <v>0</v>
      </c>
      <c r="E17" s="271">
        <v>0</v>
      </c>
      <c r="F17" s="271">
        <v>46000</v>
      </c>
      <c r="G17" s="367"/>
      <c r="H17" s="157">
        <f>C17+D17+E17+F17</f>
        <v>3046000</v>
      </c>
    </row>
    <row r="18" spans="2:9" x14ac:dyDescent="0.25">
      <c r="B18" s="165"/>
      <c r="C18" s="156"/>
      <c r="D18" s="270"/>
      <c r="E18" s="271"/>
      <c r="F18" s="271"/>
      <c r="G18" s="367"/>
      <c r="H18" s="157"/>
    </row>
    <row r="19" spans="2:9" ht="25.5" x14ac:dyDescent="0.25">
      <c r="B19" s="166" t="s">
        <v>73</v>
      </c>
      <c r="C19" s="153">
        <f t="shared" ref="C19:H19" si="0">SUM(C20:C21)</f>
        <v>4000000</v>
      </c>
      <c r="D19" s="269">
        <f t="shared" si="0"/>
        <v>400000</v>
      </c>
      <c r="E19" s="269">
        <f t="shared" si="0"/>
        <v>0</v>
      </c>
      <c r="F19" s="269">
        <f t="shared" si="0"/>
        <v>0</v>
      </c>
      <c r="G19" s="269">
        <f t="shared" si="0"/>
        <v>-40000</v>
      </c>
      <c r="H19" s="155">
        <f t="shared" si="0"/>
        <v>4360000</v>
      </c>
    </row>
    <row r="20" spans="2:9" ht="25.5" x14ac:dyDescent="0.25">
      <c r="B20" s="164" t="s">
        <v>76</v>
      </c>
      <c r="C20" s="156">
        <v>0</v>
      </c>
      <c r="D20" s="270">
        <v>800000</v>
      </c>
      <c r="E20" s="271">
        <v>0</v>
      </c>
      <c r="F20" s="271">
        <v>0</v>
      </c>
      <c r="G20" s="367"/>
      <c r="H20" s="157">
        <f>C20+D20+E20+F20</f>
        <v>800000</v>
      </c>
    </row>
    <row r="21" spans="2:9" ht="25.5" x14ac:dyDescent="0.25">
      <c r="B21" s="164" t="s">
        <v>77</v>
      </c>
      <c r="C21" s="156">
        <v>4000000</v>
      </c>
      <c r="D21" s="270">
        <v>-400000</v>
      </c>
      <c r="E21" s="271">
        <v>0</v>
      </c>
      <c r="F21" s="271">
        <v>0</v>
      </c>
      <c r="G21" s="367">
        <v>-40000</v>
      </c>
      <c r="H21" s="157">
        <f>C21+D21+E21+F21+G21</f>
        <v>3560000</v>
      </c>
    </row>
    <row r="22" spans="2:9" x14ac:dyDescent="0.25">
      <c r="B22" s="165"/>
      <c r="C22" s="156"/>
      <c r="D22" s="270"/>
      <c r="E22" s="271"/>
      <c r="F22" s="271"/>
      <c r="G22" s="367"/>
      <c r="H22" s="158"/>
    </row>
    <row r="23" spans="2:9" ht="26.45" customHeight="1" x14ac:dyDescent="0.25">
      <c r="B23" s="151" t="s">
        <v>74</v>
      </c>
      <c r="C23" s="153">
        <f>SUM(C24)</f>
        <v>1700000</v>
      </c>
      <c r="D23" s="269">
        <f>SUM(D24)</f>
        <v>0</v>
      </c>
      <c r="E23" s="269">
        <f>E24</f>
        <v>0</v>
      </c>
      <c r="F23" s="269">
        <f>F24</f>
        <v>-269000</v>
      </c>
      <c r="G23" s="269">
        <f>G24</f>
        <v>0</v>
      </c>
      <c r="H23" s="155">
        <f t="shared" ref="H23" si="1">SUM(H24)</f>
        <v>1431000</v>
      </c>
    </row>
    <row r="24" spans="2:9" ht="24" customHeight="1" x14ac:dyDescent="0.25">
      <c r="B24" s="170" t="s">
        <v>78</v>
      </c>
      <c r="C24" s="156">
        <v>1700000</v>
      </c>
      <c r="D24" s="270">
        <v>0</v>
      </c>
      <c r="E24" s="271">
        <v>0</v>
      </c>
      <c r="F24" s="271">
        <v>-269000</v>
      </c>
      <c r="G24" s="367"/>
      <c r="H24" s="157">
        <f>C24+D24+E24+F24</f>
        <v>1431000</v>
      </c>
    </row>
    <row r="25" spans="2:9" x14ac:dyDescent="0.25">
      <c r="B25" s="165"/>
      <c r="C25" s="156"/>
      <c r="D25" s="270"/>
      <c r="E25" s="271"/>
      <c r="F25" s="271"/>
      <c r="G25" s="367"/>
      <c r="H25" s="158"/>
    </row>
    <row r="26" spans="2:9" ht="26.45" customHeight="1" x14ac:dyDescent="0.25">
      <c r="B26" s="167" t="s">
        <v>75</v>
      </c>
      <c r="C26" s="153">
        <f>SUM(C27)</f>
        <v>800000</v>
      </c>
      <c r="D26" s="269">
        <f>SUM(D27)</f>
        <v>0</v>
      </c>
      <c r="E26" s="269">
        <f>E27</f>
        <v>-2500</v>
      </c>
      <c r="F26" s="269">
        <f>F27</f>
        <v>223000</v>
      </c>
      <c r="G26" s="269">
        <f>G27</f>
        <v>40000</v>
      </c>
      <c r="H26" s="155">
        <f t="shared" ref="H26" si="2">SUM(H27)</f>
        <v>1060500</v>
      </c>
    </row>
    <row r="27" spans="2:9" ht="24" customHeight="1" x14ac:dyDescent="0.25">
      <c r="B27" s="170" t="s">
        <v>79</v>
      </c>
      <c r="C27" s="156">
        <v>800000</v>
      </c>
      <c r="D27" s="270">
        <v>0</v>
      </c>
      <c r="E27" s="271">
        <v>-2500</v>
      </c>
      <c r="F27" s="271">
        <v>223000</v>
      </c>
      <c r="G27" s="367">
        <v>40000</v>
      </c>
      <c r="H27" s="157">
        <f>C27+D27+E27+F27+G27</f>
        <v>1060500</v>
      </c>
      <c r="I27" s="234"/>
    </row>
    <row r="28" spans="2:9" ht="15.75" thickBot="1" x14ac:dyDescent="0.3">
      <c r="B28" s="168"/>
      <c r="C28" s="160"/>
      <c r="D28" s="272"/>
      <c r="E28" s="273"/>
      <c r="F28" s="273"/>
      <c r="G28" s="368"/>
      <c r="H28" s="161"/>
    </row>
    <row r="29" spans="2:9" ht="26.1" customHeight="1" thickBot="1" x14ac:dyDescent="0.3">
      <c r="B29" s="169" t="s">
        <v>32</v>
      </c>
      <c r="C29" s="162">
        <f>C14+C19+C23+C26</f>
        <v>26200000</v>
      </c>
      <c r="D29" s="274">
        <f t="shared" ref="D29:G29" si="3">D14+D19+D23+D26</f>
        <v>0</v>
      </c>
      <c r="E29" s="274">
        <f t="shared" si="3"/>
        <v>-2500</v>
      </c>
      <c r="F29" s="274">
        <f t="shared" si="3"/>
        <v>0</v>
      </c>
      <c r="G29" s="274">
        <f t="shared" si="3"/>
        <v>0</v>
      </c>
      <c r="H29" s="162">
        <f>H26+H23+H19+H14</f>
        <v>26197500</v>
      </c>
    </row>
    <row r="30" spans="2:9" x14ac:dyDescent="0.25">
      <c r="B30" t="s">
        <v>237</v>
      </c>
    </row>
    <row r="32" spans="2:9" x14ac:dyDescent="0.25">
      <c r="B32" s="213" t="s">
        <v>107</v>
      </c>
      <c r="C32" s="214"/>
      <c r="D32" s="214"/>
      <c r="E32" s="214"/>
      <c r="F32" s="214"/>
      <c r="G32" s="214"/>
      <c r="H32" s="215"/>
    </row>
    <row r="33" spans="2:8" ht="25.5" x14ac:dyDescent="0.25">
      <c r="B33" s="166" t="s">
        <v>73</v>
      </c>
      <c r="C33" s="154">
        <f>SUM(C34)</f>
        <v>1800000</v>
      </c>
      <c r="D33" s="154">
        <f t="shared" ref="D33:H35" si="4">SUM(D34)</f>
        <v>0</v>
      </c>
      <c r="E33" s="154">
        <f t="shared" si="4"/>
        <v>0</v>
      </c>
      <c r="F33" s="154">
        <f t="shared" si="4"/>
        <v>0</v>
      </c>
      <c r="G33" s="154"/>
      <c r="H33" s="154">
        <f t="shared" si="4"/>
        <v>1800000</v>
      </c>
    </row>
    <row r="34" spans="2:8" ht="25.5" x14ac:dyDescent="0.25">
      <c r="B34" s="164" t="s">
        <v>106</v>
      </c>
      <c r="C34" s="163">
        <v>1800000</v>
      </c>
      <c r="D34" s="178"/>
      <c r="E34" s="178">
        <v>0</v>
      </c>
      <c r="F34" s="178"/>
      <c r="G34" s="178"/>
      <c r="H34" s="157">
        <f>C34+D34+E34+F34</f>
        <v>1800000</v>
      </c>
    </row>
    <row r="35" spans="2:8" s="288" customFormat="1" x14ac:dyDescent="0.25">
      <c r="B35" s="167" t="s">
        <v>75</v>
      </c>
      <c r="C35" s="154">
        <f>SUM(C36)</f>
        <v>0</v>
      </c>
      <c r="D35" s="154">
        <f t="shared" si="4"/>
        <v>0</v>
      </c>
      <c r="E35" s="154">
        <f t="shared" si="4"/>
        <v>2500</v>
      </c>
      <c r="F35" s="154">
        <f t="shared" si="4"/>
        <v>0</v>
      </c>
      <c r="G35" s="154"/>
      <c r="H35" s="154">
        <f t="shared" si="4"/>
        <v>2500</v>
      </c>
    </row>
    <row r="36" spans="2:8" s="288" customFormat="1" x14ac:dyDescent="0.25">
      <c r="B36" s="170" t="s">
        <v>79</v>
      </c>
      <c r="C36" s="328"/>
      <c r="D36" s="329"/>
      <c r="E36" s="178">
        <v>2500</v>
      </c>
      <c r="F36" s="178"/>
      <c r="G36" s="178"/>
      <c r="H36" s="157">
        <f>C36+D36+E36+F36</f>
        <v>2500</v>
      </c>
    </row>
    <row r="37" spans="2:8" ht="26.45" customHeight="1" thickBot="1" x14ac:dyDescent="0.3">
      <c r="B37" s="169" t="s">
        <v>32</v>
      </c>
      <c r="C37" s="176">
        <f>C34</f>
        <v>1800000</v>
      </c>
      <c r="D37" s="176">
        <f>D34</f>
        <v>0</v>
      </c>
      <c r="E37" s="176">
        <f>E34+E36</f>
        <v>2500</v>
      </c>
      <c r="F37" s="176">
        <f t="shared" ref="F37" si="5">F34</f>
        <v>0</v>
      </c>
      <c r="G37" s="176"/>
      <c r="H37" s="176">
        <f>+H35+H33</f>
        <v>1802500</v>
      </c>
    </row>
    <row r="38" spans="2:8" x14ac:dyDescent="0.25">
      <c r="H38" s="234"/>
    </row>
  </sheetData>
  <mergeCells count="6">
    <mergeCell ref="E11:E12"/>
    <mergeCell ref="C11:C12"/>
    <mergeCell ref="H11:H12"/>
    <mergeCell ref="D11:D12"/>
    <mergeCell ref="F11:F12"/>
    <mergeCell ref="G11:G12"/>
  </mergeCells>
  <phoneticPr fontId="28" type="noConversion"/>
  <conditionalFormatting sqref="D37:H37">
    <cfRule type="cellIs" dxfId="1" priority="2" stopIfTrue="1" operator="equal">
      <formula>0</formula>
    </cfRule>
  </conditionalFormatting>
  <conditionalFormatting sqref="C37">
    <cfRule type="cellIs" dxfId="0" priority="1" stopIfTrue="1" operator="equal">
      <formula>0</formula>
    </cfRule>
  </conditionalFormatting>
  <pageMargins left="0.70866141732283472" right="0.70866141732283472" top="0.74803149606299213" bottom="0.74803149606299213" header="0.31496062992125984" footer="0.31496062992125984"/>
  <pageSetup scale="72" orientation="portrait"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F45"/>
  <sheetViews>
    <sheetView showGridLines="0" zoomScale="115" zoomScaleNormal="115" workbookViewId="0">
      <selection activeCell="B30" sqref="B30"/>
    </sheetView>
  </sheetViews>
  <sheetFormatPr baseColWidth="10" defaultColWidth="11.42578125" defaultRowHeight="12.75" x14ac:dyDescent="0.2"/>
  <cols>
    <col min="1" max="1" width="73.42578125" style="114" customWidth="1"/>
    <col min="2" max="2" width="38.42578125" style="143" customWidth="1"/>
    <col min="3" max="256" width="9.140625" style="114" customWidth="1"/>
    <col min="257" max="257" width="73.42578125" style="114" customWidth="1"/>
    <col min="258" max="258" width="24.42578125" style="114" customWidth="1"/>
    <col min="259" max="512" width="9.140625" style="114" customWidth="1"/>
    <col min="513" max="513" width="73.42578125" style="114" customWidth="1"/>
    <col min="514" max="514" width="24.42578125" style="114" customWidth="1"/>
    <col min="515" max="768" width="9.140625" style="114" customWidth="1"/>
    <col min="769" max="769" width="73.42578125" style="114" customWidth="1"/>
    <col min="770" max="770" width="24.42578125" style="114" customWidth="1"/>
    <col min="771" max="1024" width="9.140625" style="114" customWidth="1"/>
    <col min="1025" max="1025" width="73.42578125" style="114" customWidth="1"/>
    <col min="1026" max="1026" width="24.42578125" style="114" customWidth="1"/>
    <col min="1027" max="1280" width="9.140625" style="114" customWidth="1"/>
    <col min="1281" max="1281" width="73.42578125" style="114" customWidth="1"/>
    <col min="1282" max="1282" width="24.42578125" style="114" customWidth="1"/>
    <col min="1283" max="1536" width="9.140625" style="114" customWidth="1"/>
    <col min="1537" max="1537" width="73.42578125" style="114" customWidth="1"/>
    <col min="1538" max="1538" width="24.42578125" style="114" customWidth="1"/>
    <col min="1539" max="1792" width="9.140625" style="114" customWidth="1"/>
    <col min="1793" max="1793" width="73.42578125" style="114" customWidth="1"/>
    <col min="1794" max="1794" width="24.42578125" style="114" customWidth="1"/>
    <col min="1795" max="2048" width="9.140625" style="114" customWidth="1"/>
    <col min="2049" max="2049" width="73.42578125" style="114" customWidth="1"/>
    <col min="2050" max="2050" width="24.42578125" style="114" customWidth="1"/>
    <col min="2051" max="2304" width="9.140625" style="114" customWidth="1"/>
    <col min="2305" max="2305" width="73.42578125" style="114" customWidth="1"/>
    <col min="2306" max="2306" width="24.42578125" style="114" customWidth="1"/>
    <col min="2307" max="2560" width="9.140625" style="114" customWidth="1"/>
    <col min="2561" max="2561" width="73.42578125" style="114" customWidth="1"/>
    <col min="2562" max="2562" width="24.42578125" style="114" customWidth="1"/>
    <col min="2563" max="2816" width="9.140625" style="114" customWidth="1"/>
    <col min="2817" max="2817" width="73.42578125" style="114" customWidth="1"/>
    <col min="2818" max="2818" width="24.42578125" style="114" customWidth="1"/>
    <col min="2819" max="3072" width="9.140625" style="114" customWidth="1"/>
    <col min="3073" max="3073" width="73.42578125" style="114" customWidth="1"/>
    <col min="3074" max="3074" width="24.42578125" style="114" customWidth="1"/>
    <col min="3075" max="3328" width="9.140625" style="114" customWidth="1"/>
    <col min="3329" max="3329" width="73.42578125" style="114" customWidth="1"/>
    <col min="3330" max="3330" width="24.42578125" style="114" customWidth="1"/>
    <col min="3331" max="3584" width="9.140625" style="114" customWidth="1"/>
    <col min="3585" max="3585" width="73.42578125" style="114" customWidth="1"/>
    <col min="3586" max="3586" width="24.42578125" style="114" customWidth="1"/>
    <col min="3587" max="3840" width="9.140625" style="114" customWidth="1"/>
    <col min="3841" max="3841" width="73.42578125" style="114" customWidth="1"/>
    <col min="3842" max="3842" width="24.42578125" style="114" customWidth="1"/>
    <col min="3843" max="4096" width="9.140625" style="114" customWidth="1"/>
    <col min="4097" max="4097" width="73.42578125" style="114" customWidth="1"/>
    <col min="4098" max="4098" width="24.42578125" style="114" customWidth="1"/>
    <col min="4099" max="4352" width="9.140625" style="114" customWidth="1"/>
    <col min="4353" max="4353" width="73.42578125" style="114" customWidth="1"/>
    <col min="4354" max="4354" width="24.42578125" style="114" customWidth="1"/>
    <col min="4355" max="4608" width="9.140625" style="114" customWidth="1"/>
    <col min="4609" max="4609" width="73.42578125" style="114" customWidth="1"/>
    <col min="4610" max="4610" width="24.42578125" style="114" customWidth="1"/>
    <col min="4611" max="4864" width="9.140625" style="114" customWidth="1"/>
    <col min="4865" max="4865" width="73.42578125" style="114" customWidth="1"/>
    <col min="4866" max="4866" width="24.42578125" style="114" customWidth="1"/>
    <col min="4867" max="5120" width="9.140625" style="114" customWidth="1"/>
    <col min="5121" max="5121" width="73.42578125" style="114" customWidth="1"/>
    <col min="5122" max="5122" width="24.42578125" style="114" customWidth="1"/>
    <col min="5123" max="5376" width="9.140625" style="114" customWidth="1"/>
    <col min="5377" max="5377" width="73.42578125" style="114" customWidth="1"/>
    <col min="5378" max="5378" width="24.42578125" style="114" customWidth="1"/>
    <col min="5379" max="5632" width="9.140625" style="114" customWidth="1"/>
    <col min="5633" max="5633" width="73.42578125" style="114" customWidth="1"/>
    <col min="5634" max="5634" width="24.42578125" style="114" customWidth="1"/>
    <col min="5635" max="5888" width="9.140625" style="114" customWidth="1"/>
    <col min="5889" max="5889" width="73.42578125" style="114" customWidth="1"/>
    <col min="5890" max="5890" width="24.42578125" style="114" customWidth="1"/>
    <col min="5891" max="6144" width="9.140625" style="114" customWidth="1"/>
    <col min="6145" max="6145" width="73.42578125" style="114" customWidth="1"/>
    <col min="6146" max="6146" width="24.42578125" style="114" customWidth="1"/>
    <col min="6147" max="6400" width="9.140625" style="114" customWidth="1"/>
    <col min="6401" max="6401" width="73.42578125" style="114" customWidth="1"/>
    <col min="6402" max="6402" width="24.42578125" style="114" customWidth="1"/>
    <col min="6403" max="6656" width="9.140625" style="114" customWidth="1"/>
    <col min="6657" max="6657" width="73.42578125" style="114" customWidth="1"/>
    <col min="6658" max="6658" width="24.42578125" style="114" customWidth="1"/>
    <col min="6659" max="6912" width="9.140625" style="114" customWidth="1"/>
    <col min="6913" max="6913" width="73.42578125" style="114" customWidth="1"/>
    <col min="6914" max="6914" width="24.42578125" style="114" customWidth="1"/>
    <col min="6915" max="7168" width="9.140625" style="114" customWidth="1"/>
    <col min="7169" max="7169" width="73.42578125" style="114" customWidth="1"/>
    <col min="7170" max="7170" width="24.42578125" style="114" customWidth="1"/>
    <col min="7171" max="7424" width="9.140625" style="114" customWidth="1"/>
    <col min="7425" max="7425" width="73.42578125" style="114" customWidth="1"/>
    <col min="7426" max="7426" width="24.42578125" style="114" customWidth="1"/>
    <col min="7427" max="7680" width="9.140625" style="114" customWidth="1"/>
    <col min="7681" max="7681" width="73.42578125" style="114" customWidth="1"/>
    <col min="7682" max="7682" width="24.42578125" style="114" customWidth="1"/>
    <col min="7683" max="7936" width="9.140625" style="114" customWidth="1"/>
    <col min="7937" max="7937" width="73.42578125" style="114" customWidth="1"/>
    <col min="7938" max="7938" width="24.42578125" style="114" customWidth="1"/>
    <col min="7939" max="8192" width="9.140625" style="114" customWidth="1"/>
    <col min="8193" max="8193" width="73.42578125" style="114" customWidth="1"/>
    <col min="8194" max="8194" width="24.42578125" style="114" customWidth="1"/>
    <col min="8195" max="8448" width="9.140625" style="114" customWidth="1"/>
    <col min="8449" max="8449" width="73.42578125" style="114" customWidth="1"/>
    <col min="8450" max="8450" width="24.42578125" style="114" customWidth="1"/>
    <col min="8451" max="8704" width="9.140625" style="114" customWidth="1"/>
    <col min="8705" max="8705" width="73.42578125" style="114" customWidth="1"/>
    <col min="8706" max="8706" width="24.42578125" style="114" customWidth="1"/>
    <col min="8707" max="8960" width="9.140625" style="114" customWidth="1"/>
    <col min="8961" max="8961" width="73.42578125" style="114" customWidth="1"/>
    <col min="8962" max="8962" width="24.42578125" style="114" customWidth="1"/>
    <col min="8963" max="9216" width="9.140625" style="114" customWidth="1"/>
    <col min="9217" max="9217" width="73.42578125" style="114" customWidth="1"/>
    <col min="9218" max="9218" width="24.42578125" style="114" customWidth="1"/>
    <col min="9219" max="9472" width="9.140625" style="114" customWidth="1"/>
    <col min="9473" max="9473" width="73.42578125" style="114" customWidth="1"/>
    <col min="9474" max="9474" width="24.42578125" style="114" customWidth="1"/>
    <col min="9475" max="9728" width="9.140625" style="114" customWidth="1"/>
    <col min="9729" max="9729" width="73.42578125" style="114" customWidth="1"/>
    <col min="9730" max="9730" width="24.42578125" style="114" customWidth="1"/>
    <col min="9731" max="9984" width="9.140625" style="114" customWidth="1"/>
    <col min="9985" max="9985" width="73.42578125" style="114" customWidth="1"/>
    <col min="9986" max="9986" width="24.42578125" style="114" customWidth="1"/>
    <col min="9987" max="10240" width="9.140625" style="114" customWidth="1"/>
    <col min="10241" max="10241" width="73.42578125" style="114" customWidth="1"/>
    <col min="10242" max="10242" width="24.42578125" style="114" customWidth="1"/>
    <col min="10243" max="10496" width="9.140625" style="114" customWidth="1"/>
    <col min="10497" max="10497" width="73.42578125" style="114" customWidth="1"/>
    <col min="10498" max="10498" width="24.42578125" style="114" customWidth="1"/>
    <col min="10499" max="10752" width="9.140625" style="114" customWidth="1"/>
    <col min="10753" max="10753" width="73.42578125" style="114" customWidth="1"/>
    <col min="10754" max="10754" width="24.42578125" style="114" customWidth="1"/>
    <col min="10755" max="11008" width="9.140625" style="114" customWidth="1"/>
    <col min="11009" max="11009" width="73.42578125" style="114" customWidth="1"/>
    <col min="11010" max="11010" width="24.42578125" style="114" customWidth="1"/>
    <col min="11011" max="11264" width="9.140625" style="114" customWidth="1"/>
    <col min="11265" max="11265" width="73.42578125" style="114" customWidth="1"/>
    <col min="11266" max="11266" width="24.42578125" style="114" customWidth="1"/>
    <col min="11267" max="11520" width="9.140625" style="114" customWidth="1"/>
    <col min="11521" max="11521" width="73.42578125" style="114" customWidth="1"/>
    <col min="11522" max="11522" width="24.42578125" style="114" customWidth="1"/>
    <col min="11523" max="11776" width="9.140625" style="114" customWidth="1"/>
    <col min="11777" max="11777" width="73.42578125" style="114" customWidth="1"/>
    <col min="11778" max="11778" width="24.42578125" style="114" customWidth="1"/>
    <col min="11779" max="12032" width="9.140625" style="114" customWidth="1"/>
    <col min="12033" max="12033" width="73.42578125" style="114" customWidth="1"/>
    <col min="12034" max="12034" width="24.42578125" style="114" customWidth="1"/>
    <col min="12035" max="12288" width="9.140625" style="114" customWidth="1"/>
    <col min="12289" max="12289" width="73.42578125" style="114" customWidth="1"/>
    <col min="12290" max="12290" width="24.42578125" style="114" customWidth="1"/>
    <col min="12291" max="12544" width="9.140625" style="114" customWidth="1"/>
    <col min="12545" max="12545" width="73.42578125" style="114" customWidth="1"/>
    <col min="12546" max="12546" width="24.42578125" style="114" customWidth="1"/>
    <col min="12547" max="12800" width="9.140625" style="114" customWidth="1"/>
    <col min="12801" max="12801" width="73.42578125" style="114" customWidth="1"/>
    <col min="12802" max="12802" width="24.42578125" style="114" customWidth="1"/>
    <col min="12803" max="13056" width="9.140625" style="114" customWidth="1"/>
    <col min="13057" max="13057" width="73.42578125" style="114" customWidth="1"/>
    <col min="13058" max="13058" width="24.42578125" style="114" customWidth="1"/>
    <col min="13059" max="13312" width="9.140625" style="114" customWidth="1"/>
    <col min="13313" max="13313" width="73.42578125" style="114" customWidth="1"/>
    <col min="13314" max="13314" width="24.42578125" style="114" customWidth="1"/>
    <col min="13315" max="13568" width="9.140625" style="114" customWidth="1"/>
    <col min="13569" max="13569" width="73.42578125" style="114" customWidth="1"/>
    <col min="13570" max="13570" width="24.42578125" style="114" customWidth="1"/>
    <col min="13571" max="13824" width="9.140625" style="114" customWidth="1"/>
    <col min="13825" max="13825" width="73.42578125" style="114" customWidth="1"/>
    <col min="13826" max="13826" width="24.42578125" style="114" customWidth="1"/>
    <col min="13827" max="14080" width="9.140625" style="114" customWidth="1"/>
    <col min="14081" max="14081" width="73.42578125" style="114" customWidth="1"/>
    <col min="14082" max="14082" width="24.42578125" style="114" customWidth="1"/>
    <col min="14083" max="14336" width="9.140625" style="114" customWidth="1"/>
    <col min="14337" max="14337" width="73.42578125" style="114" customWidth="1"/>
    <col min="14338" max="14338" width="24.42578125" style="114" customWidth="1"/>
    <col min="14339" max="14592" width="9.140625" style="114" customWidth="1"/>
    <col min="14593" max="14593" width="73.42578125" style="114" customWidth="1"/>
    <col min="14594" max="14594" width="24.42578125" style="114" customWidth="1"/>
    <col min="14595" max="14848" width="9.140625" style="114" customWidth="1"/>
    <col min="14849" max="14849" width="73.42578125" style="114" customWidth="1"/>
    <col min="14850" max="14850" width="24.42578125" style="114" customWidth="1"/>
    <col min="14851" max="15104" width="9.140625" style="114" customWidth="1"/>
    <col min="15105" max="15105" width="73.42578125" style="114" customWidth="1"/>
    <col min="15106" max="15106" width="24.42578125" style="114" customWidth="1"/>
    <col min="15107" max="15360" width="9.140625" style="114" customWidth="1"/>
    <col min="15361" max="15361" width="73.42578125" style="114" customWidth="1"/>
    <col min="15362" max="15362" width="24.42578125" style="114" customWidth="1"/>
    <col min="15363" max="15616" width="9.140625" style="114" customWidth="1"/>
    <col min="15617" max="15617" width="73.42578125" style="114" customWidth="1"/>
    <col min="15618" max="15618" width="24.42578125" style="114" customWidth="1"/>
    <col min="15619" max="15872" width="9.140625" style="114" customWidth="1"/>
    <col min="15873" max="15873" width="73.42578125" style="114" customWidth="1"/>
    <col min="15874" max="15874" width="24.42578125" style="114" customWidth="1"/>
    <col min="15875" max="16128" width="9.140625" style="114" customWidth="1"/>
    <col min="16129" max="16129" width="73.42578125" style="114" customWidth="1"/>
    <col min="16130" max="16130" width="24.42578125" style="114" customWidth="1"/>
    <col min="16131" max="16384" width="9.140625" style="114" customWidth="1"/>
  </cols>
  <sheetData>
    <row r="1" spans="1:6" ht="15.75" x14ac:dyDescent="0.25">
      <c r="A1" s="112" t="s">
        <v>35</v>
      </c>
      <c r="B1" s="113"/>
    </row>
    <row r="2" spans="1:6" ht="15.75" x14ac:dyDescent="0.25">
      <c r="A2" s="115"/>
      <c r="B2" s="116"/>
    </row>
    <row r="3" spans="1:6" ht="16.5" thickBot="1" x14ac:dyDescent="0.3">
      <c r="A3" s="522" t="s">
        <v>36</v>
      </c>
      <c r="B3" s="523"/>
    </row>
    <row r="4" spans="1:6" x14ac:dyDescent="0.2">
      <c r="A4" s="117" t="s">
        <v>37</v>
      </c>
      <c r="B4" s="118" t="s">
        <v>63</v>
      </c>
    </row>
    <row r="5" spans="1:6" ht="30" customHeight="1" x14ac:dyDescent="0.2">
      <c r="A5" s="119" t="s">
        <v>38</v>
      </c>
      <c r="B5" s="120" t="s">
        <v>243</v>
      </c>
      <c r="C5" s="121"/>
    </row>
    <row r="6" spans="1:6" x14ac:dyDescent="0.2">
      <c r="A6" s="122" t="s">
        <v>39</v>
      </c>
      <c r="B6" s="123" t="s">
        <v>244</v>
      </c>
    </row>
    <row r="7" spans="1:6" x14ac:dyDescent="0.2">
      <c r="A7" s="124" t="s">
        <v>40</v>
      </c>
      <c r="B7" s="123" t="s">
        <v>65</v>
      </c>
    </row>
    <row r="8" spans="1:6" x14ac:dyDescent="0.2">
      <c r="A8" s="119" t="s">
        <v>41</v>
      </c>
      <c r="B8" s="125" t="s">
        <v>64</v>
      </c>
    </row>
    <row r="9" spans="1:6" x14ac:dyDescent="0.2">
      <c r="A9" s="119" t="s">
        <v>42</v>
      </c>
      <c r="B9" s="123" t="s">
        <v>211</v>
      </c>
    </row>
    <row r="10" spans="1:6" x14ac:dyDescent="0.2">
      <c r="A10" s="119" t="s">
        <v>43</v>
      </c>
      <c r="B10" s="126">
        <v>43818</v>
      </c>
    </row>
    <row r="11" spans="1:6" x14ac:dyDescent="0.2">
      <c r="A11" s="119" t="s">
        <v>44</v>
      </c>
      <c r="B11" s="126">
        <v>43831</v>
      </c>
    </row>
    <row r="12" spans="1:6" x14ac:dyDescent="0.2">
      <c r="A12" s="119" t="s">
        <v>45</v>
      </c>
      <c r="B12" s="126">
        <v>43921</v>
      </c>
    </row>
    <row r="13" spans="1:6" x14ac:dyDescent="0.2">
      <c r="A13" s="119" t="s">
        <v>46</v>
      </c>
      <c r="B13" s="123">
        <v>15</v>
      </c>
    </row>
    <row r="14" spans="1:6" x14ac:dyDescent="0.2">
      <c r="A14" s="127" t="s">
        <v>47</v>
      </c>
      <c r="B14" s="123" t="s">
        <v>48</v>
      </c>
    </row>
    <row r="15" spans="1:6" ht="25.5" x14ac:dyDescent="0.2">
      <c r="A15" s="128" t="s">
        <v>49</v>
      </c>
      <c r="B15" s="123"/>
    </row>
    <row r="16" spans="1:6" ht="32.25" customHeight="1" x14ac:dyDescent="0.2">
      <c r="A16" s="524" t="s">
        <v>118</v>
      </c>
      <c r="B16" s="525"/>
      <c r="C16" s="222"/>
      <c r="D16" s="222"/>
      <c r="E16" s="222"/>
      <c r="F16" s="222"/>
    </row>
    <row r="17" spans="1:2" ht="18.75" customHeight="1" x14ac:dyDescent="0.2">
      <c r="A17" s="119" t="s">
        <v>50</v>
      </c>
      <c r="B17" s="318">
        <v>2581357.2000000002</v>
      </c>
    </row>
    <row r="18" spans="1:2" ht="20.25" customHeight="1" x14ac:dyDescent="0.2">
      <c r="A18" s="119" t="s">
        <v>51</v>
      </c>
      <c r="B18" s="129"/>
    </row>
    <row r="19" spans="1:2" ht="18.75" customHeight="1" x14ac:dyDescent="0.2">
      <c r="A19" s="119" t="s">
        <v>52</v>
      </c>
      <c r="B19" s="130"/>
    </row>
    <row r="20" spans="1:2" ht="18.75" customHeight="1" x14ac:dyDescent="0.2">
      <c r="A20" s="119" t="s">
        <v>53</v>
      </c>
      <c r="B20" s="129">
        <v>0</v>
      </c>
    </row>
    <row r="21" spans="1:2" ht="18.75" customHeight="1" x14ac:dyDescent="0.2">
      <c r="A21" s="119" t="s">
        <v>54</v>
      </c>
      <c r="B21" s="318">
        <f>B17+B18+B19-B20</f>
        <v>2581357.2000000002</v>
      </c>
    </row>
    <row r="22" spans="1:2" ht="37.5" customHeight="1" x14ac:dyDescent="0.2">
      <c r="A22" s="119" t="s">
        <v>55</v>
      </c>
      <c r="B22" s="323" t="s">
        <v>283</v>
      </c>
    </row>
    <row r="23" spans="1:2" ht="39.950000000000003" customHeight="1" x14ac:dyDescent="0.2">
      <c r="A23" s="526" t="s">
        <v>56</v>
      </c>
      <c r="B23" s="526"/>
    </row>
    <row r="24" spans="1:2" ht="58.5" customHeight="1" x14ac:dyDescent="0.2">
      <c r="A24" s="526" t="s">
        <v>57</v>
      </c>
      <c r="B24" s="526"/>
    </row>
    <row r="25" spans="1:2" ht="33" customHeight="1" x14ac:dyDescent="0.2">
      <c r="A25" s="526" t="s">
        <v>58</v>
      </c>
      <c r="B25" s="527"/>
    </row>
    <row r="26" spans="1:2" ht="50.1" customHeight="1" x14ac:dyDescent="0.2">
      <c r="A26" s="526" t="s">
        <v>232</v>
      </c>
      <c r="B26" s="526"/>
    </row>
    <row r="27" spans="1:2" ht="20.100000000000001" customHeight="1" x14ac:dyDescent="0.2">
      <c r="A27" s="131"/>
      <c r="B27" s="132"/>
    </row>
    <row r="28" spans="1:2" ht="20.100000000000001" customHeight="1" x14ac:dyDescent="0.2">
      <c r="A28" s="518" t="s">
        <v>265</v>
      </c>
      <c r="B28" s="519"/>
    </row>
    <row r="29" spans="1:2" ht="42.6" customHeight="1" x14ac:dyDescent="0.2">
      <c r="A29" s="133" t="s">
        <v>59</v>
      </c>
      <c r="B29" s="134"/>
    </row>
    <row r="30" spans="1:2" ht="20.100000000000001" customHeight="1" x14ac:dyDescent="0.2">
      <c r="A30" s="133" t="s">
        <v>263</v>
      </c>
      <c r="B30" s="134"/>
    </row>
    <row r="31" spans="1:2" ht="20.100000000000001" customHeight="1" x14ac:dyDescent="0.2">
      <c r="A31" s="313" t="s">
        <v>284</v>
      </c>
      <c r="B31" s="134"/>
    </row>
    <row r="32" spans="1:2" ht="20.100000000000001" customHeight="1" x14ac:dyDescent="0.2">
      <c r="A32" s="135"/>
      <c r="B32" s="136"/>
    </row>
    <row r="33" spans="1:2" ht="20.100000000000001" customHeight="1" x14ac:dyDescent="0.2">
      <c r="A33" s="520" t="s">
        <v>264</v>
      </c>
      <c r="B33" s="521"/>
    </row>
    <row r="34" spans="1:2" ht="20.100000000000001" customHeight="1" x14ac:dyDescent="0.2">
      <c r="A34" s="133" t="s">
        <v>59</v>
      </c>
      <c r="B34" s="134"/>
    </row>
    <row r="35" spans="1:2" ht="20.100000000000001" customHeight="1" x14ac:dyDescent="0.2">
      <c r="A35" s="322" t="s">
        <v>262</v>
      </c>
      <c r="B35" s="134"/>
    </row>
    <row r="36" spans="1:2" ht="20.100000000000001" customHeight="1" x14ac:dyDescent="0.2">
      <c r="A36" s="133" t="s">
        <v>285</v>
      </c>
      <c r="B36" s="134"/>
    </row>
    <row r="37" spans="1:2" ht="20.100000000000001" customHeight="1" x14ac:dyDescent="0.2">
      <c r="A37" s="135"/>
      <c r="B37" s="136"/>
    </row>
    <row r="38" spans="1:2" ht="3.6" customHeight="1" x14ac:dyDescent="0.2">
      <c r="A38" s="131"/>
      <c r="B38" s="132"/>
    </row>
    <row r="39" spans="1:2" ht="14.45" customHeight="1" x14ac:dyDescent="0.2">
      <c r="A39" s="518"/>
      <c r="B39" s="519"/>
    </row>
    <row r="40" spans="1:2" ht="20.100000000000001" customHeight="1" x14ac:dyDescent="0.2">
      <c r="A40" s="135" t="s">
        <v>59</v>
      </c>
      <c r="B40" s="134"/>
    </row>
    <row r="41" spans="1:2" ht="20.100000000000001" customHeight="1" thickBot="1" x14ac:dyDescent="0.25">
      <c r="A41" s="137" t="s">
        <v>60</v>
      </c>
      <c r="B41" s="134"/>
    </row>
    <row r="42" spans="1:2" ht="20.100000000000001" customHeight="1" x14ac:dyDescent="0.2">
      <c r="A42" s="133" t="s">
        <v>219</v>
      </c>
      <c r="B42" s="134"/>
    </row>
    <row r="43" spans="1:2" ht="14.45" customHeight="1" x14ac:dyDescent="0.2">
      <c r="A43" s="138"/>
      <c r="B43" s="136"/>
    </row>
    <row r="44" spans="1:2" x14ac:dyDescent="0.2">
      <c r="A44" s="139"/>
      <c r="B44" s="140"/>
    </row>
    <row r="45" spans="1:2" x14ac:dyDescent="0.2">
      <c r="A45" s="141"/>
      <c r="B45" s="142"/>
    </row>
  </sheetData>
  <mergeCells count="9">
    <mergeCell ref="A28:B28"/>
    <mergeCell ref="A33:B33"/>
    <mergeCell ref="A39:B39"/>
    <mergeCell ref="A3:B3"/>
    <mergeCell ref="A16:B16"/>
    <mergeCell ref="A23:B23"/>
    <mergeCell ref="A24:B24"/>
    <mergeCell ref="A25:B25"/>
    <mergeCell ref="A26:B26"/>
  </mergeCells>
  <phoneticPr fontId="28" type="noConversion"/>
  <printOptions horizontalCentered="1"/>
  <pageMargins left="0.43307086614173229" right="0.39370078740157483" top="0.51181102362204722" bottom="0.43307086614173229" header="0.27559055118110237" footer="0.27559055118110237"/>
  <pageSetup scale="82"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BT187"/>
  <sheetViews>
    <sheetView showGridLines="0" zoomScaleNormal="100" workbookViewId="0">
      <pane xSplit="4" ySplit="3" topLeftCell="E4" activePane="bottomRight" state="frozen"/>
      <selection pane="topRight" activeCell="E1" sqref="E1"/>
      <selection pane="bottomLeft" activeCell="A4" sqref="A4"/>
      <selection pane="bottomRight" activeCell="B1" sqref="B1:C1048576"/>
    </sheetView>
  </sheetViews>
  <sheetFormatPr baseColWidth="10" defaultColWidth="8.85546875" defaultRowHeight="15" outlineLevelRow="1" x14ac:dyDescent="0.25"/>
  <cols>
    <col min="1" max="1" width="6.7109375" customWidth="1"/>
    <col min="2" max="2" width="7" hidden="1" customWidth="1"/>
    <col min="3" max="3" width="37.7109375" hidden="1" customWidth="1"/>
    <col min="4" max="4" width="18.42578125" customWidth="1"/>
    <col min="5" max="5" width="5.5703125" customWidth="1"/>
    <col min="6" max="6" width="11.42578125" customWidth="1"/>
    <col min="7" max="7" width="10.85546875" customWidth="1"/>
    <col min="8" max="8" width="11.28515625" style="305" customWidth="1"/>
    <col min="9" max="9" width="12.7109375" customWidth="1"/>
    <col min="10" max="11" width="13.140625" customWidth="1"/>
    <col min="12" max="12" width="10.42578125" customWidth="1"/>
    <col min="13" max="13" width="10.5703125" customWidth="1"/>
    <col min="14" max="14" width="13.7109375" customWidth="1"/>
    <col min="15" max="15" width="12.7109375" customWidth="1"/>
    <col min="16" max="16" width="11.42578125" customWidth="1"/>
    <col min="17" max="17" width="11.7109375" customWidth="1"/>
    <col min="18" max="18" width="11.5703125" customWidth="1"/>
    <col min="19" max="19" width="11.42578125" customWidth="1"/>
    <col min="20" max="20" width="13" customWidth="1"/>
    <col min="21" max="21" width="11.85546875" style="288" customWidth="1"/>
    <col min="22" max="22" width="12.7109375" style="288" customWidth="1"/>
    <col min="23" max="23" width="13.28515625" style="288" customWidth="1"/>
    <col min="24" max="24" width="12.5703125" style="288" customWidth="1"/>
    <col min="25" max="25" width="10.85546875" style="288" customWidth="1"/>
    <col min="26" max="26" width="15.42578125" customWidth="1"/>
    <col min="27" max="28" width="14" customWidth="1"/>
    <col min="29" max="29" width="11" customWidth="1"/>
    <col min="30" max="31" width="10.85546875" customWidth="1"/>
    <col min="32" max="32" width="11.5703125" customWidth="1"/>
    <col min="33" max="33" width="11.85546875" customWidth="1"/>
    <col min="34" max="34" width="13.85546875" customWidth="1"/>
    <col min="35" max="35" width="13.7109375" customWidth="1"/>
    <col min="36" max="36" width="13" customWidth="1"/>
    <col min="37" max="37" width="16.5703125" customWidth="1"/>
    <col min="38" max="38" width="16.7109375" customWidth="1"/>
    <col min="39" max="39" width="13.7109375" customWidth="1"/>
    <col min="40" max="40" width="16.7109375" customWidth="1"/>
    <col min="41" max="41" width="17.42578125" customWidth="1"/>
    <col min="42" max="42" width="18.85546875" customWidth="1"/>
    <col min="43" max="43" width="13.85546875" customWidth="1"/>
    <col min="44" max="44" width="15.85546875" customWidth="1"/>
    <col min="45" max="45" width="17.28515625" style="288" customWidth="1"/>
    <col min="46" max="46" width="16" style="288" customWidth="1"/>
    <col min="47" max="47" width="15.28515625" style="288" customWidth="1"/>
    <col min="48" max="48" width="16.42578125" style="288" customWidth="1"/>
    <col min="49" max="49" width="12.140625" style="288" customWidth="1"/>
    <col min="50" max="51" width="11.42578125" customWidth="1"/>
    <col min="52" max="52" width="11.85546875" customWidth="1"/>
    <col min="53" max="53" width="14.5703125" customWidth="1"/>
    <col min="54" max="54" width="15" customWidth="1"/>
    <col min="55" max="55" width="13.42578125" customWidth="1"/>
    <col min="56" max="56" width="15.42578125" customWidth="1"/>
    <col min="57" max="57" width="13.42578125" customWidth="1"/>
    <col min="58" max="58" width="14.140625" customWidth="1"/>
    <col min="59" max="59" width="14" customWidth="1"/>
    <col min="60" max="60" width="14.140625" bestFit="1" customWidth="1"/>
    <col min="61" max="61" width="16.7109375" customWidth="1"/>
    <col min="62" max="62" width="15.42578125" customWidth="1"/>
    <col min="63" max="63" width="17" customWidth="1"/>
    <col min="64" max="65" width="13.140625" bestFit="1" customWidth="1"/>
    <col min="66" max="69" width="14.42578125" style="288" customWidth="1"/>
    <col min="70" max="70" width="14.140625" customWidth="1"/>
    <col min="71" max="71" width="10.5703125" bestFit="1" customWidth="1"/>
    <col min="72" max="72" width="14.140625" bestFit="1" customWidth="1"/>
  </cols>
  <sheetData>
    <row r="1" spans="1:72" x14ac:dyDescent="0.25">
      <c r="C1" s="364"/>
      <c r="D1" s="227">
        <f>SUM(D2:D145)</f>
        <v>24511507.4375</v>
      </c>
      <c r="F1" t="s">
        <v>149</v>
      </c>
      <c r="X1" s="288" t="s">
        <v>247</v>
      </c>
      <c r="Z1" t="s">
        <v>163</v>
      </c>
      <c r="AC1" s="231" t="s">
        <v>191</v>
      </c>
      <c r="AD1" s="231"/>
      <c r="AE1" s="231"/>
      <c r="AF1" s="231"/>
      <c r="AG1" s="231"/>
      <c r="AH1" s="231"/>
      <c r="AI1" s="231"/>
      <c r="AJ1" s="231"/>
      <c r="AK1" s="231"/>
      <c r="AL1" s="231"/>
      <c r="AM1" s="231"/>
      <c r="AN1" s="231"/>
      <c r="AO1" s="231"/>
      <c r="AP1" s="231"/>
      <c r="AQ1" s="231"/>
      <c r="AR1" s="232"/>
      <c r="AS1" s="231"/>
      <c r="AT1" s="232"/>
      <c r="AU1" s="231" t="s">
        <v>247</v>
      </c>
      <c r="AV1" s="231"/>
      <c r="AW1" s="232"/>
      <c r="AX1" s="231" t="s">
        <v>192</v>
      </c>
      <c r="AY1" s="231"/>
      <c r="AZ1" s="231"/>
      <c r="BA1" s="231"/>
      <c r="BB1" s="231"/>
      <c r="BC1" s="231"/>
      <c r="BD1" s="231"/>
      <c r="BE1" s="231"/>
      <c r="BF1" s="231"/>
      <c r="BG1" s="231"/>
      <c r="BH1" s="231"/>
      <c r="BI1" s="231"/>
      <c r="BJ1" s="231"/>
      <c r="BK1" s="231"/>
      <c r="BL1" s="231"/>
    </row>
    <row r="2" spans="1:72" x14ac:dyDescent="0.25">
      <c r="A2" t="s">
        <v>125</v>
      </c>
      <c r="D2" t="s">
        <v>147</v>
      </c>
      <c r="F2" s="332">
        <v>42552</v>
      </c>
      <c r="G2" s="332">
        <v>42644</v>
      </c>
      <c r="H2" s="333">
        <v>42736</v>
      </c>
      <c r="I2" s="332">
        <v>42826</v>
      </c>
      <c r="J2" s="332">
        <v>42917</v>
      </c>
      <c r="K2" s="332">
        <v>43009</v>
      </c>
      <c r="L2" s="332">
        <v>43101</v>
      </c>
      <c r="M2" s="332">
        <v>43191</v>
      </c>
      <c r="N2" s="332">
        <v>43282</v>
      </c>
      <c r="O2" s="332">
        <v>43374</v>
      </c>
      <c r="P2" s="332">
        <v>43466</v>
      </c>
      <c r="Q2" s="332">
        <v>43556</v>
      </c>
      <c r="R2" s="332">
        <v>43647</v>
      </c>
      <c r="S2" s="332">
        <v>43739</v>
      </c>
      <c r="T2" s="332">
        <v>43831</v>
      </c>
      <c r="U2" s="332">
        <v>43922</v>
      </c>
      <c r="V2" s="332">
        <v>44013</v>
      </c>
      <c r="W2" s="332">
        <v>44105</v>
      </c>
      <c r="X2" s="332">
        <v>44197</v>
      </c>
      <c r="Y2" s="332" t="s">
        <v>268</v>
      </c>
      <c r="Z2" s="341"/>
      <c r="AA2" s="341"/>
      <c r="AB2" s="341"/>
      <c r="AC2" s="342">
        <v>42552</v>
      </c>
      <c r="AD2" s="342">
        <v>42644</v>
      </c>
      <c r="AE2" s="342">
        <v>42736</v>
      </c>
      <c r="AF2" s="342">
        <v>42826</v>
      </c>
      <c r="AG2" s="342">
        <v>42917</v>
      </c>
      <c r="AH2" s="342">
        <v>43009</v>
      </c>
      <c r="AI2" s="342">
        <v>43101</v>
      </c>
      <c r="AJ2" s="342">
        <v>43191</v>
      </c>
      <c r="AK2" s="342">
        <v>43282</v>
      </c>
      <c r="AL2" s="342">
        <v>43374</v>
      </c>
      <c r="AM2" s="342">
        <v>43466</v>
      </c>
      <c r="AN2" s="342">
        <v>43556</v>
      </c>
      <c r="AO2" s="342">
        <v>43647</v>
      </c>
      <c r="AP2" s="342">
        <v>43739</v>
      </c>
      <c r="AQ2" s="342">
        <v>43831</v>
      </c>
      <c r="AR2" s="342">
        <v>43922</v>
      </c>
      <c r="AS2" s="342">
        <v>44013</v>
      </c>
      <c r="AT2" s="342">
        <v>44105</v>
      </c>
      <c r="AU2" s="342">
        <v>44197</v>
      </c>
      <c r="AV2" s="342" t="s">
        <v>268</v>
      </c>
      <c r="AW2" s="342"/>
      <c r="AX2" s="342">
        <v>42552</v>
      </c>
      <c r="AY2" s="342">
        <v>42644</v>
      </c>
      <c r="AZ2" s="342">
        <v>42736</v>
      </c>
      <c r="BA2" s="342">
        <v>42826</v>
      </c>
      <c r="BB2" s="342">
        <v>42917</v>
      </c>
      <c r="BC2" s="342">
        <v>43009</v>
      </c>
      <c r="BD2" s="342">
        <v>43101</v>
      </c>
      <c r="BE2" s="342">
        <v>43191</v>
      </c>
      <c r="BF2" s="342">
        <v>43282</v>
      </c>
      <c r="BG2" s="342">
        <v>43374</v>
      </c>
      <c r="BH2" s="342">
        <v>43466</v>
      </c>
      <c r="BI2" s="342">
        <v>43556</v>
      </c>
      <c r="BJ2" s="342">
        <v>43647</v>
      </c>
      <c r="BK2" s="342">
        <v>43739</v>
      </c>
      <c r="BL2" s="342">
        <v>43831</v>
      </c>
      <c r="BM2" s="342">
        <v>43922</v>
      </c>
      <c r="BN2" s="342">
        <v>44013</v>
      </c>
      <c r="BO2" s="342">
        <v>44105</v>
      </c>
      <c r="BP2" s="342">
        <v>44197</v>
      </c>
      <c r="BQ2" s="342">
        <v>44198</v>
      </c>
      <c r="BR2" t="s">
        <v>199</v>
      </c>
    </row>
    <row r="3" spans="1:72" x14ac:dyDescent="0.25">
      <c r="A3" s="288" t="s">
        <v>125</v>
      </c>
      <c r="C3" s="288"/>
      <c r="E3" t="s">
        <v>148</v>
      </c>
      <c r="F3" s="341" t="s">
        <v>146</v>
      </c>
      <c r="G3" s="341" t="s">
        <v>150</v>
      </c>
      <c r="H3" s="343" t="s">
        <v>151</v>
      </c>
      <c r="I3" s="341" t="s">
        <v>152</v>
      </c>
      <c r="J3" s="341" t="s">
        <v>153</v>
      </c>
      <c r="K3" s="344" t="s">
        <v>154</v>
      </c>
      <c r="L3" s="341" t="s">
        <v>155</v>
      </c>
      <c r="M3" s="341" t="s">
        <v>156</v>
      </c>
      <c r="N3" s="341" t="s">
        <v>157</v>
      </c>
      <c r="O3" s="341" t="s">
        <v>158</v>
      </c>
      <c r="P3" s="341" t="s">
        <v>159</v>
      </c>
      <c r="Q3" s="341" t="s">
        <v>160</v>
      </c>
      <c r="R3" s="341" t="s">
        <v>161</v>
      </c>
      <c r="S3" s="341" t="s">
        <v>162</v>
      </c>
      <c r="T3" s="341" t="s">
        <v>164</v>
      </c>
      <c r="U3" s="345" t="s">
        <v>242</v>
      </c>
      <c r="V3" s="341" t="s">
        <v>245</v>
      </c>
      <c r="W3" s="341" t="s">
        <v>246</v>
      </c>
      <c r="X3" s="353">
        <v>19</v>
      </c>
      <c r="Y3" s="353">
        <v>20</v>
      </c>
      <c r="Z3" s="341"/>
      <c r="AA3" s="341"/>
      <c r="AB3" s="341"/>
      <c r="AC3" s="346" t="s">
        <v>146</v>
      </c>
      <c r="AD3" s="346" t="s">
        <v>150</v>
      </c>
      <c r="AE3" s="346" t="s">
        <v>151</v>
      </c>
      <c r="AF3" s="346" t="s">
        <v>152</v>
      </c>
      <c r="AG3" s="346" t="s">
        <v>153</v>
      </c>
      <c r="AH3" s="346" t="s">
        <v>154</v>
      </c>
      <c r="AI3" s="346" t="s">
        <v>155</v>
      </c>
      <c r="AJ3" s="346" t="s">
        <v>156</v>
      </c>
      <c r="AK3" s="346" t="s">
        <v>157</v>
      </c>
      <c r="AL3" s="346" t="s">
        <v>158</v>
      </c>
      <c r="AM3" s="346" t="s">
        <v>159</v>
      </c>
      <c r="AN3" s="346" t="s">
        <v>160</v>
      </c>
      <c r="AO3" s="346" t="s">
        <v>161</v>
      </c>
      <c r="AP3" s="346" t="s">
        <v>162</v>
      </c>
      <c r="AQ3" s="346" t="s">
        <v>164</v>
      </c>
      <c r="AR3" s="346" t="s">
        <v>242</v>
      </c>
      <c r="AS3" s="346" t="s">
        <v>245</v>
      </c>
      <c r="AT3" s="346" t="s">
        <v>246</v>
      </c>
      <c r="AU3" s="346" t="s">
        <v>248</v>
      </c>
      <c r="AV3" s="370">
        <v>20</v>
      </c>
      <c r="AW3" s="347"/>
      <c r="AX3" s="334" t="s">
        <v>146</v>
      </c>
      <c r="AY3" s="334" t="s">
        <v>150</v>
      </c>
      <c r="AZ3" s="334" t="s">
        <v>151</v>
      </c>
      <c r="BA3" s="334" t="s">
        <v>152</v>
      </c>
      <c r="BB3" s="334" t="s">
        <v>153</v>
      </c>
      <c r="BC3" s="334" t="s">
        <v>154</v>
      </c>
      <c r="BD3" s="334" t="s">
        <v>155</v>
      </c>
      <c r="BE3" s="334" t="s">
        <v>156</v>
      </c>
      <c r="BF3" s="334" t="s">
        <v>157</v>
      </c>
      <c r="BG3" s="334" t="s">
        <v>158</v>
      </c>
      <c r="BH3" s="334" t="s">
        <v>159</v>
      </c>
      <c r="BI3" s="334" t="s">
        <v>160</v>
      </c>
      <c r="BJ3" s="334" t="s">
        <v>161</v>
      </c>
      <c r="BK3" s="334" t="s">
        <v>162</v>
      </c>
      <c r="BL3" s="334" t="s">
        <v>164</v>
      </c>
      <c r="BM3" s="335" t="s">
        <v>242</v>
      </c>
      <c r="BN3" s="335" t="s">
        <v>245</v>
      </c>
      <c r="BO3" s="335" t="s">
        <v>246</v>
      </c>
      <c r="BP3" s="335" t="s">
        <v>248</v>
      </c>
      <c r="BQ3" s="335" t="s">
        <v>269</v>
      </c>
    </row>
    <row r="4" spans="1:72" ht="15" customHeight="1" x14ac:dyDescent="0.25">
      <c r="A4" s="415" t="s">
        <v>126</v>
      </c>
      <c r="B4" s="416"/>
      <c r="C4" s="417"/>
      <c r="D4" s="418">
        <v>7593016.0899999999</v>
      </c>
      <c r="E4" s="419" t="s">
        <v>197</v>
      </c>
      <c r="F4" s="420"/>
      <c r="G4" s="420"/>
      <c r="H4" s="420"/>
      <c r="I4" s="420">
        <v>0</v>
      </c>
      <c r="J4" s="420">
        <v>9.5563140048607498E-2</v>
      </c>
      <c r="K4" s="420">
        <v>8.1911261958092341E-2</v>
      </c>
      <c r="L4" s="421">
        <v>7.5085323571334614E-2</v>
      </c>
      <c r="M4" s="420"/>
      <c r="N4" s="420">
        <v>6.8259385184576901E-2</v>
      </c>
      <c r="O4" s="420">
        <v>0</v>
      </c>
      <c r="P4" s="420">
        <v>9.5563139903737535E-2</v>
      </c>
      <c r="Q4" s="420">
        <v>0.16382252508831444</v>
      </c>
      <c r="R4" s="420">
        <v>7.16723545095658E-2</v>
      </c>
      <c r="S4" s="420">
        <v>7.5085323793876071E-2</v>
      </c>
      <c r="T4" s="420">
        <v>6.8259385225255528E-2</v>
      </c>
      <c r="U4" s="420">
        <v>6.8259385225255528E-2</v>
      </c>
      <c r="V4" s="420">
        <v>0</v>
      </c>
      <c r="W4" s="420">
        <v>0.13651877168615351</v>
      </c>
      <c r="X4" s="422">
        <f>1-(W4+V4+U4+T4+S4+R4+Q4+P4+O4+N4+M4+L4+K4+J4+I4)</f>
        <v>3.805230353037814E-9</v>
      </c>
      <c r="Y4" s="422"/>
      <c r="Z4" s="421">
        <f>SUM(F4:X4)</f>
        <v>1.0000000000000002</v>
      </c>
      <c r="AA4" s="417"/>
      <c r="AB4" s="417"/>
      <c r="AC4" s="423">
        <f t="shared" ref="AC4:AC103" si="0">F4*$D4</f>
        <v>0</v>
      </c>
      <c r="AD4" s="423">
        <f t="shared" ref="AD4:AD103" si="1">G4*$D4</f>
        <v>0</v>
      </c>
      <c r="AE4" s="423">
        <f t="shared" ref="AE4:AE103" si="2">H4*$D4</f>
        <v>0</v>
      </c>
      <c r="AF4" s="423">
        <f t="shared" ref="AF4:AF103" si="3">I4*$D4</f>
        <v>0</v>
      </c>
      <c r="AG4" s="424">
        <f>J4*$D4</f>
        <v>725612.46000000008</v>
      </c>
      <c r="AH4" s="424">
        <f>K4*$D4</f>
        <v>621953.53</v>
      </c>
      <c r="AI4" s="424">
        <f t="shared" ref="AI4:AI5" si="4">L4*$D4</f>
        <v>570124.06999999995</v>
      </c>
      <c r="AJ4" s="424">
        <f t="shared" ref="AJ4:AJ5" si="5">M4*$D4</f>
        <v>0</v>
      </c>
      <c r="AK4" s="424">
        <f t="shared" ref="AK4" si="6">N4*$D4</f>
        <v>518294.61000000004</v>
      </c>
      <c r="AL4" s="424">
        <f t="shared" ref="AL4" si="7">O4*$D4</f>
        <v>0</v>
      </c>
      <c r="AM4" s="424">
        <f t="shared" ref="AM4:AM103" si="8">P4*$D4</f>
        <v>725612.45890000009</v>
      </c>
      <c r="AN4" s="424">
        <f t="shared" ref="AN4:AN103" si="9">Q4*$D4</f>
        <v>1243907.0689000001</v>
      </c>
      <c r="AO4" s="424">
        <f t="shared" ref="AO4:AO103" si="10">R4*$D4</f>
        <v>544209.34099931712</v>
      </c>
      <c r="AP4" s="424">
        <f t="shared" ref="AP4:AP103" si="11">S4*$D4</f>
        <v>570124.07168976089</v>
      </c>
      <c r="AQ4" s="424">
        <f t="shared" ref="AQ4:AQ103" si="12">T4*$D4</f>
        <v>518294.61030887347</v>
      </c>
      <c r="AR4" s="425">
        <f t="shared" ref="AR4:AR51" si="13">U4*$D4</f>
        <v>518294.61030887347</v>
      </c>
      <c r="AS4" s="425">
        <f t="shared" ref="AS4:AS112" si="14">V4*$D4</f>
        <v>0</v>
      </c>
      <c r="AT4" s="425">
        <f t="shared" ref="AT4:AT112" si="15">W4*$D4</f>
        <v>1036589.23</v>
      </c>
      <c r="AU4" s="425">
        <f t="shared" ref="AU4:AV112" si="16">X4*$D4</f>
        <v>2.8893175296772503E-2</v>
      </c>
      <c r="AV4" s="424"/>
      <c r="AW4" s="423">
        <f>+AT4+AU4</f>
        <v>1036589.2588931753</v>
      </c>
      <c r="AX4" s="423">
        <f t="shared" ref="AX4:BN46" si="17">IF(AX$3=$E4,$D4,0)</f>
        <v>0</v>
      </c>
      <c r="AY4" s="423">
        <f t="shared" si="17"/>
        <v>0</v>
      </c>
      <c r="AZ4" s="423">
        <f t="shared" si="17"/>
        <v>0</v>
      </c>
      <c r="BA4" s="423">
        <f t="shared" si="17"/>
        <v>7593016.0899999999</v>
      </c>
      <c r="BB4" s="423">
        <f t="shared" si="17"/>
        <v>0</v>
      </c>
      <c r="BC4" s="423">
        <f t="shared" si="17"/>
        <v>0</v>
      </c>
      <c r="BD4" s="423">
        <f t="shared" si="17"/>
        <v>0</v>
      </c>
      <c r="BE4" s="423">
        <f t="shared" si="17"/>
        <v>0</v>
      </c>
      <c r="BF4" s="423">
        <f t="shared" si="17"/>
        <v>0</v>
      </c>
      <c r="BG4" s="423">
        <f t="shared" si="17"/>
        <v>0</v>
      </c>
      <c r="BH4" s="423">
        <f t="shared" si="17"/>
        <v>0</v>
      </c>
      <c r="BI4" s="423">
        <f t="shared" si="17"/>
        <v>0</v>
      </c>
      <c r="BJ4" s="423">
        <f t="shared" si="17"/>
        <v>0</v>
      </c>
      <c r="BK4" s="423">
        <f t="shared" si="17"/>
        <v>0</v>
      </c>
      <c r="BL4" s="423">
        <f t="shared" si="17"/>
        <v>0</v>
      </c>
      <c r="BM4" s="423">
        <f t="shared" si="17"/>
        <v>0</v>
      </c>
      <c r="BN4" s="423">
        <f t="shared" si="17"/>
        <v>0</v>
      </c>
      <c r="BO4" s="423">
        <f t="shared" ref="BN4:BQ10" si="18">IF(BO$3=$E4,$D4,0)</f>
        <v>0</v>
      </c>
      <c r="BP4" s="423">
        <f t="shared" si="18"/>
        <v>0</v>
      </c>
      <c r="BQ4" s="423">
        <f t="shared" si="18"/>
        <v>0</v>
      </c>
      <c r="BR4" s="426">
        <f>SUM(AC4:AV4)-SUM(AX4:BQ4)</f>
        <v>0</v>
      </c>
      <c r="BS4" s="303"/>
      <c r="BT4" s="291"/>
    </row>
    <row r="5" spans="1:72" ht="15" customHeight="1" x14ac:dyDescent="0.25">
      <c r="A5" s="427" t="s">
        <v>127</v>
      </c>
      <c r="B5" s="428"/>
      <c r="C5" s="429"/>
      <c r="D5" s="430">
        <v>229065.33000000002</v>
      </c>
      <c r="E5" s="431" t="s">
        <v>259</v>
      </c>
      <c r="F5" s="432"/>
      <c r="G5" s="432"/>
      <c r="H5" s="432"/>
      <c r="I5" s="432"/>
      <c r="J5" s="432"/>
      <c r="K5" s="432">
        <v>0</v>
      </c>
      <c r="L5" s="432">
        <v>0</v>
      </c>
      <c r="M5" s="432">
        <v>0</v>
      </c>
      <c r="N5" s="432">
        <v>0</v>
      </c>
      <c r="O5" s="432">
        <v>0</v>
      </c>
      <c r="P5" s="432">
        <v>0</v>
      </c>
      <c r="Q5" s="432">
        <v>0</v>
      </c>
      <c r="R5" s="432">
        <v>0.75855241821187003</v>
      </c>
      <c r="S5" s="433">
        <v>8.6311010051150036E-2</v>
      </c>
      <c r="T5" s="433">
        <v>9.9705442111209047E-2</v>
      </c>
      <c r="U5" s="432">
        <v>5.5431129625770965E-2</v>
      </c>
      <c r="V5" s="432"/>
      <c r="W5" s="432"/>
      <c r="X5" s="432"/>
      <c r="Y5" s="432"/>
      <c r="Z5" s="434">
        <f>SUM(F5:X5)</f>
        <v>1</v>
      </c>
      <c r="AA5" s="429"/>
      <c r="AB5" s="429"/>
      <c r="AC5" s="426">
        <f t="shared" si="0"/>
        <v>0</v>
      </c>
      <c r="AD5" s="426">
        <f t="shared" si="1"/>
        <v>0</v>
      </c>
      <c r="AE5" s="426">
        <f t="shared" si="2"/>
        <v>0</v>
      </c>
      <c r="AF5" s="426">
        <f t="shared" si="3"/>
        <v>0</v>
      </c>
      <c r="AG5" s="435">
        <f>J5*$D5</f>
        <v>0</v>
      </c>
      <c r="AH5" s="435">
        <v>0</v>
      </c>
      <c r="AI5" s="435">
        <f t="shared" si="4"/>
        <v>0</v>
      </c>
      <c r="AJ5" s="435">
        <f t="shared" si="5"/>
        <v>0</v>
      </c>
      <c r="AK5" s="435">
        <f>N5*$D5</f>
        <v>0</v>
      </c>
      <c r="AL5" s="435">
        <f t="shared" ref="AL5:AL103" si="19">O5*$D5</f>
        <v>0</v>
      </c>
      <c r="AM5" s="435">
        <f t="shared" si="8"/>
        <v>0</v>
      </c>
      <c r="AN5" s="435">
        <f t="shared" si="9"/>
        <v>0</v>
      </c>
      <c r="AO5" s="435">
        <f t="shared" si="10"/>
        <v>173758.06000000003</v>
      </c>
      <c r="AP5" s="435">
        <f t="shared" si="11"/>
        <v>19770.86</v>
      </c>
      <c r="AQ5" s="435">
        <f t="shared" si="12"/>
        <v>22839.059999999998</v>
      </c>
      <c r="AR5" s="426">
        <f t="shared" si="13"/>
        <v>12697.350000000004</v>
      </c>
      <c r="AS5" s="435">
        <f t="shared" si="14"/>
        <v>0</v>
      </c>
      <c r="AT5" s="426">
        <f t="shared" si="15"/>
        <v>0</v>
      </c>
      <c r="AU5" s="435">
        <f t="shared" si="16"/>
        <v>0</v>
      </c>
      <c r="AV5" s="435"/>
      <c r="AW5" s="426"/>
      <c r="AX5" s="426">
        <f t="shared" si="17"/>
        <v>0</v>
      </c>
      <c r="AY5" s="426">
        <f t="shared" si="17"/>
        <v>0</v>
      </c>
      <c r="AZ5" s="426">
        <f t="shared" si="17"/>
        <v>0</v>
      </c>
      <c r="BA5" s="426">
        <f t="shared" si="17"/>
        <v>0</v>
      </c>
      <c r="BB5" s="426">
        <f t="shared" si="17"/>
        <v>0</v>
      </c>
      <c r="BC5" s="426">
        <f t="shared" si="17"/>
        <v>0</v>
      </c>
      <c r="BD5" s="426">
        <f t="shared" si="17"/>
        <v>0</v>
      </c>
      <c r="BE5" s="426">
        <f t="shared" si="17"/>
        <v>0</v>
      </c>
      <c r="BF5" s="426">
        <f t="shared" si="17"/>
        <v>0</v>
      </c>
      <c r="BG5" s="426">
        <f t="shared" si="17"/>
        <v>0</v>
      </c>
      <c r="BH5" s="426">
        <f t="shared" si="17"/>
        <v>0</v>
      </c>
      <c r="BI5" s="426">
        <f t="shared" si="17"/>
        <v>0</v>
      </c>
      <c r="BJ5" s="426">
        <f t="shared" si="17"/>
        <v>229065.33000000002</v>
      </c>
      <c r="BK5" s="426">
        <f t="shared" si="17"/>
        <v>0</v>
      </c>
      <c r="BL5" s="426">
        <f t="shared" si="17"/>
        <v>0</v>
      </c>
      <c r="BM5" s="426">
        <f t="shared" si="17"/>
        <v>0</v>
      </c>
      <c r="BN5" s="426">
        <f t="shared" si="18"/>
        <v>0</v>
      </c>
      <c r="BO5" s="426">
        <f t="shared" si="18"/>
        <v>0</v>
      </c>
      <c r="BP5" s="426">
        <f t="shared" si="18"/>
        <v>0</v>
      </c>
      <c r="BQ5" s="426">
        <f t="shared" si="18"/>
        <v>0</v>
      </c>
      <c r="BR5" s="426">
        <f t="shared" ref="BR5:BR73" si="20">SUM(AC5:AV5)-SUM(AX5:BQ5)</f>
        <v>0</v>
      </c>
    </row>
    <row r="6" spans="1:72" ht="15" customHeight="1" x14ac:dyDescent="0.25">
      <c r="A6" s="427" t="s">
        <v>127</v>
      </c>
      <c r="B6" s="428"/>
      <c r="C6" s="429"/>
      <c r="D6" s="430">
        <v>1866155</v>
      </c>
      <c r="E6" s="431" t="s">
        <v>240</v>
      </c>
      <c r="F6" s="432"/>
      <c r="G6" s="432"/>
      <c r="H6" s="432"/>
      <c r="I6" s="432"/>
      <c r="J6" s="432"/>
      <c r="K6" s="432"/>
      <c r="L6" s="432"/>
      <c r="M6" s="432"/>
      <c r="N6" s="432">
        <v>0.15</v>
      </c>
      <c r="O6" s="432">
        <v>0.15</v>
      </c>
      <c r="P6" s="432">
        <v>0.05</v>
      </c>
      <c r="Q6" s="432">
        <v>0.15</v>
      </c>
      <c r="R6" s="432">
        <v>0.05</v>
      </c>
      <c r="S6" s="432">
        <v>0.15</v>
      </c>
      <c r="T6" s="432">
        <f>1-(S6+R6+Q6+P6+O6+N6+M6+L6+K6+J6+I6)-V6-W6</f>
        <v>0.20000000000000007</v>
      </c>
      <c r="U6" s="432"/>
      <c r="V6" s="432">
        <v>0.05</v>
      </c>
      <c r="W6" s="432">
        <v>0.05</v>
      </c>
      <c r="X6" s="432"/>
      <c r="Y6" s="432"/>
      <c r="Z6" s="434">
        <f t="shared" ref="Z6:Z87" si="21">SUM(F6:X6)</f>
        <v>1.0000000000000002</v>
      </c>
      <c r="AA6" s="429"/>
      <c r="AB6" s="429"/>
      <c r="AC6" s="426">
        <f t="shared" si="0"/>
        <v>0</v>
      </c>
      <c r="AD6" s="426">
        <f t="shared" si="1"/>
        <v>0</v>
      </c>
      <c r="AE6" s="426">
        <f t="shared" si="2"/>
        <v>0</v>
      </c>
      <c r="AF6" s="426">
        <f t="shared" si="3"/>
        <v>0</v>
      </c>
      <c r="AG6" s="426">
        <f>J6*$D6</f>
        <v>0</v>
      </c>
      <c r="AH6" s="426">
        <f t="shared" ref="AH6:AH103" si="22">K6*$D6</f>
        <v>0</v>
      </c>
      <c r="AI6" s="426">
        <f t="shared" ref="AI6:AI103" si="23">L6*$D6</f>
        <v>0</v>
      </c>
      <c r="AJ6" s="426">
        <f t="shared" ref="AJ6:AJ103" si="24">M6*$D6</f>
        <v>0</v>
      </c>
      <c r="AK6" s="435">
        <f>N6*$D6</f>
        <v>279923.25</v>
      </c>
      <c r="AL6" s="435">
        <f t="shared" si="19"/>
        <v>279923.25</v>
      </c>
      <c r="AM6" s="435">
        <f t="shared" si="8"/>
        <v>93307.75</v>
      </c>
      <c r="AN6" s="435">
        <f t="shared" si="9"/>
        <v>279923.25</v>
      </c>
      <c r="AO6" s="436">
        <f t="shared" si="10"/>
        <v>93307.75</v>
      </c>
      <c r="AP6" s="436">
        <f t="shared" si="11"/>
        <v>279923.25</v>
      </c>
      <c r="AQ6" s="436">
        <f t="shared" si="12"/>
        <v>373231.00000000012</v>
      </c>
      <c r="AR6" s="436">
        <f t="shared" si="13"/>
        <v>0</v>
      </c>
      <c r="AS6" s="436">
        <f t="shared" si="14"/>
        <v>93307.75</v>
      </c>
      <c r="AT6" s="436">
        <f t="shared" si="15"/>
        <v>93307.75</v>
      </c>
      <c r="AU6" s="436">
        <f t="shared" si="16"/>
        <v>0</v>
      </c>
      <c r="AV6" s="426"/>
      <c r="AW6" s="426"/>
      <c r="AX6" s="426">
        <f t="shared" si="17"/>
        <v>0</v>
      </c>
      <c r="AY6" s="426">
        <f t="shared" si="17"/>
        <v>0</v>
      </c>
      <c r="AZ6" s="426">
        <f t="shared" si="17"/>
        <v>0</v>
      </c>
      <c r="BA6" s="426">
        <f t="shared" si="17"/>
        <v>0</v>
      </c>
      <c r="BB6" s="426">
        <f t="shared" si="17"/>
        <v>0</v>
      </c>
      <c r="BC6" s="426">
        <f t="shared" si="17"/>
        <v>0</v>
      </c>
      <c r="BD6" s="426">
        <f t="shared" si="17"/>
        <v>0</v>
      </c>
      <c r="BE6" s="426">
        <f t="shared" si="17"/>
        <v>0</v>
      </c>
      <c r="BF6" s="426">
        <f t="shared" si="17"/>
        <v>1866155</v>
      </c>
      <c r="BG6" s="426">
        <f t="shared" si="17"/>
        <v>0</v>
      </c>
      <c r="BH6" s="426">
        <f t="shared" si="17"/>
        <v>0</v>
      </c>
      <c r="BI6" s="426">
        <f t="shared" si="17"/>
        <v>0</v>
      </c>
      <c r="BJ6" s="426">
        <f t="shared" si="17"/>
        <v>0</v>
      </c>
      <c r="BK6" s="426">
        <f t="shared" si="17"/>
        <v>0</v>
      </c>
      <c r="BL6" s="426">
        <f t="shared" si="17"/>
        <v>0</v>
      </c>
      <c r="BM6" s="426">
        <f t="shared" si="17"/>
        <v>0</v>
      </c>
      <c r="BN6" s="426">
        <f t="shared" si="18"/>
        <v>0</v>
      </c>
      <c r="BO6" s="426">
        <f t="shared" si="18"/>
        <v>0</v>
      </c>
      <c r="BP6" s="426">
        <f t="shared" si="18"/>
        <v>0</v>
      </c>
      <c r="BQ6" s="426">
        <f t="shared" si="18"/>
        <v>0</v>
      </c>
      <c r="BR6" s="426">
        <f t="shared" si="20"/>
        <v>0</v>
      </c>
      <c r="BS6" s="238"/>
      <c r="BT6" s="238"/>
    </row>
    <row r="7" spans="1:72" s="288" customFormat="1" ht="15" customHeight="1" x14ac:dyDescent="0.25">
      <c r="A7" s="427" t="s">
        <v>127</v>
      </c>
      <c r="B7" s="428"/>
      <c r="C7" s="429"/>
      <c r="D7" s="430">
        <v>1109637.32</v>
      </c>
      <c r="E7" s="431" t="s">
        <v>240</v>
      </c>
      <c r="F7" s="432"/>
      <c r="G7" s="432"/>
      <c r="H7" s="432"/>
      <c r="I7" s="432"/>
      <c r="J7" s="432"/>
      <c r="K7" s="432"/>
      <c r="L7" s="432"/>
      <c r="M7" s="432"/>
      <c r="N7" s="432">
        <v>0.13140547579996678</v>
      </c>
      <c r="O7" s="432">
        <v>0.17720751317196146</v>
      </c>
      <c r="P7" s="432">
        <v>5.1435544723748117E-2</v>
      </c>
      <c r="Q7" s="432">
        <v>0.14768109097123736</v>
      </c>
      <c r="R7" s="432">
        <v>4.9227030323745778E-2</v>
      </c>
      <c r="S7" s="432">
        <v>0.1476810999831909</v>
      </c>
      <c r="T7" s="432">
        <v>0.19690812129498311</v>
      </c>
      <c r="U7" s="432"/>
      <c r="V7" s="432">
        <v>4.9227066371560033E-2</v>
      </c>
      <c r="W7" s="432">
        <v>4.9227066371560033E-2</v>
      </c>
      <c r="X7" s="432"/>
      <c r="Y7" s="432"/>
      <c r="Z7" s="434">
        <f t="shared" si="21"/>
        <v>1.0000000090119536</v>
      </c>
      <c r="AA7" s="429"/>
      <c r="AB7" s="429"/>
      <c r="AC7" s="426">
        <f t="shared" ref="AC7:AC8" si="25">F7*$D7</f>
        <v>0</v>
      </c>
      <c r="AD7" s="426">
        <f t="shared" ref="AD7:AD8" si="26">G7*$D7</f>
        <v>0</v>
      </c>
      <c r="AE7" s="426">
        <f t="shared" ref="AE7:AE8" si="27">H7*$D7</f>
        <v>0</v>
      </c>
      <c r="AF7" s="426">
        <f t="shared" ref="AF7:AF8" si="28">I7*$D7</f>
        <v>0</v>
      </c>
      <c r="AG7" s="426">
        <f t="shared" ref="AG7:AG8" si="29">J7*$D7</f>
        <v>0</v>
      </c>
      <c r="AH7" s="426">
        <f t="shared" ref="AH7:AH8" si="30">K7*$D7</f>
        <v>0</v>
      </c>
      <c r="AI7" s="426">
        <f t="shared" ref="AI7:AI8" si="31">L7*$D7</f>
        <v>0</v>
      </c>
      <c r="AJ7" s="426">
        <f t="shared" ref="AJ7:AJ8" si="32">M7*$D7</f>
        <v>0</v>
      </c>
      <c r="AK7" s="435">
        <f t="shared" ref="AK7:AK8" si="33">N7*$D7</f>
        <v>145812.42000000001</v>
      </c>
      <c r="AL7" s="435">
        <f t="shared" ref="AL7:AL8" si="34">O7*$D7</f>
        <v>196636.07</v>
      </c>
      <c r="AM7" s="435">
        <f t="shared" ref="AM7:AM8" si="35">P7*$D7</f>
        <v>57074.8</v>
      </c>
      <c r="AN7" s="435">
        <f t="shared" ref="AN7:AN8" si="36">Q7*$D7</f>
        <v>163872.45000000001</v>
      </c>
      <c r="AO7" s="436">
        <f t="shared" ref="AO7:AO8" si="37">R7*$D7</f>
        <v>54624.15</v>
      </c>
      <c r="AP7" s="436">
        <f t="shared" ref="AP7:AP8" si="38">S7*$D7</f>
        <v>163872.46</v>
      </c>
      <c r="AQ7" s="436">
        <f t="shared" ref="AQ7:AQ8" si="39">T7*$D7</f>
        <v>218496.6</v>
      </c>
      <c r="AR7" s="436">
        <f t="shared" ref="AR7:AR8" si="40">U7*$D7</f>
        <v>0</v>
      </c>
      <c r="AS7" s="436">
        <f t="shared" ref="AS7:AS8" si="41">V7*$D7</f>
        <v>54624.19</v>
      </c>
      <c r="AT7" s="436">
        <f t="shared" ref="AT7:AT8" si="42">W7*$D7</f>
        <v>54624.19</v>
      </c>
      <c r="AU7" s="436">
        <f t="shared" ref="AU7:AU8" si="43">X7*$D7</f>
        <v>0</v>
      </c>
      <c r="AV7" s="426"/>
      <c r="AW7" s="426"/>
      <c r="AX7" s="426">
        <f t="shared" ref="AX7:BM8" si="44">IF(AX$3=$E7,$D7,0)</f>
        <v>0</v>
      </c>
      <c r="AY7" s="426">
        <f t="shared" si="44"/>
        <v>0</v>
      </c>
      <c r="AZ7" s="426">
        <f t="shared" si="44"/>
        <v>0</v>
      </c>
      <c r="BA7" s="426">
        <f t="shared" si="44"/>
        <v>0</v>
      </c>
      <c r="BB7" s="426">
        <f t="shared" si="44"/>
        <v>0</v>
      </c>
      <c r="BC7" s="426">
        <f t="shared" si="44"/>
        <v>0</v>
      </c>
      <c r="BD7" s="426">
        <f t="shared" si="44"/>
        <v>0</v>
      </c>
      <c r="BE7" s="426">
        <f t="shared" si="44"/>
        <v>0</v>
      </c>
      <c r="BF7" s="426">
        <f t="shared" si="44"/>
        <v>1109637.32</v>
      </c>
      <c r="BG7" s="426">
        <f>IF(BG$3=$E7,$D7,0)</f>
        <v>0</v>
      </c>
      <c r="BH7" s="426">
        <f t="shared" si="44"/>
        <v>0</v>
      </c>
      <c r="BI7" s="426">
        <f t="shared" si="44"/>
        <v>0</v>
      </c>
      <c r="BJ7" s="426">
        <f t="shared" si="44"/>
        <v>0</v>
      </c>
      <c r="BK7" s="426">
        <f t="shared" si="44"/>
        <v>0</v>
      </c>
      <c r="BL7" s="426">
        <f t="shared" si="44"/>
        <v>0</v>
      </c>
      <c r="BM7" s="426">
        <f t="shared" si="44"/>
        <v>0</v>
      </c>
      <c r="BN7" s="426">
        <f t="shared" si="18"/>
        <v>0</v>
      </c>
      <c r="BO7" s="426">
        <f t="shared" si="18"/>
        <v>0</v>
      </c>
      <c r="BP7" s="426">
        <f t="shared" si="18"/>
        <v>0</v>
      </c>
      <c r="BQ7" s="426">
        <f t="shared" si="18"/>
        <v>0</v>
      </c>
      <c r="BR7" s="426">
        <f t="shared" si="20"/>
        <v>9.9999997764825821E-3</v>
      </c>
    </row>
    <row r="8" spans="1:72" s="288" customFormat="1" ht="15" customHeight="1" x14ac:dyDescent="0.25">
      <c r="A8" s="427" t="s">
        <v>127</v>
      </c>
      <c r="B8" s="428"/>
      <c r="C8" s="429"/>
      <c r="D8" s="430">
        <v>1185760</v>
      </c>
      <c r="E8" s="431" t="s">
        <v>240</v>
      </c>
      <c r="F8" s="432"/>
      <c r="G8" s="432"/>
      <c r="H8" s="432"/>
      <c r="I8" s="432"/>
      <c r="J8" s="432"/>
      <c r="K8" s="432"/>
      <c r="L8" s="432"/>
      <c r="M8" s="432"/>
      <c r="N8" s="432">
        <v>0</v>
      </c>
      <c r="O8" s="432">
        <v>0.35</v>
      </c>
      <c r="P8" s="432">
        <v>0.05</v>
      </c>
      <c r="Q8" s="432">
        <v>0.12000000000000001</v>
      </c>
      <c r="R8" s="432">
        <v>0.05</v>
      </c>
      <c r="S8" s="432">
        <v>0.12999999999999998</v>
      </c>
      <c r="T8" s="432">
        <v>0.2</v>
      </c>
      <c r="U8" s="432">
        <v>0</v>
      </c>
      <c r="V8" s="432">
        <v>0.05</v>
      </c>
      <c r="W8" s="432">
        <v>0.05</v>
      </c>
      <c r="X8" s="432"/>
      <c r="Y8" s="432"/>
      <c r="Z8" s="434">
        <f t="shared" si="21"/>
        <v>1.0000000000000002</v>
      </c>
      <c r="AA8" s="429"/>
      <c r="AB8" s="429"/>
      <c r="AC8" s="426">
        <f t="shared" si="25"/>
        <v>0</v>
      </c>
      <c r="AD8" s="426">
        <f t="shared" si="26"/>
        <v>0</v>
      </c>
      <c r="AE8" s="426">
        <f t="shared" si="27"/>
        <v>0</v>
      </c>
      <c r="AF8" s="426">
        <f t="shared" si="28"/>
        <v>0</v>
      </c>
      <c r="AG8" s="426">
        <f t="shared" si="29"/>
        <v>0</v>
      </c>
      <c r="AH8" s="426">
        <f t="shared" si="30"/>
        <v>0</v>
      </c>
      <c r="AI8" s="426">
        <f t="shared" si="31"/>
        <v>0</v>
      </c>
      <c r="AJ8" s="426">
        <f t="shared" si="32"/>
        <v>0</v>
      </c>
      <c r="AK8" s="436">
        <f t="shared" si="33"/>
        <v>0</v>
      </c>
      <c r="AL8" s="436">
        <f t="shared" si="34"/>
        <v>415016</v>
      </c>
      <c r="AM8" s="436">
        <f t="shared" si="35"/>
        <v>59288</v>
      </c>
      <c r="AN8" s="436">
        <f t="shared" si="36"/>
        <v>142291.20000000001</v>
      </c>
      <c r="AO8" s="436">
        <f t="shared" si="37"/>
        <v>59288</v>
      </c>
      <c r="AP8" s="436">
        <f t="shared" si="38"/>
        <v>154148.79999999996</v>
      </c>
      <c r="AQ8" s="436">
        <f t="shared" si="39"/>
        <v>237152</v>
      </c>
      <c r="AR8" s="436">
        <f t="shared" si="40"/>
        <v>0</v>
      </c>
      <c r="AS8" s="436">
        <f t="shared" si="41"/>
        <v>59288</v>
      </c>
      <c r="AT8" s="436">
        <f t="shared" si="42"/>
        <v>59288</v>
      </c>
      <c r="AU8" s="426">
        <f t="shared" si="43"/>
        <v>0</v>
      </c>
      <c r="AV8" s="426"/>
      <c r="AW8" s="426"/>
      <c r="AX8" s="426">
        <f t="shared" si="44"/>
        <v>0</v>
      </c>
      <c r="AY8" s="426">
        <f t="shared" si="44"/>
        <v>0</v>
      </c>
      <c r="AZ8" s="426">
        <f t="shared" si="44"/>
        <v>0</v>
      </c>
      <c r="BA8" s="426">
        <f t="shared" si="44"/>
        <v>0</v>
      </c>
      <c r="BB8" s="426">
        <f t="shared" si="44"/>
        <v>0</v>
      </c>
      <c r="BC8" s="426">
        <f t="shared" si="44"/>
        <v>0</v>
      </c>
      <c r="BD8" s="426">
        <f t="shared" si="44"/>
        <v>0</v>
      </c>
      <c r="BE8" s="426">
        <f t="shared" si="44"/>
        <v>0</v>
      </c>
      <c r="BF8" s="426">
        <f t="shared" si="44"/>
        <v>1185760</v>
      </c>
      <c r="BG8" s="426">
        <f t="shared" si="44"/>
        <v>0</v>
      </c>
      <c r="BH8" s="426">
        <f t="shared" si="44"/>
        <v>0</v>
      </c>
      <c r="BI8" s="426">
        <f t="shared" si="44"/>
        <v>0</v>
      </c>
      <c r="BJ8" s="426">
        <f t="shared" si="44"/>
        <v>0</v>
      </c>
      <c r="BK8" s="426">
        <f t="shared" si="44"/>
        <v>0</v>
      </c>
      <c r="BL8" s="426">
        <f t="shared" si="44"/>
        <v>0</v>
      </c>
      <c r="BM8" s="426">
        <f t="shared" si="44"/>
        <v>0</v>
      </c>
      <c r="BN8" s="426">
        <f t="shared" si="18"/>
        <v>0</v>
      </c>
      <c r="BO8" s="426">
        <f t="shared" si="18"/>
        <v>0</v>
      </c>
      <c r="BP8" s="426">
        <f t="shared" si="18"/>
        <v>0</v>
      </c>
      <c r="BQ8" s="426">
        <f t="shared" si="18"/>
        <v>0</v>
      </c>
      <c r="BR8" s="426">
        <f t="shared" si="20"/>
        <v>0</v>
      </c>
    </row>
    <row r="9" spans="1:72" s="288" customFormat="1" ht="15" customHeight="1" x14ac:dyDescent="0.25">
      <c r="A9" s="437" t="s">
        <v>128</v>
      </c>
      <c r="B9" s="438"/>
      <c r="C9" s="439"/>
      <c r="D9" s="440">
        <v>529.46</v>
      </c>
      <c r="E9" s="441" t="s">
        <v>218</v>
      </c>
      <c r="F9" s="442"/>
      <c r="G9" s="442"/>
      <c r="H9" s="442"/>
      <c r="I9" s="442"/>
      <c r="J9" s="442">
        <v>0</v>
      </c>
      <c r="K9" s="442">
        <v>0</v>
      </c>
      <c r="L9" s="442">
        <v>0</v>
      </c>
      <c r="M9" s="442">
        <v>1</v>
      </c>
      <c r="N9" s="442">
        <v>0</v>
      </c>
      <c r="O9" s="442"/>
      <c r="P9" s="442"/>
      <c r="Q9" s="442"/>
      <c r="R9" s="442"/>
      <c r="S9" s="442"/>
      <c r="T9" s="442"/>
      <c r="U9" s="442"/>
      <c r="V9" s="442"/>
      <c r="W9" s="442"/>
      <c r="X9" s="442"/>
      <c r="Y9" s="442"/>
      <c r="Z9" s="443">
        <f t="shared" si="21"/>
        <v>1</v>
      </c>
      <c r="AA9" s="439"/>
      <c r="AB9" s="439"/>
      <c r="AC9" s="444">
        <f t="shared" ref="AC9" si="45">F9*$D9</f>
        <v>0</v>
      </c>
      <c r="AD9" s="444">
        <f t="shared" ref="AD9" si="46">G9*$D9</f>
        <v>0</v>
      </c>
      <c r="AE9" s="444">
        <f t="shared" ref="AE9" si="47">H9*$D9</f>
        <v>0</v>
      </c>
      <c r="AF9" s="444">
        <f t="shared" ref="AF9" si="48">I9*$D9</f>
        <v>0</v>
      </c>
      <c r="AG9" s="444">
        <f t="shared" ref="AG9" si="49">J9*$D9</f>
        <v>0</v>
      </c>
      <c r="AH9" s="444">
        <f t="shared" ref="AH9" si="50">K9*$D9</f>
        <v>0</v>
      </c>
      <c r="AI9" s="444">
        <f t="shared" ref="AI9" si="51">L9*$D9</f>
        <v>0</v>
      </c>
      <c r="AJ9" s="444">
        <f t="shared" ref="AJ9" si="52">M9*$D9</f>
        <v>529.46</v>
      </c>
      <c r="AK9" s="444">
        <f t="shared" ref="AK9" si="53">N9*$D9</f>
        <v>0</v>
      </c>
      <c r="AL9" s="444">
        <f t="shared" ref="AL9" si="54">O9*$D9</f>
        <v>0</v>
      </c>
      <c r="AM9" s="444">
        <f t="shared" ref="AM9" si="55">P9*$D9</f>
        <v>0</v>
      </c>
      <c r="AN9" s="444">
        <f t="shared" ref="AN9" si="56">Q9*$D9</f>
        <v>0</v>
      </c>
      <c r="AO9" s="444">
        <f t="shared" ref="AO9" si="57">R9*$D9</f>
        <v>0</v>
      </c>
      <c r="AP9" s="445">
        <f t="shared" ref="AP9" si="58">S9*$D9</f>
        <v>0</v>
      </c>
      <c r="AQ9" s="445">
        <f t="shared" ref="AQ9" si="59">T9*$D9</f>
        <v>0</v>
      </c>
      <c r="AR9" s="445">
        <f t="shared" si="13"/>
        <v>0</v>
      </c>
      <c r="AS9" s="445">
        <f t="shared" si="14"/>
        <v>0</v>
      </c>
      <c r="AT9" s="445">
        <f t="shared" si="15"/>
        <v>0</v>
      </c>
      <c r="AU9" s="444">
        <f t="shared" si="16"/>
        <v>0</v>
      </c>
      <c r="AV9" s="444"/>
      <c r="AW9" s="444"/>
      <c r="AX9" s="444">
        <f t="shared" si="17"/>
        <v>0</v>
      </c>
      <c r="AY9" s="444">
        <f t="shared" si="17"/>
        <v>0</v>
      </c>
      <c r="AZ9" s="444">
        <f t="shared" si="17"/>
        <v>0</v>
      </c>
      <c r="BA9" s="444">
        <f t="shared" si="17"/>
        <v>0</v>
      </c>
      <c r="BB9" s="444">
        <v>0</v>
      </c>
      <c r="BC9" s="444">
        <v>0</v>
      </c>
      <c r="BD9" s="444">
        <f t="shared" si="17"/>
        <v>0</v>
      </c>
      <c r="BE9" s="444">
        <f t="shared" si="17"/>
        <v>529.46</v>
      </c>
      <c r="BF9" s="444">
        <f t="shared" si="17"/>
        <v>0</v>
      </c>
      <c r="BG9" s="444">
        <f t="shared" si="17"/>
        <v>0</v>
      </c>
      <c r="BH9" s="444">
        <f t="shared" si="17"/>
        <v>0</v>
      </c>
      <c r="BI9" s="444">
        <f t="shared" si="17"/>
        <v>0</v>
      </c>
      <c r="BJ9" s="444">
        <f t="shared" si="17"/>
        <v>0</v>
      </c>
      <c r="BK9" s="444">
        <f t="shared" si="17"/>
        <v>0</v>
      </c>
      <c r="BL9" s="444">
        <f t="shared" si="17"/>
        <v>0</v>
      </c>
      <c r="BM9" s="444">
        <f t="shared" si="17"/>
        <v>0</v>
      </c>
      <c r="BN9" s="444">
        <f t="shared" si="18"/>
        <v>0</v>
      </c>
      <c r="BO9" s="444">
        <f t="shared" si="18"/>
        <v>0</v>
      </c>
      <c r="BP9" s="444">
        <f t="shared" si="18"/>
        <v>0</v>
      </c>
      <c r="BQ9" s="444">
        <f t="shared" si="18"/>
        <v>0</v>
      </c>
      <c r="BR9" s="426">
        <f t="shared" si="20"/>
        <v>0</v>
      </c>
    </row>
    <row r="10" spans="1:72" ht="15" customHeight="1" x14ac:dyDescent="0.25">
      <c r="A10" s="446" t="s">
        <v>129</v>
      </c>
      <c r="B10" s="446"/>
      <c r="C10" s="447"/>
      <c r="D10" s="448">
        <v>2329506.84</v>
      </c>
      <c r="E10" s="449" t="s">
        <v>167</v>
      </c>
      <c r="F10" s="450">
        <v>0</v>
      </c>
      <c r="G10" s="450">
        <v>0</v>
      </c>
      <c r="H10" s="450">
        <v>0</v>
      </c>
      <c r="I10" s="450">
        <v>0</v>
      </c>
      <c r="J10" s="450">
        <v>0</v>
      </c>
      <c r="K10" s="450">
        <v>0</v>
      </c>
      <c r="L10" s="451">
        <v>5.9999999828289845E-2</v>
      </c>
      <c r="M10" s="450">
        <v>2.0000001373681308E-2</v>
      </c>
      <c r="N10" s="450">
        <v>8.0000001201971149E-2</v>
      </c>
      <c r="O10" s="450">
        <v>0.11000000755524721</v>
      </c>
      <c r="P10" s="450">
        <v>0.140000001030261</v>
      </c>
      <c r="Q10" s="450">
        <v>0</v>
      </c>
      <c r="R10" s="450">
        <v>0.13000000463617442</v>
      </c>
      <c r="S10" s="450">
        <v>0.10000000257565246</v>
      </c>
      <c r="T10" s="450">
        <v>0.10000000257565246</v>
      </c>
      <c r="U10" s="450">
        <v>0.25999997922307022</v>
      </c>
      <c r="V10" s="450">
        <f>1-(U10+T10+S10+R10+Q10+P10+O10+N10+M10+L10+K10)</f>
        <v>0</v>
      </c>
      <c r="W10" s="450">
        <v>0</v>
      </c>
      <c r="X10" s="450">
        <v>0</v>
      </c>
      <c r="Y10" s="450"/>
      <c r="Z10" s="451">
        <f t="shared" si="21"/>
        <v>1</v>
      </c>
      <c r="AA10" s="447"/>
      <c r="AB10" s="447"/>
      <c r="AC10" s="452">
        <f t="shared" si="0"/>
        <v>0</v>
      </c>
      <c r="AD10" s="452">
        <f t="shared" si="1"/>
        <v>0</v>
      </c>
      <c r="AE10" s="452">
        <f t="shared" si="2"/>
        <v>0</v>
      </c>
      <c r="AF10" s="452">
        <f t="shared" si="3"/>
        <v>0</v>
      </c>
      <c r="AG10" s="452">
        <f>J10*$D10</f>
        <v>0</v>
      </c>
      <c r="AH10" s="452">
        <f t="shared" si="22"/>
        <v>0</v>
      </c>
      <c r="AI10" s="452">
        <f t="shared" si="23"/>
        <v>139770.41</v>
      </c>
      <c r="AJ10" s="452">
        <f t="shared" si="24"/>
        <v>46590.14</v>
      </c>
      <c r="AK10" s="452">
        <f>N10*$D10</f>
        <v>186360.55</v>
      </c>
      <c r="AL10" s="452">
        <f t="shared" si="19"/>
        <v>256245.77000000002</v>
      </c>
      <c r="AM10" s="452">
        <f t="shared" si="8"/>
        <v>326130.96000000002</v>
      </c>
      <c r="AN10" s="452">
        <f t="shared" si="9"/>
        <v>0</v>
      </c>
      <c r="AO10" s="452">
        <f t="shared" si="10"/>
        <v>302835.90000000002</v>
      </c>
      <c r="AP10" s="452">
        <f t="shared" si="11"/>
        <v>232950.69</v>
      </c>
      <c r="AQ10" s="452">
        <f t="shared" si="12"/>
        <v>232950.69</v>
      </c>
      <c r="AR10" s="452">
        <f t="shared" si="13"/>
        <v>605671.73</v>
      </c>
      <c r="AS10" s="452">
        <f t="shared" si="14"/>
        <v>0</v>
      </c>
      <c r="AT10" s="452">
        <f t="shared" si="15"/>
        <v>0</v>
      </c>
      <c r="AU10" s="452">
        <f t="shared" si="16"/>
        <v>0</v>
      </c>
      <c r="AV10" s="448"/>
      <c r="AW10" s="453"/>
      <c r="AX10" s="453">
        <f t="shared" si="17"/>
        <v>0</v>
      </c>
      <c r="AY10" s="453">
        <f t="shared" si="17"/>
        <v>0</v>
      </c>
      <c r="AZ10" s="453">
        <f t="shared" si="17"/>
        <v>0</v>
      </c>
      <c r="BA10" s="453">
        <f t="shared" si="17"/>
        <v>0</v>
      </c>
      <c r="BB10" s="453">
        <f t="shared" si="17"/>
        <v>0</v>
      </c>
      <c r="BC10" s="453">
        <f t="shared" si="17"/>
        <v>2329506.84</v>
      </c>
      <c r="BD10" s="453">
        <f t="shared" si="17"/>
        <v>0</v>
      </c>
      <c r="BE10" s="453">
        <f t="shared" si="17"/>
        <v>0</v>
      </c>
      <c r="BF10" s="453">
        <f t="shared" si="17"/>
        <v>0</v>
      </c>
      <c r="BG10" s="453">
        <f t="shared" si="17"/>
        <v>0</v>
      </c>
      <c r="BH10" s="453">
        <f t="shared" si="17"/>
        <v>0</v>
      </c>
      <c r="BI10" s="453">
        <f t="shared" si="17"/>
        <v>0</v>
      </c>
      <c r="BJ10" s="453">
        <f t="shared" si="17"/>
        <v>0</v>
      </c>
      <c r="BK10" s="453">
        <f t="shared" si="17"/>
        <v>0</v>
      </c>
      <c r="BL10" s="453">
        <f t="shared" si="17"/>
        <v>0</v>
      </c>
      <c r="BM10" s="453">
        <f t="shared" si="17"/>
        <v>0</v>
      </c>
      <c r="BN10" s="453">
        <f t="shared" si="18"/>
        <v>0</v>
      </c>
      <c r="BO10" s="453">
        <f t="shared" si="18"/>
        <v>0</v>
      </c>
      <c r="BP10" s="453">
        <f t="shared" si="18"/>
        <v>0</v>
      </c>
      <c r="BQ10" s="453">
        <f t="shared" si="18"/>
        <v>0</v>
      </c>
      <c r="BR10" s="426">
        <f t="shared" si="20"/>
        <v>0</v>
      </c>
    </row>
    <row r="11" spans="1:72" s="288" customFormat="1" ht="15" customHeight="1" x14ac:dyDescent="0.25">
      <c r="A11" s="446" t="s">
        <v>129</v>
      </c>
      <c r="B11" s="446"/>
      <c r="C11" s="447"/>
      <c r="D11" s="448">
        <v>1200000</v>
      </c>
      <c r="E11" s="449" t="s">
        <v>240</v>
      </c>
      <c r="F11" s="454"/>
      <c r="G11" s="454"/>
      <c r="H11" s="454"/>
      <c r="I11" s="454"/>
      <c r="J11" s="454"/>
      <c r="K11" s="450"/>
      <c r="L11" s="450"/>
      <c r="M11" s="450"/>
      <c r="N11" s="450"/>
      <c r="O11" s="450">
        <v>0.1</v>
      </c>
      <c r="P11" s="450">
        <v>0.04</v>
      </c>
      <c r="Q11" s="450">
        <v>0.14000000000000001</v>
      </c>
      <c r="R11" s="450">
        <v>0.1</v>
      </c>
      <c r="S11" s="450">
        <v>0.2</v>
      </c>
      <c r="T11" s="450">
        <v>0.19</v>
      </c>
      <c r="U11" s="450">
        <v>0.18</v>
      </c>
      <c r="V11" s="455">
        <v>0.05</v>
      </c>
      <c r="W11" s="450"/>
      <c r="X11" s="450"/>
      <c r="Y11" s="450"/>
      <c r="Z11" s="451">
        <f>SUM(F11:X11)</f>
        <v>1</v>
      </c>
      <c r="AA11" s="447"/>
      <c r="AB11" s="447"/>
      <c r="AC11" s="452">
        <f>F11*$D11</f>
        <v>0</v>
      </c>
      <c r="AD11" s="452">
        <f>G11*$D11</f>
        <v>0</v>
      </c>
      <c r="AE11" s="452">
        <f>H11*$D11</f>
        <v>0</v>
      </c>
      <c r="AF11" s="452">
        <f>I11*$D11</f>
        <v>0</v>
      </c>
      <c r="AG11" s="452">
        <f>J11*$D11</f>
        <v>0</v>
      </c>
      <c r="AH11" s="452">
        <f>K11*$D11</f>
        <v>0</v>
      </c>
      <c r="AI11" s="452">
        <f>L11*$D11</f>
        <v>0</v>
      </c>
      <c r="AJ11" s="452">
        <f>M11*$D11</f>
        <v>0</v>
      </c>
      <c r="AK11" s="452">
        <f>N11*$D11</f>
        <v>0</v>
      </c>
      <c r="AL11" s="452">
        <f t="shared" ref="AL11:AU11" si="60">O11*$D11</f>
        <v>120000</v>
      </c>
      <c r="AM11" s="452">
        <f t="shared" si="60"/>
        <v>48000</v>
      </c>
      <c r="AN11" s="452">
        <f t="shared" si="60"/>
        <v>168000.00000000003</v>
      </c>
      <c r="AO11" s="452">
        <f t="shared" si="60"/>
        <v>120000</v>
      </c>
      <c r="AP11" s="452">
        <f t="shared" si="60"/>
        <v>240000</v>
      </c>
      <c r="AQ11" s="452">
        <f t="shared" si="60"/>
        <v>228000</v>
      </c>
      <c r="AR11" s="452">
        <f t="shared" si="60"/>
        <v>216000</v>
      </c>
      <c r="AS11" s="452">
        <f t="shared" si="60"/>
        <v>60000</v>
      </c>
      <c r="AT11" s="452">
        <f t="shared" si="60"/>
        <v>0</v>
      </c>
      <c r="AU11" s="452">
        <f t="shared" si="60"/>
        <v>0</v>
      </c>
      <c r="AV11" s="448"/>
      <c r="AW11" s="453"/>
      <c r="AX11" s="453">
        <f t="shared" ref="AX11:BQ11" si="61">IF(AX$3=$E11,$D11,0)</f>
        <v>0</v>
      </c>
      <c r="AY11" s="453">
        <f t="shared" si="61"/>
        <v>0</v>
      </c>
      <c r="AZ11" s="453">
        <f t="shared" si="61"/>
        <v>0</v>
      </c>
      <c r="BA11" s="453">
        <f t="shared" si="61"/>
        <v>0</v>
      </c>
      <c r="BB11" s="453">
        <f t="shared" si="61"/>
        <v>0</v>
      </c>
      <c r="BC11" s="453">
        <f t="shared" si="61"/>
        <v>0</v>
      </c>
      <c r="BD11" s="453">
        <f t="shared" si="61"/>
        <v>0</v>
      </c>
      <c r="BE11" s="453">
        <f t="shared" si="61"/>
        <v>0</v>
      </c>
      <c r="BF11" s="453">
        <f t="shared" si="61"/>
        <v>1200000</v>
      </c>
      <c r="BG11" s="453">
        <f t="shared" si="61"/>
        <v>0</v>
      </c>
      <c r="BH11" s="453">
        <f t="shared" si="61"/>
        <v>0</v>
      </c>
      <c r="BI11" s="453">
        <f t="shared" si="61"/>
        <v>0</v>
      </c>
      <c r="BJ11" s="453">
        <f t="shared" si="61"/>
        <v>0</v>
      </c>
      <c r="BK11" s="453">
        <f t="shared" si="61"/>
        <v>0</v>
      </c>
      <c r="BL11" s="453">
        <f t="shared" si="61"/>
        <v>0</v>
      </c>
      <c r="BM11" s="453">
        <f t="shared" si="61"/>
        <v>0</v>
      </c>
      <c r="BN11" s="453">
        <f t="shared" si="61"/>
        <v>0</v>
      </c>
      <c r="BO11" s="453">
        <f t="shared" si="61"/>
        <v>0</v>
      </c>
      <c r="BP11" s="453">
        <f t="shared" si="61"/>
        <v>0</v>
      </c>
      <c r="BQ11" s="453">
        <f t="shared" si="61"/>
        <v>0</v>
      </c>
      <c r="BR11" s="426">
        <f t="shared" si="20"/>
        <v>0</v>
      </c>
    </row>
    <row r="12" spans="1:72" s="288" customFormat="1" ht="15" customHeight="1" x14ac:dyDescent="0.25">
      <c r="A12" s="446" t="s">
        <v>129</v>
      </c>
      <c r="B12" s="446"/>
      <c r="C12" s="447"/>
      <c r="D12" s="448">
        <v>150000</v>
      </c>
      <c r="E12" s="449" t="s">
        <v>282</v>
      </c>
      <c r="F12" s="454"/>
      <c r="G12" s="454"/>
      <c r="H12" s="454"/>
      <c r="I12" s="454"/>
      <c r="J12" s="454"/>
      <c r="K12" s="450">
        <v>0</v>
      </c>
      <c r="L12" s="451">
        <v>0</v>
      </c>
      <c r="M12" s="450">
        <v>0</v>
      </c>
      <c r="N12" s="450">
        <v>0</v>
      </c>
      <c r="O12" s="450">
        <v>0</v>
      </c>
      <c r="P12" s="450">
        <v>0</v>
      </c>
      <c r="Q12" s="450">
        <v>0</v>
      </c>
      <c r="R12" s="450">
        <v>0</v>
      </c>
      <c r="S12" s="450">
        <v>0</v>
      </c>
      <c r="T12" s="450">
        <v>0</v>
      </c>
      <c r="U12" s="450">
        <v>0.75855241821187003</v>
      </c>
      <c r="V12" s="450">
        <v>0.1860164521623591</v>
      </c>
      <c r="W12" s="450">
        <v>5.5431129625770965E-2</v>
      </c>
      <c r="X12" s="450"/>
      <c r="Y12" s="450"/>
      <c r="Z12" s="451">
        <f t="shared" si="21"/>
        <v>1</v>
      </c>
      <c r="AA12" s="447"/>
      <c r="AB12" s="447"/>
      <c r="AC12" s="452">
        <f t="shared" ref="AC12:AC14" si="62">F12*$D12</f>
        <v>0</v>
      </c>
      <c r="AD12" s="452">
        <f t="shared" ref="AD12:AD14" si="63">G12*$D12</f>
        <v>0</v>
      </c>
      <c r="AE12" s="452">
        <f t="shared" ref="AE12:AE14" si="64">H12*$D12</f>
        <v>0</v>
      </c>
      <c r="AF12" s="452">
        <f t="shared" ref="AF12:AF14" si="65">I12*$D12</f>
        <v>0</v>
      </c>
      <c r="AG12" s="452">
        <f>J12*$D12</f>
        <v>0</v>
      </c>
      <c r="AH12" s="452">
        <f t="shared" ref="AH12:AH14" si="66">K12*$D12</f>
        <v>0</v>
      </c>
      <c r="AI12" s="452">
        <f t="shared" ref="AI12:AI14" si="67">L12*$D12</f>
        <v>0</v>
      </c>
      <c r="AJ12" s="452">
        <f t="shared" ref="AJ12:AJ14" si="68">M12*$D12</f>
        <v>0</v>
      </c>
      <c r="AK12" s="452">
        <f t="shared" ref="AK12:AK14" si="69">N12*$D12</f>
        <v>0</v>
      </c>
      <c r="AL12" s="452">
        <f t="shared" ref="AL12:AL14" si="70">O12*$D12</f>
        <v>0</v>
      </c>
      <c r="AM12" s="452">
        <f t="shared" ref="AM12:AM14" si="71">P12*$D12</f>
        <v>0</v>
      </c>
      <c r="AN12" s="452">
        <f t="shared" ref="AN12:AN14" si="72">Q12*$D12</f>
        <v>0</v>
      </c>
      <c r="AO12" s="452">
        <f t="shared" ref="AO12:AO14" si="73">R12*$D12</f>
        <v>0</v>
      </c>
      <c r="AP12" s="452">
        <f t="shared" ref="AP12:AP14" si="74">S12*$D12</f>
        <v>0</v>
      </c>
      <c r="AQ12" s="452">
        <f t="shared" ref="AQ12:AQ14" si="75">T12*$D12</f>
        <v>0</v>
      </c>
      <c r="AR12" s="452">
        <f t="shared" ref="AR12:AR14" si="76">U12*$D12</f>
        <v>113782.86273178051</v>
      </c>
      <c r="AS12" s="452">
        <f t="shared" ref="AS12:AS14" si="77">V12*$D12</f>
        <v>27902.467824353866</v>
      </c>
      <c r="AT12" s="452">
        <f t="shared" ref="AT12:AT14" si="78">W12*$D12</f>
        <v>8314.669443865645</v>
      </c>
      <c r="AU12" s="452">
        <f t="shared" ref="AU12:AU14" si="79">X12*$D12</f>
        <v>0</v>
      </c>
      <c r="AV12" s="448"/>
      <c r="AW12" s="453"/>
      <c r="AX12" s="453">
        <f t="shared" ref="AX12:BQ37" si="80">IF(AX$3=$E12,$D12,0)</f>
        <v>0</v>
      </c>
      <c r="AY12" s="453">
        <f t="shared" si="80"/>
        <v>0</v>
      </c>
      <c r="AZ12" s="453">
        <f t="shared" si="80"/>
        <v>0</v>
      </c>
      <c r="BA12" s="453">
        <f t="shared" si="80"/>
        <v>0</v>
      </c>
      <c r="BB12" s="453">
        <f t="shared" si="80"/>
        <v>0</v>
      </c>
      <c r="BC12" s="453">
        <f t="shared" si="80"/>
        <v>0</v>
      </c>
      <c r="BD12" s="453">
        <f t="shared" si="80"/>
        <v>0</v>
      </c>
      <c r="BE12" s="453">
        <f t="shared" si="80"/>
        <v>0</v>
      </c>
      <c r="BF12" s="453">
        <f t="shared" si="80"/>
        <v>0</v>
      </c>
      <c r="BG12" s="453">
        <f t="shared" si="80"/>
        <v>0</v>
      </c>
      <c r="BH12" s="453">
        <f t="shared" si="80"/>
        <v>0</v>
      </c>
      <c r="BI12" s="453">
        <f t="shared" si="80"/>
        <v>0</v>
      </c>
      <c r="BJ12" s="453">
        <f t="shared" si="80"/>
        <v>0</v>
      </c>
      <c r="BK12" s="453">
        <f t="shared" si="80"/>
        <v>0</v>
      </c>
      <c r="BL12" s="453">
        <f t="shared" si="80"/>
        <v>0</v>
      </c>
      <c r="BM12" s="453">
        <f t="shared" si="80"/>
        <v>150000</v>
      </c>
      <c r="BN12" s="453">
        <f t="shared" si="80"/>
        <v>0</v>
      </c>
      <c r="BO12" s="453">
        <f t="shared" si="80"/>
        <v>0</v>
      </c>
      <c r="BP12" s="453">
        <f t="shared" si="80"/>
        <v>0</v>
      </c>
      <c r="BQ12" s="453">
        <f t="shared" si="80"/>
        <v>0</v>
      </c>
      <c r="BR12" s="426">
        <f t="shared" si="20"/>
        <v>0</v>
      </c>
    </row>
    <row r="13" spans="1:72" s="288" customFormat="1" ht="15" customHeight="1" x14ac:dyDescent="0.25">
      <c r="A13" s="446" t="s">
        <v>129</v>
      </c>
      <c r="B13" s="446"/>
      <c r="C13" s="447"/>
      <c r="D13" s="448">
        <v>4540.18</v>
      </c>
      <c r="E13" s="449" t="s">
        <v>259</v>
      </c>
      <c r="F13" s="454"/>
      <c r="G13" s="454"/>
      <c r="H13" s="454"/>
      <c r="I13" s="454"/>
      <c r="J13" s="454"/>
      <c r="K13" s="450">
        <v>0</v>
      </c>
      <c r="L13" s="451">
        <v>0</v>
      </c>
      <c r="M13" s="450">
        <v>0</v>
      </c>
      <c r="N13" s="450">
        <v>0</v>
      </c>
      <c r="O13" s="450">
        <v>0</v>
      </c>
      <c r="P13" s="450">
        <v>0</v>
      </c>
      <c r="Q13" s="450">
        <v>0</v>
      </c>
      <c r="R13" s="450">
        <v>0</v>
      </c>
      <c r="S13" s="450">
        <v>0</v>
      </c>
      <c r="T13" s="450">
        <v>1</v>
      </c>
      <c r="U13" s="450"/>
      <c r="V13" s="450"/>
      <c r="W13" s="450"/>
      <c r="X13" s="450"/>
      <c r="Y13" s="450"/>
      <c r="Z13" s="451">
        <f t="shared" ref="Z13" si="81">SUM(F13:X13)</f>
        <v>1</v>
      </c>
      <c r="AA13" s="447"/>
      <c r="AB13" s="447"/>
      <c r="AC13" s="452">
        <f t="shared" ref="AC13" si="82">F13*$D13</f>
        <v>0</v>
      </c>
      <c r="AD13" s="452">
        <f t="shared" ref="AD13" si="83">G13*$D13</f>
        <v>0</v>
      </c>
      <c r="AE13" s="452">
        <f t="shared" ref="AE13" si="84">H13*$D13</f>
        <v>0</v>
      </c>
      <c r="AF13" s="452">
        <f t="shared" ref="AF13" si="85">I13*$D13</f>
        <v>0</v>
      </c>
      <c r="AG13" s="452">
        <f>J13*$D13</f>
        <v>0</v>
      </c>
      <c r="AH13" s="452">
        <f t="shared" ref="AH13" si="86">K13*$D13</f>
        <v>0</v>
      </c>
      <c r="AI13" s="452">
        <f t="shared" ref="AI13" si="87">L13*$D13</f>
        <v>0</v>
      </c>
      <c r="AJ13" s="452">
        <f t="shared" ref="AJ13" si="88">M13*$D13</f>
        <v>0</v>
      </c>
      <c r="AK13" s="452">
        <f t="shared" ref="AK13" si="89">N13*$D13</f>
        <v>0</v>
      </c>
      <c r="AL13" s="452">
        <f t="shared" ref="AL13" si="90">O13*$D13</f>
        <v>0</v>
      </c>
      <c r="AM13" s="452">
        <f t="shared" ref="AM13" si="91">P13*$D13</f>
        <v>0</v>
      </c>
      <c r="AN13" s="452">
        <f t="shared" ref="AN13" si="92">Q13*$D13</f>
        <v>0</v>
      </c>
      <c r="AO13" s="452">
        <f t="shared" ref="AO13" si="93">R13*$D13</f>
        <v>0</v>
      </c>
      <c r="AP13" s="452">
        <f t="shared" ref="AP13" si="94">S13*$D13</f>
        <v>0</v>
      </c>
      <c r="AQ13" s="452">
        <f t="shared" ref="AQ13" si="95">T13*$D13</f>
        <v>4540.18</v>
      </c>
      <c r="AR13" s="452">
        <f t="shared" ref="AR13" si="96">U13*$D13</f>
        <v>0</v>
      </c>
      <c r="AS13" s="452">
        <f t="shared" ref="AS13" si="97">V13*$D13</f>
        <v>0</v>
      </c>
      <c r="AT13" s="452">
        <f t="shared" ref="AT13" si="98">W13*$D13</f>
        <v>0</v>
      </c>
      <c r="AU13" s="452">
        <f t="shared" ref="AU13" si="99">X13*$D13</f>
        <v>0</v>
      </c>
      <c r="AV13" s="448"/>
      <c r="AW13" s="453"/>
      <c r="AX13" s="453">
        <f t="shared" si="80"/>
        <v>0</v>
      </c>
      <c r="AY13" s="453">
        <f t="shared" si="80"/>
        <v>0</v>
      </c>
      <c r="AZ13" s="453">
        <f t="shared" si="80"/>
        <v>0</v>
      </c>
      <c r="BA13" s="453">
        <f t="shared" si="80"/>
        <v>0</v>
      </c>
      <c r="BB13" s="453">
        <f t="shared" si="80"/>
        <v>0</v>
      </c>
      <c r="BC13" s="453">
        <f t="shared" si="80"/>
        <v>0</v>
      </c>
      <c r="BD13" s="453">
        <f t="shared" si="80"/>
        <v>0</v>
      </c>
      <c r="BE13" s="453">
        <f t="shared" si="80"/>
        <v>0</v>
      </c>
      <c r="BF13" s="453">
        <f t="shared" si="80"/>
        <v>0</v>
      </c>
      <c r="BG13" s="453">
        <f t="shared" si="80"/>
        <v>0</v>
      </c>
      <c r="BH13" s="453">
        <f t="shared" si="80"/>
        <v>0</v>
      </c>
      <c r="BI13" s="453">
        <f t="shared" si="80"/>
        <v>0</v>
      </c>
      <c r="BJ13" s="452">
        <f t="shared" si="80"/>
        <v>4540.18</v>
      </c>
      <c r="BK13" s="453">
        <f t="shared" si="80"/>
        <v>0</v>
      </c>
      <c r="BL13" s="453">
        <f t="shared" si="80"/>
        <v>0</v>
      </c>
      <c r="BM13" s="453">
        <f t="shared" si="80"/>
        <v>0</v>
      </c>
      <c r="BN13" s="453">
        <f t="shared" si="80"/>
        <v>0</v>
      </c>
      <c r="BO13" s="453">
        <f t="shared" si="80"/>
        <v>0</v>
      </c>
      <c r="BP13" s="453">
        <f t="shared" si="80"/>
        <v>0</v>
      </c>
      <c r="BQ13" s="453">
        <f t="shared" si="80"/>
        <v>0</v>
      </c>
      <c r="BR13" s="426">
        <f t="shared" si="20"/>
        <v>0</v>
      </c>
    </row>
    <row r="14" spans="1:72" s="288" customFormat="1" ht="15" customHeight="1" x14ac:dyDescent="0.25">
      <c r="A14" s="446" t="s">
        <v>129</v>
      </c>
      <c r="B14" s="446"/>
      <c r="C14" s="447"/>
      <c r="D14" s="456">
        <v>242045.23</v>
      </c>
      <c r="E14" s="449" t="s">
        <v>259</v>
      </c>
      <c r="F14" s="454"/>
      <c r="G14" s="454"/>
      <c r="H14" s="454"/>
      <c r="I14" s="454"/>
      <c r="J14" s="454"/>
      <c r="K14" s="450"/>
      <c r="L14" s="450"/>
      <c r="M14" s="450"/>
      <c r="N14" s="450">
        <v>0</v>
      </c>
      <c r="O14" s="450">
        <v>0</v>
      </c>
      <c r="P14" s="450">
        <v>0</v>
      </c>
      <c r="Q14" s="450">
        <v>0</v>
      </c>
      <c r="R14" s="450">
        <v>0</v>
      </c>
      <c r="S14" s="450">
        <v>0.46750630037204199</v>
      </c>
      <c r="T14" s="450">
        <v>9.3669724456044851E-2</v>
      </c>
      <c r="U14" s="450">
        <v>0.13984882081749761</v>
      </c>
      <c r="V14" s="455">
        <v>7.5744892803712757E-2</v>
      </c>
      <c r="W14" s="450">
        <f>1-(R14+S14+T14+U14+V14)</f>
        <v>0.2232302615507028</v>
      </c>
      <c r="X14" s="450"/>
      <c r="Y14" s="450"/>
      <c r="Z14" s="451">
        <f t="shared" si="21"/>
        <v>1</v>
      </c>
      <c r="AA14" s="447"/>
      <c r="AB14" s="447"/>
      <c r="AC14" s="452">
        <f t="shared" si="62"/>
        <v>0</v>
      </c>
      <c r="AD14" s="452">
        <f t="shared" si="63"/>
        <v>0</v>
      </c>
      <c r="AE14" s="452">
        <f t="shared" si="64"/>
        <v>0</v>
      </c>
      <c r="AF14" s="452">
        <f t="shared" si="65"/>
        <v>0</v>
      </c>
      <c r="AG14" s="452">
        <f t="shared" ref="AG14" si="100">J14*$D14</f>
        <v>0</v>
      </c>
      <c r="AH14" s="452">
        <f t="shared" si="66"/>
        <v>0</v>
      </c>
      <c r="AI14" s="452">
        <f t="shared" si="67"/>
        <v>0</v>
      </c>
      <c r="AJ14" s="452">
        <f t="shared" si="68"/>
        <v>0</v>
      </c>
      <c r="AK14" s="452">
        <f t="shared" si="69"/>
        <v>0</v>
      </c>
      <c r="AL14" s="452">
        <f t="shared" si="70"/>
        <v>0</v>
      </c>
      <c r="AM14" s="452">
        <f t="shared" si="71"/>
        <v>0</v>
      </c>
      <c r="AN14" s="452">
        <f t="shared" si="72"/>
        <v>0</v>
      </c>
      <c r="AO14" s="452">
        <f t="shared" si="73"/>
        <v>0</v>
      </c>
      <c r="AP14" s="452">
        <f t="shared" si="74"/>
        <v>113157.67</v>
      </c>
      <c r="AQ14" s="452">
        <f t="shared" si="75"/>
        <v>22672.31</v>
      </c>
      <c r="AR14" s="452">
        <f t="shared" si="76"/>
        <v>33849.74</v>
      </c>
      <c r="AS14" s="452">
        <f t="shared" si="77"/>
        <v>18333.689999999999</v>
      </c>
      <c r="AT14" s="452">
        <f t="shared" si="78"/>
        <v>54031.820000000022</v>
      </c>
      <c r="AU14" s="452">
        <f t="shared" si="79"/>
        <v>0</v>
      </c>
      <c r="AV14" s="448"/>
      <c r="AW14" s="453"/>
      <c r="AX14" s="453">
        <f t="shared" ref="AX14:BN46" si="101">IF(AX$3=$E14,$D14,0)</f>
        <v>0</v>
      </c>
      <c r="AY14" s="453">
        <f t="shared" si="101"/>
        <v>0</v>
      </c>
      <c r="AZ14" s="453">
        <f t="shared" si="101"/>
        <v>0</v>
      </c>
      <c r="BA14" s="453">
        <f t="shared" si="101"/>
        <v>0</v>
      </c>
      <c r="BB14" s="453">
        <f t="shared" si="101"/>
        <v>0</v>
      </c>
      <c r="BC14" s="453">
        <f t="shared" si="101"/>
        <v>0</v>
      </c>
      <c r="BD14" s="453">
        <f t="shared" si="101"/>
        <v>0</v>
      </c>
      <c r="BE14" s="453">
        <f t="shared" si="101"/>
        <v>0</v>
      </c>
      <c r="BF14" s="453">
        <f t="shared" si="101"/>
        <v>0</v>
      </c>
      <c r="BG14" s="453">
        <f t="shared" si="101"/>
        <v>0</v>
      </c>
      <c r="BH14" s="453">
        <f t="shared" si="101"/>
        <v>0</v>
      </c>
      <c r="BI14" s="453">
        <f t="shared" si="101"/>
        <v>0</v>
      </c>
      <c r="BJ14" s="452">
        <f t="shared" si="101"/>
        <v>242045.23</v>
      </c>
      <c r="BK14" s="453">
        <f t="shared" si="101"/>
        <v>0</v>
      </c>
      <c r="BL14" s="453">
        <f t="shared" si="101"/>
        <v>0</v>
      </c>
      <c r="BM14" s="453">
        <f t="shared" si="101"/>
        <v>0</v>
      </c>
      <c r="BN14" s="453">
        <f t="shared" si="101"/>
        <v>0</v>
      </c>
      <c r="BO14" s="453">
        <f t="shared" si="80"/>
        <v>0</v>
      </c>
      <c r="BP14" s="453">
        <f t="shared" si="80"/>
        <v>0</v>
      </c>
      <c r="BQ14" s="453">
        <f t="shared" si="80"/>
        <v>0</v>
      </c>
      <c r="BR14" s="426">
        <f t="shared" si="20"/>
        <v>0</v>
      </c>
    </row>
    <row r="15" spans="1:72" s="288" customFormat="1" ht="15" customHeight="1" x14ac:dyDescent="0.25">
      <c r="A15" s="446" t="s">
        <v>129</v>
      </c>
      <c r="B15" s="446"/>
      <c r="C15" s="447"/>
      <c r="D15" s="448">
        <v>48000</v>
      </c>
      <c r="E15" s="449" t="s">
        <v>259</v>
      </c>
      <c r="F15" s="454"/>
      <c r="G15" s="454"/>
      <c r="H15" s="454"/>
      <c r="I15" s="454"/>
      <c r="J15" s="454"/>
      <c r="K15" s="450"/>
      <c r="L15" s="450"/>
      <c r="M15" s="450"/>
      <c r="N15" s="450">
        <v>0</v>
      </c>
      <c r="O15" s="450">
        <v>0</v>
      </c>
      <c r="P15" s="450">
        <v>0</v>
      </c>
      <c r="Q15" s="450">
        <v>0</v>
      </c>
      <c r="R15" s="450">
        <v>0</v>
      </c>
      <c r="S15" s="450">
        <v>0.16666666666666666</v>
      </c>
      <c r="T15" s="450">
        <v>0.25</v>
      </c>
      <c r="U15" s="450">
        <v>0.25</v>
      </c>
      <c r="V15" s="450">
        <v>0.25</v>
      </c>
      <c r="W15" s="450">
        <v>8.3333333333333329E-2</v>
      </c>
      <c r="X15" s="450"/>
      <c r="Y15" s="450"/>
      <c r="Z15" s="451">
        <f t="shared" si="21"/>
        <v>1</v>
      </c>
      <c r="AA15" s="447"/>
      <c r="AB15" s="447"/>
      <c r="AC15" s="452">
        <f t="shared" ref="AC15" si="102">F15*$D15</f>
        <v>0</v>
      </c>
      <c r="AD15" s="452">
        <f t="shared" ref="AD15" si="103">G15*$D15</f>
        <v>0</v>
      </c>
      <c r="AE15" s="452">
        <f t="shared" ref="AE15" si="104">H15*$D15</f>
        <v>0</v>
      </c>
      <c r="AF15" s="452">
        <f t="shared" ref="AF15" si="105">I15*$D15</f>
        <v>0</v>
      </c>
      <c r="AG15" s="452">
        <f t="shared" ref="AG15" si="106">J15*$D15</f>
        <v>0</v>
      </c>
      <c r="AH15" s="452">
        <f t="shared" ref="AH15" si="107">K15*$D15</f>
        <v>0</v>
      </c>
      <c r="AI15" s="452">
        <f t="shared" ref="AI15" si="108">L15*$D15</f>
        <v>0</v>
      </c>
      <c r="AJ15" s="452">
        <f t="shared" ref="AJ15" si="109">M15*$D15</f>
        <v>0</v>
      </c>
      <c r="AK15" s="452">
        <f t="shared" ref="AK15" si="110">N15*$D15</f>
        <v>0</v>
      </c>
      <c r="AL15" s="452">
        <f t="shared" ref="AL15" si="111">O15*$D15</f>
        <v>0</v>
      </c>
      <c r="AM15" s="452">
        <f t="shared" ref="AM15" si="112">P15*$D15</f>
        <v>0</v>
      </c>
      <c r="AN15" s="452">
        <f t="shared" ref="AN15" si="113">Q15*$D15</f>
        <v>0</v>
      </c>
      <c r="AO15" s="452">
        <f t="shared" ref="AO15" si="114">R15*$D15</f>
        <v>0</v>
      </c>
      <c r="AP15" s="452">
        <f t="shared" ref="AP15" si="115">S15*$D15</f>
        <v>8000</v>
      </c>
      <c r="AQ15" s="452">
        <f t="shared" ref="AQ15" si="116">T15*$D15</f>
        <v>12000</v>
      </c>
      <c r="AR15" s="452">
        <f t="shared" si="13"/>
        <v>12000</v>
      </c>
      <c r="AS15" s="452">
        <f t="shared" si="14"/>
        <v>12000</v>
      </c>
      <c r="AT15" s="452">
        <f t="shared" si="15"/>
        <v>4000</v>
      </c>
      <c r="AU15" s="452">
        <f t="shared" si="16"/>
        <v>0</v>
      </c>
      <c r="AV15" s="448"/>
      <c r="AW15" s="453"/>
      <c r="AX15" s="453">
        <f t="shared" si="101"/>
        <v>0</v>
      </c>
      <c r="AY15" s="453">
        <f t="shared" si="101"/>
        <v>0</v>
      </c>
      <c r="AZ15" s="453">
        <f t="shared" si="101"/>
        <v>0</v>
      </c>
      <c r="BA15" s="453">
        <f t="shared" si="101"/>
        <v>0</v>
      </c>
      <c r="BB15" s="453">
        <f t="shared" si="101"/>
        <v>0</v>
      </c>
      <c r="BC15" s="453">
        <f t="shared" si="101"/>
        <v>0</v>
      </c>
      <c r="BD15" s="453">
        <f t="shared" si="101"/>
        <v>0</v>
      </c>
      <c r="BE15" s="453">
        <f t="shared" si="101"/>
        <v>0</v>
      </c>
      <c r="BF15" s="453">
        <f t="shared" si="101"/>
        <v>0</v>
      </c>
      <c r="BG15" s="453">
        <f t="shared" si="101"/>
        <v>0</v>
      </c>
      <c r="BH15" s="453">
        <f t="shared" si="101"/>
        <v>0</v>
      </c>
      <c r="BI15" s="453">
        <f t="shared" si="101"/>
        <v>0</v>
      </c>
      <c r="BJ15" s="452">
        <f t="shared" si="101"/>
        <v>48000</v>
      </c>
      <c r="BK15" s="453">
        <f t="shared" si="101"/>
        <v>0</v>
      </c>
      <c r="BL15" s="453">
        <f t="shared" si="101"/>
        <v>0</v>
      </c>
      <c r="BM15" s="453">
        <f t="shared" si="101"/>
        <v>0</v>
      </c>
      <c r="BN15" s="453">
        <f t="shared" si="101"/>
        <v>0</v>
      </c>
      <c r="BO15" s="453">
        <f t="shared" si="80"/>
        <v>0</v>
      </c>
      <c r="BP15" s="453">
        <f t="shared" si="80"/>
        <v>0</v>
      </c>
      <c r="BQ15" s="453">
        <f t="shared" si="80"/>
        <v>0</v>
      </c>
      <c r="BR15" s="426">
        <f t="shared" si="20"/>
        <v>0</v>
      </c>
    </row>
    <row r="16" spans="1:72" s="288" customFormat="1" ht="15" customHeight="1" x14ac:dyDescent="0.25">
      <c r="A16" s="446" t="s">
        <v>129</v>
      </c>
      <c r="B16" s="446"/>
      <c r="C16" s="447"/>
      <c r="D16" s="448">
        <v>37200</v>
      </c>
      <c r="E16" s="449" t="s">
        <v>259</v>
      </c>
      <c r="F16" s="454"/>
      <c r="G16" s="454"/>
      <c r="H16" s="454"/>
      <c r="I16" s="454"/>
      <c r="J16" s="454"/>
      <c r="K16" s="450"/>
      <c r="L16" s="450"/>
      <c r="M16" s="450"/>
      <c r="N16" s="450">
        <v>0</v>
      </c>
      <c r="O16" s="450">
        <v>0</v>
      </c>
      <c r="P16" s="450">
        <v>0</v>
      </c>
      <c r="Q16" s="450">
        <v>0</v>
      </c>
      <c r="R16" s="450">
        <v>8.3333333333333329E-2</v>
      </c>
      <c r="S16" s="450">
        <v>0.25</v>
      </c>
      <c r="T16" s="450">
        <v>0.25</v>
      </c>
      <c r="U16" s="450">
        <v>0.25</v>
      </c>
      <c r="V16" s="450">
        <f>1-(R16+S16+T16+U16)</f>
        <v>0.16666666666666674</v>
      </c>
      <c r="W16" s="450"/>
      <c r="X16" s="450"/>
      <c r="Y16" s="450"/>
      <c r="Z16" s="451">
        <f t="shared" ref="Z16" si="117">SUM(F16:X16)</f>
        <v>1</v>
      </c>
      <c r="AA16" s="447"/>
      <c r="AB16" s="447"/>
      <c r="AC16" s="452">
        <f t="shared" ref="AC16" si="118">F16*$D16</f>
        <v>0</v>
      </c>
      <c r="AD16" s="452">
        <f t="shared" ref="AD16" si="119">G16*$D16</f>
        <v>0</v>
      </c>
      <c r="AE16" s="452">
        <f t="shared" ref="AE16" si="120">H16*$D16</f>
        <v>0</v>
      </c>
      <c r="AF16" s="452">
        <f t="shared" ref="AF16" si="121">I16*$D16</f>
        <v>0</v>
      </c>
      <c r="AG16" s="452">
        <f t="shared" ref="AG16" si="122">J16*$D16</f>
        <v>0</v>
      </c>
      <c r="AH16" s="452">
        <f t="shared" ref="AH16" si="123">K16*$D16</f>
        <v>0</v>
      </c>
      <c r="AI16" s="452">
        <f t="shared" ref="AI16" si="124">L16*$D16</f>
        <v>0</v>
      </c>
      <c r="AJ16" s="452">
        <f t="shared" ref="AJ16" si="125">M16*$D16</f>
        <v>0</v>
      </c>
      <c r="AK16" s="452">
        <f t="shared" ref="AK16" si="126">N16*$D16</f>
        <v>0</v>
      </c>
      <c r="AL16" s="452">
        <f t="shared" ref="AL16" si="127">O16*$D16</f>
        <v>0</v>
      </c>
      <c r="AM16" s="452">
        <f t="shared" ref="AM16" si="128">P16*$D16</f>
        <v>0</v>
      </c>
      <c r="AN16" s="452">
        <f t="shared" ref="AN16" si="129">Q16*$D16</f>
        <v>0</v>
      </c>
      <c r="AO16" s="452">
        <f t="shared" ref="AO16" si="130">R16*$D16</f>
        <v>3100</v>
      </c>
      <c r="AP16" s="452">
        <f t="shared" ref="AP16" si="131">S16*$D16</f>
        <v>9300</v>
      </c>
      <c r="AQ16" s="452">
        <f t="shared" ref="AQ16" si="132">T16*$D16</f>
        <v>9300</v>
      </c>
      <c r="AR16" s="452">
        <f t="shared" ref="AR16" si="133">U16*$D16</f>
        <v>9300</v>
      </c>
      <c r="AS16" s="452">
        <f t="shared" ref="AS16" si="134">V16*$D16</f>
        <v>6200.0000000000027</v>
      </c>
      <c r="AT16" s="452">
        <f t="shared" ref="AT16" si="135">W16*$D16</f>
        <v>0</v>
      </c>
      <c r="AU16" s="452">
        <f t="shared" ref="AU16" si="136">X16*$D16</f>
        <v>0</v>
      </c>
      <c r="AV16" s="448"/>
      <c r="AW16" s="453"/>
      <c r="AX16" s="453">
        <f t="shared" si="101"/>
        <v>0</v>
      </c>
      <c r="AY16" s="453">
        <f t="shared" si="101"/>
        <v>0</v>
      </c>
      <c r="AZ16" s="453">
        <f t="shared" si="101"/>
        <v>0</v>
      </c>
      <c r="BA16" s="453">
        <f t="shared" si="101"/>
        <v>0</v>
      </c>
      <c r="BB16" s="453">
        <f t="shared" si="101"/>
        <v>0</v>
      </c>
      <c r="BC16" s="453">
        <f t="shared" si="101"/>
        <v>0</v>
      </c>
      <c r="BD16" s="453">
        <f t="shared" si="101"/>
        <v>0</v>
      </c>
      <c r="BE16" s="453">
        <f t="shared" si="101"/>
        <v>0</v>
      </c>
      <c r="BF16" s="453">
        <f t="shared" si="101"/>
        <v>0</v>
      </c>
      <c r="BG16" s="453">
        <f t="shared" si="101"/>
        <v>0</v>
      </c>
      <c r="BH16" s="453">
        <f t="shared" si="101"/>
        <v>0</v>
      </c>
      <c r="BI16" s="453">
        <f t="shared" si="101"/>
        <v>0</v>
      </c>
      <c r="BJ16" s="452">
        <f t="shared" si="101"/>
        <v>37200</v>
      </c>
      <c r="BK16" s="453">
        <f t="shared" si="101"/>
        <v>0</v>
      </c>
      <c r="BL16" s="453">
        <f t="shared" si="101"/>
        <v>0</v>
      </c>
      <c r="BM16" s="453">
        <f t="shared" si="101"/>
        <v>0</v>
      </c>
      <c r="BN16" s="453">
        <f t="shared" si="101"/>
        <v>0</v>
      </c>
      <c r="BO16" s="453">
        <f t="shared" si="80"/>
        <v>0</v>
      </c>
      <c r="BP16" s="453">
        <f t="shared" si="80"/>
        <v>0</v>
      </c>
      <c r="BQ16" s="453">
        <f t="shared" si="80"/>
        <v>0</v>
      </c>
      <c r="BR16" s="426">
        <f t="shared" si="20"/>
        <v>0</v>
      </c>
    </row>
    <row r="17" spans="1:72" s="288" customFormat="1" ht="15" customHeight="1" x14ac:dyDescent="0.25">
      <c r="A17" s="446" t="s">
        <v>129</v>
      </c>
      <c r="B17" s="446"/>
      <c r="C17" s="447"/>
      <c r="D17" s="448">
        <v>18938.400000000001</v>
      </c>
      <c r="E17" s="449" t="s">
        <v>259</v>
      </c>
      <c r="F17" s="454"/>
      <c r="G17" s="454"/>
      <c r="H17" s="454"/>
      <c r="I17" s="454"/>
      <c r="J17" s="454"/>
      <c r="K17" s="450"/>
      <c r="L17" s="450"/>
      <c r="M17" s="450"/>
      <c r="N17" s="450">
        <v>0</v>
      </c>
      <c r="O17" s="450">
        <v>0</v>
      </c>
      <c r="P17" s="450">
        <v>0</v>
      </c>
      <c r="Q17" s="450">
        <v>0</v>
      </c>
      <c r="R17" s="450">
        <v>0</v>
      </c>
      <c r="S17" s="450">
        <v>0</v>
      </c>
      <c r="T17" s="450">
        <v>1</v>
      </c>
      <c r="U17" s="450">
        <v>0</v>
      </c>
      <c r="V17" s="450"/>
      <c r="W17" s="450"/>
      <c r="X17" s="450"/>
      <c r="Y17" s="450"/>
      <c r="Z17" s="451">
        <f t="shared" ref="Z17" si="137">SUM(F17:X17)</f>
        <v>1</v>
      </c>
      <c r="AA17" s="447"/>
      <c r="AB17" s="447"/>
      <c r="AC17" s="452">
        <f t="shared" ref="AC17:AL20" si="138">F17*$D17</f>
        <v>0</v>
      </c>
      <c r="AD17" s="452">
        <f t="shared" si="138"/>
        <v>0</v>
      </c>
      <c r="AE17" s="452">
        <f t="shared" si="138"/>
        <v>0</v>
      </c>
      <c r="AF17" s="452">
        <f t="shared" si="138"/>
        <v>0</v>
      </c>
      <c r="AG17" s="452">
        <f t="shared" si="138"/>
        <v>0</v>
      </c>
      <c r="AH17" s="452">
        <f t="shared" si="138"/>
        <v>0</v>
      </c>
      <c r="AI17" s="452">
        <f t="shared" si="138"/>
        <v>0</v>
      </c>
      <c r="AJ17" s="452">
        <f t="shared" si="138"/>
        <v>0</v>
      </c>
      <c r="AK17" s="452">
        <f t="shared" si="138"/>
        <v>0</v>
      </c>
      <c r="AL17" s="452">
        <f t="shared" si="138"/>
        <v>0</v>
      </c>
      <c r="AM17" s="452">
        <f t="shared" ref="AM17:AU20" si="139">P17*$D17</f>
        <v>0</v>
      </c>
      <c r="AN17" s="452">
        <f t="shared" si="139"/>
        <v>0</v>
      </c>
      <c r="AO17" s="452">
        <f t="shared" si="139"/>
        <v>0</v>
      </c>
      <c r="AP17" s="452">
        <f t="shared" si="139"/>
        <v>0</v>
      </c>
      <c r="AQ17" s="452">
        <f t="shared" si="139"/>
        <v>18938.400000000001</v>
      </c>
      <c r="AR17" s="452">
        <f t="shared" si="139"/>
        <v>0</v>
      </c>
      <c r="AS17" s="452">
        <f t="shared" si="139"/>
        <v>0</v>
      </c>
      <c r="AT17" s="452">
        <f t="shared" si="139"/>
        <v>0</v>
      </c>
      <c r="AU17" s="452">
        <f t="shared" si="139"/>
        <v>0</v>
      </c>
      <c r="AV17" s="448"/>
      <c r="AW17" s="453"/>
      <c r="AX17" s="453">
        <f t="shared" ref="AX17:BG17" si="140">IF(AX$3=$E17,$D17,0)</f>
        <v>0</v>
      </c>
      <c r="AY17" s="453">
        <f t="shared" si="140"/>
        <v>0</v>
      </c>
      <c r="AZ17" s="453">
        <f t="shared" si="140"/>
        <v>0</v>
      </c>
      <c r="BA17" s="453">
        <f t="shared" si="140"/>
        <v>0</v>
      </c>
      <c r="BB17" s="453">
        <f t="shared" si="140"/>
        <v>0</v>
      </c>
      <c r="BC17" s="453">
        <f t="shared" si="140"/>
        <v>0</v>
      </c>
      <c r="BD17" s="453">
        <f t="shared" si="140"/>
        <v>0</v>
      </c>
      <c r="BE17" s="453">
        <f t="shared" si="140"/>
        <v>0</v>
      </c>
      <c r="BF17" s="453">
        <f t="shared" si="140"/>
        <v>0</v>
      </c>
      <c r="BG17" s="453">
        <f t="shared" si="140"/>
        <v>0</v>
      </c>
      <c r="BH17" s="453">
        <f t="shared" si="101"/>
        <v>0</v>
      </c>
      <c r="BI17" s="453">
        <f t="shared" si="101"/>
        <v>0</v>
      </c>
      <c r="BJ17" s="452">
        <f t="shared" si="101"/>
        <v>18938.400000000001</v>
      </c>
      <c r="BK17" s="453">
        <f t="shared" si="101"/>
        <v>0</v>
      </c>
      <c r="BL17" s="453">
        <f t="shared" si="101"/>
        <v>0</v>
      </c>
      <c r="BM17" s="453">
        <f t="shared" si="101"/>
        <v>0</v>
      </c>
      <c r="BN17" s="453">
        <f t="shared" si="101"/>
        <v>0</v>
      </c>
      <c r="BO17" s="453">
        <f t="shared" si="80"/>
        <v>0</v>
      </c>
      <c r="BP17" s="453">
        <f t="shared" si="80"/>
        <v>0</v>
      </c>
      <c r="BQ17" s="453">
        <f t="shared" si="80"/>
        <v>0</v>
      </c>
      <c r="BR17" s="426">
        <f t="shared" si="20"/>
        <v>0</v>
      </c>
    </row>
    <row r="18" spans="1:72" s="288" customFormat="1" x14ac:dyDescent="0.25">
      <c r="A18" s="446" t="s">
        <v>129</v>
      </c>
      <c r="B18" s="446"/>
      <c r="C18" s="457"/>
      <c r="D18" s="448">
        <v>66521.42</v>
      </c>
      <c r="E18" s="449" t="s">
        <v>282</v>
      </c>
      <c r="F18" s="454"/>
      <c r="G18" s="454"/>
      <c r="H18" s="454"/>
      <c r="I18" s="454"/>
      <c r="J18" s="454"/>
      <c r="K18" s="450"/>
      <c r="L18" s="450"/>
      <c r="M18" s="450"/>
      <c r="N18" s="450">
        <v>0</v>
      </c>
      <c r="O18" s="450">
        <v>0</v>
      </c>
      <c r="P18" s="450">
        <v>0</v>
      </c>
      <c r="Q18" s="450">
        <v>0</v>
      </c>
      <c r="R18" s="450">
        <v>0</v>
      </c>
      <c r="S18" s="450">
        <v>0</v>
      </c>
      <c r="T18" s="450">
        <v>0</v>
      </c>
      <c r="U18" s="450">
        <v>1</v>
      </c>
      <c r="V18" s="450"/>
      <c r="W18" s="450"/>
      <c r="X18" s="450"/>
      <c r="Y18" s="450"/>
      <c r="Z18" s="451">
        <f t="shared" ref="Z18" si="141">SUM(F18:X18)</f>
        <v>1</v>
      </c>
      <c r="AA18" s="447"/>
      <c r="AB18" s="447"/>
      <c r="AC18" s="452">
        <f t="shared" si="138"/>
        <v>0</v>
      </c>
      <c r="AD18" s="452">
        <f t="shared" si="138"/>
        <v>0</v>
      </c>
      <c r="AE18" s="452">
        <f t="shared" si="138"/>
        <v>0</v>
      </c>
      <c r="AF18" s="452">
        <f t="shared" si="138"/>
        <v>0</v>
      </c>
      <c r="AG18" s="452">
        <f t="shared" si="138"/>
        <v>0</v>
      </c>
      <c r="AH18" s="452">
        <f t="shared" si="138"/>
        <v>0</v>
      </c>
      <c r="AI18" s="452">
        <f t="shared" si="138"/>
        <v>0</v>
      </c>
      <c r="AJ18" s="452">
        <f t="shared" si="138"/>
        <v>0</v>
      </c>
      <c r="AK18" s="452">
        <f t="shared" si="138"/>
        <v>0</v>
      </c>
      <c r="AL18" s="452">
        <f t="shared" si="138"/>
        <v>0</v>
      </c>
      <c r="AM18" s="452">
        <f t="shared" si="139"/>
        <v>0</v>
      </c>
      <c r="AN18" s="452">
        <f t="shared" si="139"/>
        <v>0</v>
      </c>
      <c r="AO18" s="452">
        <f t="shared" si="139"/>
        <v>0</v>
      </c>
      <c r="AP18" s="452">
        <f t="shared" si="139"/>
        <v>0</v>
      </c>
      <c r="AQ18" s="452">
        <f t="shared" si="139"/>
        <v>0</v>
      </c>
      <c r="AR18" s="452">
        <f t="shared" si="139"/>
        <v>66521.42</v>
      </c>
      <c r="AS18" s="452">
        <f t="shared" si="139"/>
        <v>0</v>
      </c>
      <c r="AT18" s="452">
        <f t="shared" si="139"/>
        <v>0</v>
      </c>
      <c r="AU18" s="452">
        <f t="shared" si="139"/>
        <v>0</v>
      </c>
      <c r="AV18" s="448"/>
      <c r="AW18" s="453"/>
      <c r="AX18" s="453">
        <f t="shared" si="80"/>
        <v>0</v>
      </c>
      <c r="AY18" s="453">
        <f t="shared" si="80"/>
        <v>0</v>
      </c>
      <c r="AZ18" s="453">
        <f t="shared" si="80"/>
        <v>0</v>
      </c>
      <c r="BA18" s="453">
        <f t="shared" si="80"/>
        <v>0</v>
      </c>
      <c r="BB18" s="453">
        <f t="shared" si="80"/>
        <v>0</v>
      </c>
      <c r="BC18" s="453">
        <f t="shared" si="80"/>
        <v>0</v>
      </c>
      <c r="BD18" s="453">
        <f t="shared" si="80"/>
        <v>0</v>
      </c>
      <c r="BE18" s="453">
        <f t="shared" si="80"/>
        <v>0</v>
      </c>
      <c r="BF18" s="453">
        <f t="shared" si="80"/>
        <v>0</v>
      </c>
      <c r="BG18" s="453">
        <f t="shared" si="80"/>
        <v>0</v>
      </c>
      <c r="BH18" s="453">
        <f t="shared" si="80"/>
        <v>0</v>
      </c>
      <c r="BI18" s="453">
        <f t="shared" si="80"/>
        <v>0</v>
      </c>
      <c r="BJ18" s="452">
        <f t="shared" si="80"/>
        <v>0</v>
      </c>
      <c r="BK18" s="453">
        <f t="shared" si="80"/>
        <v>0</v>
      </c>
      <c r="BL18" s="453">
        <f t="shared" si="80"/>
        <v>0</v>
      </c>
      <c r="BM18" s="453">
        <f t="shared" si="80"/>
        <v>66521.42</v>
      </c>
      <c r="BN18" s="453">
        <f t="shared" si="80"/>
        <v>0</v>
      </c>
      <c r="BO18" s="453">
        <f t="shared" si="80"/>
        <v>0</v>
      </c>
      <c r="BP18" s="453">
        <f t="shared" si="80"/>
        <v>0</v>
      </c>
      <c r="BQ18" s="453">
        <f t="shared" si="80"/>
        <v>0</v>
      </c>
      <c r="BR18" s="426">
        <f t="shared" si="20"/>
        <v>0</v>
      </c>
    </row>
    <row r="19" spans="1:72" s="288" customFormat="1" ht="15" customHeight="1" x14ac:dyDescent="0.25">
      <c r="A19" s="446" t="s">
        <v>129</v>
      </c>
      <c r="B19" s="446"/>
      <c r="C19" s="447"/>
      <c r="D19" s="448">
        <v>1762</v>
      </c>
      <c r="E19" s="449" t="s">
        <v>258</v>
      </c>
      <c r="F19" s="454"/>
      <c r="G19" s="454"/>
      <c r="H19" s="454"/>
      <c r="I19" s="454"/>
      <c r="J19" s="454"/>
      <c r="K19" s="450">
        <v>0</v>
      </c>
      <c r="L19" s="451">
        <v>0</v>
      </c>
      <c r="M19" s="450">
        <v>0</v>
      </c>
      <c r="N19" s="450">
        <v>0</v>
      </c>
      <c r="O19" s="450">
        <v>0</v>
      </c>
      <c r="P19" s="450">
        <v>0</v>
      </c>
      <c r="Q19" s="450">
        <v>0</v>
      </c>
      <c r="R19" s="450">
        <v>0</v>
      </c>
      <c r="S19" s="450">
        <v>1</v>
      </c>
      <c r="T19" s="450">
        <v>0</v>
      </c>
      <c r="U19" s="450">
        <v>0</v>
      </c>
      <c r="V19" s="450">
        <v>0</v>
      </c>
      <c r="W19" s="450">
        <v>0</v>
      </c>
      <c r="X19" s="450"/>
      <c r="Y19" s="450"/>
      <c r="Z19" s="451">
        <f>SUM(F19:X19)</f>
        <v>1</v>
      </c>
      <c r="AA19" s="447"/>
      <c r="AB19" s="447"/>
      <c r="AC19" s="452">
        <f t="shared" si="138"/>
        <v>0</v>
      </c>
      <c r="AD19" s="452">
        <f t="shared" si="138"/>
        <v>0</v>
      </c>
      <c r="AE19" s="452">
        <f t="shared" si="138"/>
        <v>0</v>
      </c>
      <c r="AF19" s="452">
        <f t="shared" si="138"/>
        <v>0</v>
      </c>
      <c r="AG19" s="452">
        <f t="shared" si="138"/>
        <v>0</v>
      </c>
      <c r="AH19" s="452">
        <f t="shared" si="138"/>
        <v>0</v>
      </c>
      <c r="AI19" s="452">
        <f t="shared" si="138"/>
        <v>0</v>
      </c>
      <c r="AJ19" s="452">
        <f t="shared" si="138"/>
        <v>0</v>
      </c>
      <c r="AK19" s="452">
        <f t="shared" si="138"/>
        <v>0</v>
      </c>
      <c r="AL19" s="452">
        <f t="shared" si="138"/>
        <v>0</v>
      </c>
      <c r="AM19" s="452">
        <f t="shared" si="139"/>
        <v>0</v>
      </c>
      <c r="AN19" s="452">
        <f t="shared" si="139"/>
        <v>0</v>
      </c>
      <c r="AO19" s="452">
        <f t="shared" si="139"/>
        <v>0</v>
      </c>
      <c r="AP19" s="452">
        <f t="shared" si="139"/>
        <v>1762</v>
      </c>
      <c r="AQ19" s="452">
        <f t="shared" si="139"/>
        <v>0</v>
      </c>
      <c r="AR19" s="452">
        <f t="shared" si="139"/>
        <v>0</v>
      </c>
      <c r="AS19" s="452">
        <f t="shared" si="139"/>
        <v>0</v>
      </c>
      <c r="AT19" s="452">
        <f t="shared" si="139"/>
        <v>0</v>
      </c>
      <c r="AU19" s="452">
        <f t="shared" si="139"/>
        <v>0</v>
      </c>
      <c r="AV19" s="448"/>
      <c r="AW19" s="453"/>
      <c r="AX19" s="453">
        <f t="shared" si="80"/>
        <v>0</v>
      </c>
      <c r="AY19" s="453">
        <f t="shared" si="80"/>
        <v>0</v>
      </c>
      <c r="AZ19" s="453">
        <f t="shared" si="80"/>
        <v>0</v>
      </c>
      <c r="BA19" s="453">
        <f t="shared" si="80"/>
        <v>0</v>
      </c>
      <c r="BB19" s="453">
        <f t="shared" si="80"/>
        <v>0</v>
      </c>
      <c r="BC19" s="453">
        <f t="shared" si="80"/>
        <v>0</v>
      </c>
      <c r="BD19" s="453">
        <f t="shared" si="80"/>
        <v>0</v>
      </c>
      <c r="BE19" s="453">
        <f t="shared" si="80"/>
        <v>0</v>
      </c>
      <c r="BF19" s="453">
        <f t="shared" si="80"/>
        <v>0</v>
      </c>
      <c r="BG19" s="453">
        <f t="shared" si="80"/>
        <v>0</v>
      </c>
      <c r="BH19" s="453">
        <f t="shared" si="80"/>
        <v>0</v>
      </c>
      <c r="BI19" s="453">
        <f t="shared" si="80"/>
        <v>0</v>
      </c>
      <c r="BJ19" s="452">
        <f t="shared" si="80"/>
        <v>0</v>
      </c>
      <c r="BK19" s="453">
        <f t="shared" si="80"/>
        <v>1762</v>
      </c>
      <c r="BL19" s="453">
        <f t="shared" si="80"/>
        <v>0</v>
      </c>
      <c r="BM19" s="453">
        <f t="shared" si="80"/>
        <v>0</v>
      </c>
      <c r="BN19" s="453">
        <f t="shared" si="80"/>
        <v>0</v>
      </c>
      <c r="BO19" s="453">
        <f t="shared" si="80"/>
        <v>0</v>
      </c>
      <c r="BP19" s="453">
        <f t="shared" si="80"/>
        <v>0</v>
      </c>
      <c r="BQ19" s="453">
        <f t="shared" si="80"/>
        <v>0</v>
      </c>
      <c r="BR19" s="426">
        <f t="shared" si="20"/>
        <v>0</v>
      </c>
    </row>
    <row r="20" spans="1:72" s="288" customFormat="1" ht="15" customHeight="1" x14ac:dyDescent="0.25">
      <c r="A20" s="446" t="s">
        <v>129</v>
      </c>
      <c r="B20" s="446"/>
      <c r="C20" s="447"/>
      <c r="D20" s="448">
        <v>1278.6400000000001</v>
      </c>
      <c r="E20" s="449" t="s">
        <v>258</v>
      </c>
      <c r="F20" s="454"/>
      <c r="G20" s="454"/>
      <c r="H20" s="454"/>
      <c r="I20" s="454"/>
      <c r="J20" s="454"/>
      <c r="K20" s="450">
        <v>0</v>
      </c>
      <c r="L20" s="451">
        <v>0</v>
      </c>
      <c r="M20" s="450">
        <v>0</v>
      </c>
      <c r="N20" s="450">
        <v>0</v>
      </c>
      <c r="O20" s="450">
        <v>0</v>
      </c>
      <c r="P20" s="450">
        <v>0</v>
      </c>
      <c r="Q20" s="450">
        <v>0</v>
      </c>
      <c r="R20" s="450">
        <v>0</v>
      </c>
      <c r="S20" s="450">
        <v>1</v>
      </c>
      <c r="T20" s="450">
        <v>0</v>
      </c>
      <c r="U20" s="450">
        <v>0</v>
      </c>
      <c r="V20" s="450">
        <v>0</v>
      </c>
      <c r="W20" s="450">
        <v>0</v>
      </c>
      <c r="X20" s="450"/>
      <c r="Y20" s="450"/>
      <c r="Z20" s="451">
        <f>SUM(F20:X20)</f>
        <v>1</v>
      </c>
      <c r="AA20" s="447"/>
      <c r="AB20" s="447"/>
      <c r="AC20" s="452">
        <f t="shared" si="138"/>
        <v>0</v>
      </c>
      <c r="AD20" s="452">
        <f t="shared" si="138"/>
        <v>0</v>
      </c>
      <c r="AE20" s="452">
        <f t="shared" si="138"/>
        <v>0</v>
      </c>
      <c r="AF20" s="452">
        <f t="shared" si="138"/>
        <v>0</v>
      </c>
      <c r="AG20" s="452">
        <f t="shared" si="138"/>
        <v>0</v>
      </c>
      <c r="AH20" s="452">
        <f t="shared" si="138"/>
        <v>0</v>
      </c>
      <c r="AI20" s="452">
        <f t="shared" si="138"/>
        <v>0</v>
      </c>
      <c r="AJ20" s="452">
        <f t="shared" si="138"/>
        <v>0</v>
      </c>
      <c r="AK20" s="452">
        <f t="shared" si="138"/>
        <v>0</v>
      </c>
      <c r="AL20" s="452">
        <f t="shared" si="138"/>
        <v>0</v>
      </c>
      <c r="AM20" s="452">
        <f t="shared" si="139"/>
        <v>0</v>
      </c>
      <c r="AN20" s="452">
        <f t="shared" si="139"/>
        <v>0</v>
      </c>
      <c r="AO20" s="452">
        <f t="shared" si="139"/>
        <v>0</v>
      </c>
      <c r="AP20" s="452">
        <f t="shared" si="139"/>
        <v>1278.6400000000001</v>
      </c>
      <c r="AQ20" s="452">
        <f t="shared" si="139"/>
        <v>0</v>
      </c>
      <c r="AR20" s="452">
        <f t="shared" si="139"/>
        <v>0</v>
      </c>
      <c r="AS20" s="452">
        <f t="shared" si="139"/>
        <v>0</v>
      </c>
      <c r="AT20" s="452">
        <f t="shared" si="139"/>
        <v>0</v>
      </c>
      <c r="AU20" s="452">
        <f t="shared" si="139"/>
        <v>0</v>
      </c>
      <c r="AV20" s="448"/>
      <c r="AW20" s="453"/>
      <c r="AX20" s="453">
        <f t="shared" ref="AX20:BQ21" si="142">IF(AX$3=$E20,$D20,0)</f>
        <v>0</v>
      </c>
      <c r="AY20" s="453">
        <f t="shared" si="142"/>
        <v>0</v>
      </c>
      <c r="AZ20" s="453">
        <f t="shared" si="142"/>
        <v>0</v>
      </c>
      <c r="BA20" s="453">
        <f t="shared" si="142"/>
        <v>0</v>
      </c>
      <c r="BB20" s="453">
        <f t="shared" si="142"/>
        <v>0</v>
      </c>
      <c r="BC20" s="453">
        <f t="shared" si="142"/>
        <v>0</v>
      </c>
      <c r="BD20" s="453">
        <f t="shared" si="142"/>
        <v>0</v>
      </c>
      <c r="BE20" s="453">
        <f t="shared" si="142"/>
        <v>0</v>
      </c>
      <c r="BF20" s="453">
        <f t="shared" si="142"/>
        <v>0</v>
      </c>
      <c r="BG20" s="453">
        <f t="shared" si="142"/>
        <v>0</v>
      </c>
      <c r="BH20" s="453">
        <f t="shared" si="142"/>
        <v>0</v>
      </c>
      <c r="BI20" s="453">
        <f t="shared" si="142"/>
        <v>0</v>
      </c>
      <c r="BJ20" s="452">
        <f t="shared" si="142"/>
        <v>0</v>
      </c>
      <c r="BK20" s="453">
        <f t="shared" si="142"/>
        <v>1278.6400000000001</v>
      </c>
      <c r="BL20" s="453">
        <f t="shared" si="142"/>
        <v>0</v>
      </c>
      <c r="BM20" s="453">
        <f t="shared" si="142"/>
        <v>0</v>
      </c>
      <c r="BN20" s="453">
        <f t="shared" si="142"/>
        <v>0</v>
      </c>
      <c r="BO20" s="453">
        <f t="shared" si="142"/>
        <v>0</v>
      </c>
      <c r="BP20" s="453">
        <f t="shared" si="142"/>
        <v>0</v>
      </c>
      <c r="BQ20" s="453">
        <f t="shared" si="142"/>
        <v>0</v>
      </c>
      <c r="BR20" s="426">
        <f t="shared" ref="BR20" si="143">SUM(AC20:AV20)-SUM(AX20:BQ20)</f>
        <v>0</v>
      </c>
    </row>
    <row r="21" spans="1:72" s="288" customFormat="1" ht="15" customHeight="1" x14ac:dyDescent="0.25">
      <c r="A21" s="446" t="s">
        <v>129</v>
      </c>
      <c r="B21" s="446"/>
      <c r="C21" s="447"/>
      <c r="D21" s="448">
        <v>37470.82</v>
      </c>
      <c r="E21" s="449" t="s">
        <v>259</v>
      </c>
      <c r="F21" s="454"/>
      <c r="G21" s="454"/>
      <c r="H21" s="454"/>
      <c r="I21" s="454"/>
      <c r="J21" s="454"/>
      <c r="K21" s="450">
        <v>0</v>
      </c>
      <c r="L21" s="451">
        <v>0</v>
      </c>
      <c r="M21" s="450">
        <v>0</v>
      </c>
      <c r="N21" s="450">
        <v>0</v>
      </c>
      <c r="O21" s="450">
        <v>0</v>
      </c>
      <c r="P21" s="450">
        <v>0</v>
      </c>
      <c r="Q21" s="450">
        <v>0</v>
      </c>
      <c r="R21" s="450">
        <v>0</v>
      </c>
      <c r="S21" s="450">
        <v>0.25</v>
      </c>
      <c r="T21" s="450">
        <v>0.12509734241204223</v>
      </c>
      <c r="U21" s="450">
        <v>0.25</v>
      </c>
      <c r="V21" s="450">
        <v>0.25</v>
      </c>
      <c r="W21" s="450">
        <f>1-(V21+U21+T21+S21)</f>
        <v>0.12490265758795771</v>
      </c>
      <c r="X21" s="450"/>
      <c r="Y21" s="450"/>
      <c r="Z21" s="451">
        <f>SUM(F21:X21)</f>
        <v>1</v>
      </c>
      <c r="AA21" s="447"/>
      <c r="AB21" s="447"/>
      <c r="AC21" s="452">
        <f t="shared" ref="AC21" si="144">F21*$D21</f>
        <v>0</v>
      </c>
      <c r="AD21" s="452">
        <f t="shared" ref="AD21" si="145">G21*$D21</f>
        <v>0</v>
      </c>
      <c r="AE21" s="452">
        <f t="shared" ref="AE21" si="146">H21*$D21</f>
        <v>0</v>
      </c>
      <c r="AF21" s="452">
        <f t="shared" ref="AF21" si="147">I21*$D21</f>
        <v>0</v>
      </c>
      <c r="AG21" s="452">
        <f t="shared" ref="AG21" si="148">J21*$D21</f>
        <v>0</v>
      </c>
      <c r="AH21" s="452">
        <f t="shared" ref="AH21" si="149">K21*$D21</f>
        <v>0</v>
      </c>
      <c r="AI21" s="452">
        <f t="shared" ref="AI21" si="150">L21*$D21</f>
        <v>0</v>
      </c>
      <c r="AJ21" s="452">
        <f t="shared" ref="AJ21" si="151">M21*$D21</f>
        <v>0</v>
      </c>
      <c r="AK21" s="452">
        <f t="shared" ref="AK21" si="152">N21*$D21</f>
        <v>0</v>
      </c>
      <c r="AL21" s="452">
        <f t="shared" ref="AL21" si="153">O21*$D21</f>
        <v>0</v>
      </c>
      <c r="AM21" s="452">
        <f t="shared" ref="AM21" si="154">P21*$D21</f>
        <v>0</v>
      </c>
      <c r="AN21" s="452">
        <f t="shared" ref="AN21" si="155">Q21*$D21</f>
        <v>0</v>
      </c>
      <c r="AO21" s="452">
        <f t="shared" ref="AO21" si="156">R21*$D21</f>
        <v>0</v>
      </c>
      <c r="AP21" s="452">
        <f t="shared" ref="AP21" si="157">S21*$D21</f>
        <v>9367.7049999999999</v>
      </c>
      <c r="AQ21" s="452">
        <f t="shared" ref="AQ21" si="158">T21*$D21</f>
        <v>4687.5</v>
      </c>
      <c r="AR21" s="452">
        <f t="shared" ref="AR21" si="159">U21*$D21</f>
        <v>9367.7049999999999</v>
      </c>
      <c r="AS21" s="452">
        <f t="shared" ref="AS21" si="160">V21*$D21</f>
        <v>9367.7049999999999</v>
      </c>
      <c r="AT21" s="452">
        <f t="shared" ref="AT21" si="161">W21*$D21</f>
        <v>4680.2049999999972</v>
      </c>
      <c r="AU21" s="452">
        <f t="shared" ref="AU21" si="162">X21*$D21</f>
        <v>0</v>
      </c>
      <c r="AV21" s="448"/>
      <c r="AW21" s="453"/>
      <c r="AX21" s="453">
        <f t="shared" si="142"/>
        <v>0</v>
      </c>
      <c r="AY21" s="453">
        <f t="shared" si="142"/>
        <v>0</v>
      </c>
      <c r="AZ21" s="453">
        <f t="shared" si="142"/>
        <v>0</v>
      </c>
      <c r="BA21" s="453">
        <f t="shared" si="142"/>
        <v>0</v>
      </c>
      <c r="BB21" s="453">
        <f t="shared" si="142"/>
        <v>0</v>
      </c>
      <c r="BC21" s="453">
        <f t="shared" si="142"/>
        <v>0</v>
      </c>
      <c r="BD21" s="453">
        <f t="shared" si="142"/>
        <v>0</v>
      </c>
      <c r="BE21" s="453">
        <f t="shared" si="142"/>
        <v>0</v>
      </c>
      <c r="BF21" s="453">
        <f t="shared" si="142"/>
        <v>0</v>
      </c>
      <c r="BG21" s="453">
        <f t="shared" si="142"/>
        <v>0</v>
      </c>
      <c r="BH21" s="453">
        <f t="shared" si="142"/>
        <v>0</v>
      </c>
      <c r="BI21" s="453">
        <f t="shared" si="142"/>
        <v>0</v>
      </c>
      <c r="BJ21" s="452">
        <f t="shared" si="142"/>
        <v>37470.82</v>
      </c>
      <c r="BK21" s="453">
        <f t="shared" si="142"/>
        <v>0</v>
      </c>
      <c r="BL21" s="453">
        <f t="shared" si="142"/>
        <v>0</v>
      </c>
      <c r="BM21" s="453">
        <f t="shared" si="142"/>
        <v>0</v>
      </c>
      <c r="BN21" s="453">
        <f t="shared" si="142"/>
        <v>0</v>
      </c>
      <c r="BO21" s="453">
        <f t="shared" si="142"/>
        <v>0</v>
      </c>
      <c r="BP21" s="453">
        <f t="shared" si="142"/>
        <v>0</v>
      </c>
      <c r="BQ21" s="453">
        <f t="shared" si="142"/>
        <v>0</v>
      </c>
      <c r="BR21" s="426">
        <f t="shared" ref="BR21" si="163">SUM(AC21:AV21)-SUM(AX21:BQ21)</f>
        <v>0</v>
      </c>
    </row>
    <row r="22" spans="1:72" ht="15" customHeight="1" x14ac:dyDescent="0.25">
      <c r="A22" s="446" t="s">
        <v>130</v>
      </c>
      <c r="B22" s="446"/>
      <c r="C22" s="447"/>
      <c r="D22" s="448">
        <v>2772876.18</v>
      </c>
      <c r="E22" s="447" t="s">
        <v>197</v>
      </c>
      <c r="F22" s="458"/>
      <c r="G22" s="458"/>
      <c r="H22" s="458"/>
      <c r="I22" s="458">
        <v>0</v>
      </c>
      <c r="J22" s="458"/>
      <c r="K22" s="458">
        <v>7.4766353252744222E-2</v>
      </c>
      <c r="L22" s="458">
        <v>5.6074764942302374E-2</v>
      </c>
      <c r="M22" s="458">
        <v>7.4766353250000001E-2</v>
      </c>
      <c r="N22" s="458">
        <v>3.7383176626372111E-2</v>
      </c>
      <c r="O22" s="458">
        <v>0.26168224359733216</v>
      </c>
      <c r="P22" s="458">
        <v>5.6074765913276363E-2</v>
      </c>
      <c r="Q22" s="458">
        <v>0.14953270650548844</v>
      </c>
      <c r="R22" s="458">
        <v>4.6728972000112889E-2</v>
      </c>
      <c r="S22" s="458">
        <v>0</v>
      </c>
      <c r="T22" s="458">
        <v>0.14953270650548844</v>
      </c>
      <c r="U22" s="458">
        <v>5.6074764939558173E-2</v>
      </c>
      <c r="V22" s="458">
        <f>1-(I22+J22+K22+L22+M22+N22+O22+P22+Q22+R22+S22+T22+U22)</f>
        <v>3.7383192467324911E-2</v>
      </c>
      <c r="W22" s="458"/>
      <c r="X22" s="422">
        <f>1-(W22+V22+U22+T22+S22+R22+Q22+P22+O22+N22+M22+L22+K22+J22+I22)</f>
        <v>0</v>
      </c>
      <c r="Y22" s="459"/>
      <c r="Z22" s="451">
        <f t="shared" si="21"/>
        <v>1</v>
      </c>
      <c r="AA22" s="447"/>
      <c r="AB22" s="447"/>
      <c r="AC22" s="453">
        <f t="shared" si="0"/>
        <v>0</v>
      </c>
      <c r="AD22" s="448">
        <f t="shared" si="1"/>
        <v>0</v>
      </c>
      <c r="AE22" s="448">
        <f t="shared" si="2"/>
        <v>0</v>
      </c>
      <c r="AF22" s="448">
        <f>I22*$D22</f>
        <v>0</v>
      </c>
      <c r="AG22" s="448">
        <f>J22*$D22</f>
        <v>0</v>
      </c>
      <c r="AH22" s="448">
        <f t="shared" si="22"/>
        <v>207317.84</v>
      </c>
      <c r="AI22" s="448">
        <f t="shared" si="23"/>
        <v>155488.38000760935</v>
      </c>
      <c r="AJ22" s="448">
        <f t="shared" si="24"/>
        <v>207317.8399923906</v>
      </c>
      <c r="AK22" s="448">
        <f>N22*$D22</f>
        <v>103658.92</v>
      </c>
      <c r="AL22" s="448">
        <f>O22*$D22</f>
        <v>725612.46</v>
      </c>
      <c r="AM22" s="452">
        <f t="shared" si="8"/>
        <v>155488.38269999999</v>
      </c>
      <c r="AN22" s="452">
        <f t="shared" si="9"/>
        <v>414635.68</v>
      </c>
      <c r="AO22" s="452">
        <f t="shared" si="10"/>
        <v>129573.65337499999</v>
      </c>
      <c r="AP22" s="452">
        <f t="shared" si="11"/>
        <v>0</v>
      </c>
      <c r="AQ22" s="452">
        <f t="shared" si="12"/>
        <v>414635.68</v>
      </c>
      <c r="AR22" s="452">
        <f t="shared" si="13"/>
        <v>155488.38</v>
      </c>
      <c r="AS22" s="452">
        <f t="shared" si="14"/>
        <v>103658.96392500067</v>
      </c>
      <c r="AT22" s="452">
        <f t="shared" si="15"/>
        <v>0</v>
      </c>
      <c r="AU22" s="453">
        <f t="shared" si="16"/>
        <v>0</v>
      </c>
      <c r="AV22" s="453"/>
      <c r="AW22" s="453"/>
      <c r="AX22" s="453">
        <f t="shared" si="17"/>
        <v>0</v>
      </c>
      <c r="AY22" s="452">
        <f t="shared" si="17"/>
        <v>0</v>
      </c>
      <c r="AZ22" s="452">
        <f t="shared" si="17"/>
        <v>0</v>
      </c>
      <c r="BA22" s="452">
        <f t="shared" si="17"/>
        <v>2772876.18</v>
      </c>
      <c r="BB22" s="452">
        <f t="shared" si="17"/>
        <v>0</v>
      </c>
      <c r="BC22" s="452">
        <f t="shared" si="17"/>
        <v>0</v>
      </c>
      <c r="BD22" s="452">
        <f t="shared" si="17"/>
        <v>0</v>
      </c>
      <c r="BE22" s="452">
        <f t="shared" si="17"/>
        <v>0</v>
      </c>
      <c r="BF22" s="452">
        <f t="shared" si="17"/>
        <v>0</v>
      </c>
      <c r="BG22" s="452">
        <f t="shared" si="17"/>
        <v>0</v>
      </c>
      <c r="BH22" s="452">
        <f t="shared" si="17"/>
        <v>0</v>
      </c>
      <c r="BI22" s="453">
        <f t="shared" si="17"/>
        <v>0</v>
      </c>
      <c r="BJ22" s="453">
        <f t="shared" si="17"/>
        <v>0</v>
      </c>
      <c r="BK22" s="453">
        <f t="shared" si="17"/>
        <v>0</v>
      </c>
      <c r="BL22" s="453">
        <f t="shared" si="17"/>
        <v>0</v>
      </c>
      <c r="BM22" s="453">
        <f t="shared" si="101"/>
        <v>0</v>
      </c>
      <c r="BN22" s="453">
        <f t="shared" si="80"/>
        <v>0</v>
      </c>
      <c r="BO22" s="453">
        <f t="shared" si="80"/>
        <v>0</v>
      </c>
      <c r="BP22" s="453">
        <f t="shared" si="80"/>
        <v>0</v>
      </c>
      <c r="BQ22" s="453">
        <f t="shared" si="80"/>
        <v>0</v>
      </c>
      <c r="BR22" s="426">
        <f t="shared" si="20"/>
        <v>0</v>
      </c>
      <c r="BT22" s="348"/>
    </row>
    <row r="23" spans="1:72" s="288" customFormat="1" ht="15" customHeight="1" x14ac:dyDescent="0.25">
      <c r="A23" s="446" t="s">
        <v>132</v>
      </c>
      <c r="B23" s="446"/>
      <c r="C23" s="447"/>
      <c r="D23" s="448">
        <v>23.99</v>
      </c>
      <c r="E23" s="447" t="s">
        <v>179</v>
      </c>
      <c r="F23" s="458"/>
      <c r="G23" s="458"/>
      <c r="H23" s="458"/>
      <c r="I23" s="458"/>
      <c r="J23" s="458">
        <v>0</v>
      </c>
      <c r="K23" s="458">
        <v>0</v>
      </c>
      <c r="L23" s="458">
        <v>1</v>
      </c>
      <c r="M23" s="458">
        <v>0</v>
      </c>
      <c r="N23" s="458"/>
      <c r="O23" s="458"/>
      <c r="P23" s="458"/>
      <c r="Q23" s="458"/>
      <c r="R23" s="458"/>
      <c r="S23" s="458"/>
      <c r="T23" s="450"/>
      <c r="U23" s="450"/>
      <c r="V23" s="450"/>
      <c r="W23" s="450"/>
      <c r="X23" s="450"/>
      <c r="Y23" s="450"/>
      <c r="Z23" s="451">
        <f t="shared" si="21"/>
        <v>1</v>
      </c>
      <c r="AA23" s="447"/>
      <c r="AB23" s="447"/>
      <c r="AC23" s="453">
        <f t="shared" ref="AC23" si="164">F23*$D23</f>
        <v>0</v>
      </c>
      <c r="AD23" s="448">
        <f t="shared" ref="AD23" si="165">G23*$D23</f>
        <v>0</v>
      </c>
      <c r="AE23" s="448">
        <f t="shared" ref="AE23" si="166">H23*$D23</f>
        <v>0</v>
      </c>
      <c r="AF23" s="448">
        <f t="shared" ref="AF23" si="167">I23*$D23</f>
        <v>0</v>
      </c>
      <c r="AG23" s="448">
        <f t="shared" ref="AG23:AG28" si="168">J23*$D23</f>
        <v>0</v>
      </c>
      <c r="AH23" s="448">
        <f t="shared" ref="AH23" si="169">K23*$D23</f>
        <v>0</v>
      </c>
      <c r="AI23" s="448">
        <f t="shared" ref="AI23" si="170">L23*$D23</f>
        <v>23.99</v>
      </c>
      <c r="AJ23" s="448">
        <f t="shared" ref="AJ23" si="171">M23*$D23</f>
        <v>0</v>
      </c>
      <c r="AK23" s="448">
        <f t="shared" ref="AK23" si="172">N23*$D23</f>
        <v>0</v>
      </c>
      <c r="AL23" s="453">
        <f t="shared" ref="AL23" si="173">O23*$D23</f>
        <v>0</v>
      </c>
      <c r="AM23" s="453">
        <f t="shared" ref="AM23" si="174">P23*$D23</f>
        <v>0</v>
      </c>
      <c r="AN23" s="453">
        <f t="shared" ref="AN23" si="175">Q23*$D23</f>
        <v>0</v>
      </c>
      <c r="AO23" s="453">
        <f t="shared" ref="AO23" si="176">R23*$D23</f>
        <v>0</v>
      </c>
      <c r="AP23" s="452">
        <f t="shared" ref="AP23" si="177">S23*$D23</f>
        <v>0</v>
      </c>
      <c r="AQ23" s="452">
        <f t="shared" ref="AQ23" si="178">T23*$D23</f>
        <v>0</v>
      </c>
      <c r="AR23" s="452">
        <f t="shared" si="13"/>
        <v>0</v>
      </c>
      <c r="AS23" s="452">
        <f t="shared" si="14"/>
        <v>0</v>
      </c>
      <c r="AT23" s="452">
        <f t="shared" si="15"/>
        <v>0</v>
      </c>
      <c r="AU23" s="453">
        <f t="shared" si="16"/>
        <v>0</v>
      </c>
      <c r="AV23" s="453"/>
      <c r="AW23" s="453"/>
      <c r="AX23" s="453">
        <f t="shared" si="17"/>
        <v>0</v>
      </c>
      <c r="AY23" s="453">
        <f t="shared" si="17"/>
        <v>0</v>
      </c>
      <c r="AZ23" s="453">
        <f t="shared" si="17"/>
        <v>0</v>
      </c>
      <c r="BA23" s="453">
        <f t="shared" ref="BA23:BL23" si="179">IF(BA$3=$E23,$D23,0)</f>
        <v>0</v>
      </c>
      <c r="BB23" s="453">
        <v>0</v>
      </c>
      <c r="BC23" s="453">
        <v>0</v>
      </c>
      <c r="BD23" s="448">
        <f t="shared" si="179"/>
        <v>23.99</v>
      </c>
      <c r="BE23" s="453">
        <f t="shared" si="179"/>
        <v>0</v>
      </c>
      <c r="BF23" s="453">
        <f t="shared" si="179"/>
        <v>0</v>
      </c>
      <c r="BG23" s="453">
        <f t="shared" si="179"/>
        <v>0</v>
      </c>
      <c r="BH23" s="453">
        <f t="shared" si="179"/>
        <v>0</v>
      </c>
      <c r="BI23" s="453">
        <f t="shared" si="179"/>
        <v>0</v>
      </c>
      <c r="BJ23" s="453">
        <f t="shared" si="179"/>
        <v>0</v>
      </c>
      <c r="BK23" s="453">
        <f t="shared" si="179"/>
        <v>0</v>
      </c>
      <c r="BL23" s="453">
        <f t="shared" si="179"/>
        <v>0</v>
      </c>
      <c r="BM23" s="453">
        <f t="shared" si="101"/>
        <v>0</v>
      </c>
      <c r="BN23" s="453">
        <f t="shared" si="80"/>
        <v>0</v>
      </c>
      <c r="BO23" s="453">
        <f t="shared" si="80"/>
        <v>0</v>
      </c>
      <c r="BP23" s="453">
        <f t="shared" si="80"/>
        <v>0</v>
      </c>
      <c r="BQ23" s="453">
        <f t="shared" si="80"/>
        <v>0</v>
      </c>
      <c r="BR23" s="426">
        <f t="shared" si="20"/>
        <v>0</v>
      </c>
    </row>
    <row r="24" spans="1:72" s="288" customFormat="1" ht="15" customHeight="1" x14ac:dyDescent="0.25">
      <c r="A24" s="446" t="s">
        <v>132</v>
      </c>
      <c r="B24" s="446"/>
      <c r="C24" s="447"/>
      <c r="D24" s="448">
        <v>56.92</v>
      </c>
      <c r="E24" s="447" t="s">
        <v>179</v>
      </c>
      <c r="F24" s="458"/>
      <c r="G24" s="458"/>
      <c r="H24" s="458"/>
      <c r="I24" s="458"/>
      <c r="J24" s="458">
        <v>0</v>
      </c>
      <c r="K24" s="458">
        <v>0</v>
      </c>
      <c r="L24" s="458">
        <v>0</v>
      </c>
      <c r="M24" s="458">
        <v>1</v>
      </c>
      <c r="N24" s="458"/>
      <c r="O24" s="458"/>
      <c r="P24" s="458"/>
      <c r="Q24" s="458"/>
      <c r="R24" s="458"/>
      <c r="S24" s="458"/>
      <c r="T24" s="450"/>
      <c r="U24" s="450"/>
      <c r="V24" s="450"/>
      <c r="W24" s="450"/>
      <c r="X24" s="450"/>
      <c r="Y24" s="450"/>
      <c r="Z24" s="451">
        <f t="shared" si="21"/>
        <v>1</v>
      </c>
      <c r="AA24" s="447"/>
      <c r="AB24" s="447"/>
      <c r="AC24" s="453">
        <f t="shared" si="0"/>
        <v>0</v>
      </c>
      <c r="AD24" s="448">
        <f t="shared" si="1"/>
        <v>0</v>
      </c>
      <c r="AE24" s="448">
        <f t="shared" si="2"/>
        <v>0</v>
      </c>
      <c r="AF24" s="448">
        <f t="shared" ref="AF24" si="180">I24*$D24</f>
        <v>0</v>
      </c>
      <c r="AG24" s="448">
        <f t="shared" si="168"/>
        <v>0</v>
      </c>
      <c r="AH24" s="448">
        <f t="shared" si="22"/>
        <v>0</v>
      </c>
      <c r="AI24" s="448">
        <f t="shared" si="23"/>
        <v>0</v>
      </c>
      <c r="AJ24" s="448">
        <f t="shared" si="24"/>
        <v>56.92</v>
      </c>
      <c r="AK24" s="448">
        <f>N24*$D24</f>
        <v>0</v>
      </c>
      <c r="AL24" s="453">
        <f t="shared" si="19"/>
        <v>0</v>
      </c>
      <c r="AM24" s="453">
        <f t="shared" si="8"/>
        <v>0</v>
      </c>
      <c r="AN24" s="453">
        <f t="shared" si="9"/>
        <v>0</v>
      </c>
      <c r="AO24" s="453">
        <f t="shared" si="10"/>
        <v>0</v>
      </c>
      <c r="AP24" s="452">
        <f t="shared" si="11"/>
        <v>0</v>
      </c>
      <c r="AQ24" s="452">
        <f t="shared" si="12"/>
        <v>0</v>
      </c>
      <c r="AR24" s="452">
        <f t="shared" si="13"/>
        <v>0</v>
      </c>
      <c r="AS24" s="452">
        <f t="shared" si="14"/>
        <v>0</v>
      </c>
      <c r="AT24" s="452">
        <f t="shared" si="15"/>
        <v>0</v>
      </c>
      <c r="AU24" s="453">
        <f t="shared" si="16"/>
        <v>0</v>
      </c>
      <c r="AV24" s="453"/>
      <c r="AW24" s="453"/>
      <c r="AX24" s="453">
        <f t="shared" si="17"/>
        <v>0</v>
      </c>
      <c r="AY24" s="453">
        <f t="shared" si="17"/>
        <v>0</v>
      </c>
      <c r="AZ24" s="453">
        <f t="shared" si="17"/>
        <v>0</v>
      </c>
      <c r="BA24" s="453">
        <f t="shared" si="17"/>
        <v>0</v>
      </c>
      <c r="BB24" s="453">
        <v>0</v>
      </c>
      <c r="BC24" s="453">
        <v>0</v>
      </c>
      <c r="BD24" s="453">
        <f t="shared" si="17"/>
        <v>56.92</v>
      </c>
      <c r="BE24" s="448">
        <f t="shared" si="17"/>
        <v>0</v>
      </c>
      <c r="BF24" s="453">
        <f t="shared" si="17"/>
        <v>0</v>
      </c>
      <c r="BG24" s="453">
        <f t="shared" si="17"/>
        <v>0</v>
      </c>
      <c r="BH24" s="453">
        <f t="shared" si="17"/>
        <v>0</v>
      </c>
      <c r="BI24" s="453">
        <f t="shared" si="17"/>
        <v>0</v>
      </c>
      <c r="BJ24" s="453">
        <f t="shared" si="17"/>
        <v>0</v>
      </c>
      <c r="BK24" s="453">
        <f t="shared" si="17"/>
        <v>0</v>
      </c>
      <c r="BL24" s="453">
        <f t="shared" si="17"/>
        <v>0</v>
      </c>
      <c r="BM24" s="453">
        <f t="shared" si="101"/>
        <v>0</v>
      </c>
      <c r="BN24" s="453">
        <f t="shared" si="80"/>
        <v>0</v>
      </c>
      <c r="BO24" s="453">
        <f t="shared" si="80"/>
        <v>0</v>
      </c>
      <c r="BP24" s="453">
        <f t="shared" si="80"/>
        <v>0</v>
      </c>
      <c r="BQ24" s="453">
        <f t="shared" si="80"/>
        <v>0</v>
      </c>
      <c r="BR24" s="426">
        <f t="shared" si="20"/>
        <v>0</v>
      </c>
    </row>
    <row r="25" spans="1:72" s="288" customFormat="1" ht="15" customHeight="1" x14ac:dyDescent="0.25">
      <c r="A25" s="406" t="s">
        <v>133</v>
      </c>
      <c r="B25" s="407"/>
      <c r="C25" s="408"/>
      <c r="D25" s="409">
        <v>36998.879999999997</v>
      </c>
      <c r="E25" s="408" t="s">
        <v>165</v>
      </c>
      <c r="F25" s="410"/>
      <c r="G25" s="410"/>
      <c r="H25" s="410"/>
      <c r="I25" s="410">
        <v>0.24325060650484556</v>
      </c>
      <c r="J25" s="410">
        <v>0.26195171313293808</v>
      </c>
      <c r="K25" s="410">
        <v>0.23700393092980113</v>
      </c>
      <c r="L25" s="410">
        <v>0.25779374943241529</v>
      </c>
      <c r="M25" s="410">
        <v>0</v>
      </c>
      <c r="N25" s="410"/>
      <c r="O25" s="410"/>
      <c r="P25" s="410"/>
      <c r="Q25" s="410"/>
      <c r="R25" s="464"/>
      <c r="S25" s="464"/>
      <c r="T25" s="464"/>
      <c r="U25" s="464"/>
      <c r="V25" s="464"/>
      <c r="W25" s="464"/>
      <c r="X25" s="464"/>
      <c r="Y25" s="464"/>
      <c r="Z25" s="411">
        <f t="shared" si="21"/>
        <v>1</v>
      </c>
      <c r="AA25" s="408"/>
      <c r="AB25" s="408"/>
      <c r="AC25" s="412">
        <f t="shared" si="0"/>
        <v>0</v>
      </c>
      <c r="AD25" s="412">
        <f t="shared" si="1"/>
        <v>0</v>
      </c>
      <c r="AE25" s="412">
        <f t="shared" si="2"/>
        <v>0</v>
      </c>
      <c r="AF25" s="412">
        <f t="shared" si="3"/>
        <v>9000</v>
      </c>
      <c r="AG25" s="409">
        <f t="shared" si="168"/>
        <v>9691.92</v>
      </c>
      <c r="AH25" s="409">
        <f t="shared" si="22"/>
        <v>8768.8799999999992</v>
      </c>
      <c r="AI25" s="409">
        <f t="shared" si="23"/>
        <v>9538.08</v>
      </c>
      <c r="AJ25" s="409">
        <f t="shared" si="24"/>
        <v>0</v>
      </c>
      <c r="AK25" s="409">
        <f>N25*$D25</f>
        <v>0</v>
      </c>
      <c r="AL25" s="409">
        <f t="shared" si="19"/>
        <v>0</v>
      </c>
      <c r="AM25" s="409">
        <f t="shared" si="8"/>
        <v>0</v>
      </c>
      <c r="AN25" s="409">
        <f t="shared" si="9"/>
        <v>0</v>
      </c>
      <c r="AO25" s="409">
        <f t="shared" si="10"/>
        <v>0</v>
      </c>
      <c r="AP25" s="413">
        <f t="shared" si="11"/>
        <v>0</v>
      </c>
      <c r="AQ25" s="413">
        <f t="shared" si="12"/>
        <v>0</v>
      </c>
      <c r="AR25" s="413">
        <f t="shared" si="13"/>
        <v>0</v>
      </c>
      <c r="AS25" s="413">
        <f t="shared" si="14"/>
        <v>0</v>
      </c>
      <c r="AT25" s="413">
        <f t="shared" si="15"/>
        <v>0</v>
      </c>
      <c r="AU25" s="412">
        <f t="shared" si="16"/>
        <v>0</v>
      </c>
      <c r="AV25" s="412"/>
      <c r="AW25" s="412"/>
      <c r="AX25" s="412">
        <f t="shared" si="17"/>
        <v>0</v>
      </c>
      <c r="AY25" s="412">
        <f t="shared" si="17"/>
        <v>0</v>
      </c>
      <c r="AZ25" s="409">
        <f t="shared" ref="AZ25:BA46" si="181">IF(AZ$3=$E25,$D25,0)</f>
        <v>36998.879999999997</v>
      </c>
      <c r="BA25" s="412">
        <f t="shared" si="181"/>
        <v>0</v>
      </c>
      <c r="BB25" s="412">
        <f t="shared" si="17"/>
        <v>0</v>
      </c>
      <c r="BC25" s="412">
        <f t="shared" si="17"/>
        <v>0</v>
      </c>
      <c r="BD25" s="412">
        <f t="shared" si="17"/>
        <v>0</v>
      </c>
      <c r="BE25" s="412">
        <f t="shared" si="17"/>
        <v>0</v>
      </c>
      <c r="BF25" s="412">
        <f t="shared" si="17"/>
        <v>0</v>
      </c>
      <c r="BG25" s="412">
        <f t="shared" si="17"/>
        <v>0</v>
      </c>
      <c r="BH25" s="412">
        <f t="shared" si="17"/>
        <v>0</v>
      </c>
      <c r="BI25" s="412">
        <f t="shared" si="17"/>
        <v>0</v>
      </c>
      <c r="BJ25" s="412">
        <f t="shared" si="17"/>
        <v>0</v>
      </c>
      <c r="BK25" s="412">
        <f t="shared" si="17"/>
        <v>0</v>
      </c>
      <c r="BL25" s="412">
        <f t="shared" si="17"/>
        <v>0</v>
      </c>
      <c r="BM25" s="412">
        <f t="shared" si="101"/>
        <v>0</v>
      </c>
      <c r="BN25" s="412">
        <f t="shared" si="80"/>
        <v>0</v>
      </c>
      <c r="BO25" s="412">
        <f t="shared" si="80"/>
        <v>0</v>
      </c>
      <c r="BP25" s="412">
        <f t="shared" si="80"/>
        <v>0</v>
      </c>
      <c r="BQ25" s="412">
        <f t="shared" si="80"/>
        <v>0</v>
      </c>
      <c r="BR25" s="414">
        <f t="shared" si="20"/>
        <v>0</v>
      </c>
    </row>
    <row r="26" spans="1:72" ht="15" customHeight="1" x14ac:dyDescent="0.25">
      <c r="A26" s="406" t="s">
        <v>133</v>
      </c>
      <c r="B26" s="407"/>
      <c r="C26" s="408"/>
      <c r="D26" s="409">
        <f>99000+851.16</f>
        <v>99851.16</v>
      </c>
      <c r="E26" s="408" t="s">
        <v>165</v>
      </c>
      <c r="F26" s="410"/>
      <c r="G26" s="410"/>
      <c r="H26" s="465">
        <v>0</v>
      </c>
      <c r="I26" s="465">
        <v>0.33049190415013707</v>
      </c>
      <c r="J26" s="465">
        <v>0.27120045475686017</v>
      </c>
      <c r="K26" s="465">
        <v>0.26270741371457274</v>
      </c>
      <c r="L26" s="410">
        <v>0.13560022737843005</v>
      </c>
      <c r="M26" s="410"/>
      <c r="N26" s="410"/>
      <c r="O26" s="464"/>
      <c r="P26" s="464"/>
      <c r="Q26" s="410"/>
      <c r="R26" s="410"/>
      <c r="S26" s="410"/>
      <c r="T26" s="410"/>
      <c r="U26" s="410"/>
      <c r="V26" s="410"/>
      <c r="W26" s="410"/>
      <c r="X26" s="410"/>
      <c r="Y26" s="410"/>
      <c r="Z26" s="411">
        <f>SUM(F26:X26)</f>
        <v>1</v>
      </c>
      <c r="AA26" s="408"/>
      <c r="AB26" s="408"/>
      <c r="AC26" s="412">
        <f t="shared" ref="AC26:AF28" si="182">F26*$D26</f>
        <v>0</v>
      </c>
      <c r="AD26" s="412">
        <f t="shared" si="182"/>
        <v>0</v>
      </c>
      <c r="AE26" s="412">
        <f t="shared" si="182"/>
        <v>0</v>
      </c>
      <c r="AF26" s="412">
        <f t="shared" si="182"/>
        <v>33000</v>
      </c>
      <c r="AG26" s="412">
        <f t="shared" si="168"/>
        <v>27079.680000000008</v>
      </c>
      <c r="AH26" s="412">
        <f t="shared" ref="AH26:AJ28" si="183">K26*$D26</f>
        <v>26231.639999999996</v>
      </c>
      <c r="AI26" s="409">
        <f t="shared" si="183"/>
        <v>13539.84</v>
      </c>
      <c r="AJ26" s="409">
        <f t="shared" si="183"/>
        <v>0</v>
      </c>
      <c r="AK26" s="409">
        <f>N26*$D26</f>
        <v>0</v>
      </c>
      <c r="AL26" s="409">
        <f t="shared" ref="AL26:AU28" si="184">O26*$D26</f>
        <v>0</v>
      </c>
      <c r="AM26" s="409">
        <f t="shared" si="184"/>
        <v>0</v>
      </c>
      <c r="AN26" s="409">
        <f t="shared" si="184"/>
        <v>0</v>
      </c>
      <c r="AO26" s="409">
        <f t="shared" si="184"/>
        <v>0</v>
      </c>
      <c r="AP26" s="413">
        <f t="shared" si="184"/>
        <v>0</v>
      </c>
      <c r="AQ26" s="413">
        <f t="shared" si="184"/>
        <v>0</v>
      </c>
      <c r="AR26" s="413">
        <f t="shared" si="184"/>
        <v>0</v>
      </c>
      <c r="AS26" s="413">
        <f t="shared" si="184"/>
        <v>0</v>
      </c>
      <c r="AT26" s="413">
        <f t="shared" si="184"/>
        <v>0</v>
      </c>
      <c r="AU26" s="412">
        <f t="shared" si="184"/>
        <v>0</v>
      </c>
      <c r="AV26" s="412"/>
      <c r="AW26" s="412"/>
      <c r="AX26" s="412">
        <f t="shared" ref="AX26:BG26" si="185">IF(AX$3=$E26,$D26,0)</f>
        <v>0</v>
      </c>
      <c r="AY26" s="412">
        <f t="shared" si="185"/>
        <v>0</v>
      </c>
      <c r="AZ26" s="409">
        <f t="shared" si="185"/>
        <v>99851.16</v>
      </c>
      <c r="BA26" s="412">
        <f t="shared" si="185"/>
        <v>0</v>
      </c>
      <c r="BB26" s="412">
        <f t="shared" si="185"/>
        <v>0</v>
      </c>
      <c r="BC26" s="412">
        <f t="shared" si="185"/>
        <v>0</v>
      </c>
      <c r="BD26" s="412">
        <f t="shared" si="185"/>
        <v>0</v>
      </c>
      <c r="BE26" s="412">
        <f t="shared" si="185"/>
        <v>0</v>
      </c>
      <c r="BF26" s="412">
        <f t="shared" si="185"/>
        <v>0</v>
      </c>
      <c r="BG26" s="412">
        <f t="shared" si="185"/>
        <v>0</v>
      </c>
      <c r="BH26" s="412">
        <f t="shared" si="17"/>
        <v>0</v>
      </c>
      <c r="BI26" s="412">
        <f t="shared" si="17"/>
        <v>0</v>
      </c>
      <c r="BJ26" s="412">
        <f t="shared" si="17"/>
        <v>0</v>
      </c>
      <c r="BK26" s="412">
        <f t="shared" si="17"/>
        <v>0</v>
      </c>
      <c r="BL26" s="412">
        <f t="shared" si="17"/>
        <v>0</v>
      </c>
      <c r="BM26" s="412">
        <f t="shared" si="17"/>
        <v>0</v>
      </c>
      <c r="BN26" s="412">
        <f t="shared" si="17"/>
        <v>0</v>
      </c>
      <c r="BO26" s="412">
        <f t="shared" si="80"/>
        <v>0</v>
      </c>
      <c r="BP26" s="412">
        <f t="shared" si="80"/>
        <v>0</v>
      </c>
      <c r="BQ26" s="412">
        <f t="shared" si="80"/>
        <v>0</v>
      </c>
      <c r="BR26" s="414">
        <f t="shared" si="20"/>
        <v>0</v>
      </c>
    </row>
    <row r="27" spans="1:72" ht="15" customHeight="1" x14ac:dyDescent="0.25">
      <c r="A27" s="406" t="s">
        <v>133</v>
      </c>
      <c r="B27" s="407"/>
      <c r="C27" s="408"/>
      <c r="D27" s="409">
        <v>4000</v>
      </c>
      <c r="E27" s="408" t="s">
        <v>165</v>
      </c>
      <c r="F27" s="410"/>
      <c r="G27" s="410"/>
      <c r="H27" s="410">
        <v>1</v>
      </c>
      <c r="I27" s="410"/>
      <c r="J27" s="410"/>
      <c r="K27" s="410"/>
      <c r="L27" s="410"/>
      <c r="M27" s="410"/>
      <c r="N27" s="410"/>
      <c r="O27" s="464"/>
      <c r="P27" s="464"/>
      <c r="Q27" s="410"/>
      <c r="R27" s="410"/>
      <c r="S27" s="410"/>
      <c r="T27" s="410"/>
      <c r="U27" s="410"/>
      <c r="V27" s="410"/>
      <c r="W27" s="410"/>
      <c r="X27" s="410"/>
      <c r="Y27" s="410"/>
      <c r="Z27" s="411">
        <f>SUM(F27:X27)</f>
        <v>1</v>
      </c>
      <c r="AA27" s="408"/>
      <c r="AB27" s="408"/>
      <c r="AC27" s="412">
        <f t="shared" si="182"/>
        <v>0</v>
      </c>
      <c r="AD27" s="412">
        <f t="shared" si="182"/>
        <v>0</v>
      </c>
      <c r="AE27" s="412">
        <f t="shared" si="182"/>
        <v>4000</v>
      </c>
      <c r="AF27" s="412">
        <f t="shared" si="182"/>
        <v>0</v>
      </c>
      <c r="AG27" s="412">
        <f t="shared" si="168"/>
        <v>0</v>
      </c>
      <c r="AH27" s="412">
        <f t="shared" si="183"/>
        <v>0</v>
      </c>
      <c r="AI27" s="409">
        <f t="shared" si="183"/>
        <v>0</v>
      </c>
      <c r="AJ27" s="409">
        <f t="shared" si="183"/>
        <v>0</v>
      </c>
      <c r="AK27" s="409">
        <f>N27*$D27</f>
        <v>0</v>
      </c>
      <c r="AL27" s="409">
        <f t="shared" si="184"/>
        <v>0</v>
      </c>
      <c r="AM27" s="409">
        <f t="shared" si="184"/>
        <v>0</v>
      </c>
      <c r="AN27" s="409">
        <f t="shared" si="184"/>
        <v>0</v>
      </c>
      <c r="AO27" s="409">
        <f t="shared" si="184"/>
        <v>0</v>
      </c>
      <c r="AP27" s="413">
        <f t="shared" si="184"/>
        <v>0</v>
      </c>
      <c r="AQ27" s="413">
        <f t="shared" si="184"/>
        <v>0</v>
      </c>
      <c r="AR27" s="413">
        <f t="shared" si="184"/>
        <v>0</v>
      </c>
      <c r="AS27" s="413">
        <f t="shared" si="184"/>
        <v>0</v>
      </c>
      <c r="AT27" s="413">
        <f t="shared" si="184"/>
        <v>0</v>
      </c>
      <c r="AU27" s="412">
        <f t="shared" si="184"/>
        <v>0</v>
      </c>
      <c r="AV27" s="412"/>
      <c r="AW27" s="412"/>
      <c r="AX27" s="412">
        <f t="shared" si="80"/>
        <v>0</v>
      </c>
      <c r="AY27" s="412">
        <f t="shared" si="80"/>
        <v>0</v>
      </c>
      <c r="AZ27" s="409">
        <f t="shared" si="80"/>
        <v>4000</v>
      </c>
      <c r="BA27" s="412">
        <f t="shared" si="80"/>
        <v>0</v>
      </c>
      <c r="BB27" s="412">
        <f t="shared" si="80"/>
        <v>0</v>
      </c>
      <c r="BC27" s="412">
        <f t="shared" si="80"/>
        <v>0</v>
      </c>
      <c r="BD27" s="412">
        <f t="shared" si="80"/>
        <v>0</v>
      </c>
      <c r="BE27" s="412">
        <f t="shared" si="80"/>
        <v>0</v>
      </c>
      <c r="BF27" s="412">
        <f t="shared" si="80"/>
        <v>0</v>
      </c>
      <c r="BG27" s="412">
        <f t="shared" si="80"/>
        <v>0</v>
      </c>
      <c r="BH27" s="412">
        <f t="shared" si="80"/>
        <v>0</v>
      </c>
      <c r="BI27" s="412">
        <f t="shared" si="80"/>
        <v>0</v>
      </c>
      <c r="BJ27" s="412">
        <f t="shared" si="80"/>
        <v>0</v>
      </c>
      <c r="BK27" s="412">
        <f t="shared" si="80"/>
        <v>0</v>
      </c>
      <c r="BL27" s="412">
        <f t="shared" si="80"/>
        <v>0</v>
      </c>
      <c r="BM27" s="412">
        <f t="shared" si="80"/>
        <v>0</v>
      </c>
      <c r="BN27" s="412">
        <f t="shared" si="80"/>
        <v>0</v>
      </c>
      <c r="BO27" s="412">
        <f t="shared" si="80"/>
        <v>0</v>
      </c>
      <c r="BP27" s="412">
        <f t="shared" si="80"/>
        <v>0</v>
      </c>
      <c r="BQ27" s="412">
        <f t="shared" ref="BQ27:BQ37" si="186">IF(BQ$3=$E27,$D27,0)</f>
        <v>0</v>
      </c>
      <c r="BR27" s="414">
        <f t="shared" si="20"/>
        <v>0</v>
      </c>
    </row>
    <row r="28" spans="1:72" s="288" customFormat="1" ht="15" customHeight="1" x14ac:dyDescent="0.25">
      <c r="A28" s="406" t="s">
        <v>133</v>
      </c>
      <c r="B28" s="407"/>
      <c r="C28" s="408"/>
      <c r="D28" s="409">
        <v>1500</v>
      </c>
      <c r="E28" s="408" t="s">
        <v>197</v>
      </c>
      <c r="F28" s="410"/>
      <c r="G28" s="410"/>
      <c r="H28" s="410"/>
      <c r="I28" s="410">
        <v>1</v>
      </c>
      <c r="J28" s="410"/>
      <c r="K28" s="410">
        <v>0</v>
      </c>
      <c r="L28" s="410"/>
      <c r="M28" s="410"/>
      <c r="N28" s="410"/>
      <c r="O28" s="410"/>
      <c r="P28" s="410"/>
      <c r="Q28" s="410"/>
      <c r="R28" s="464"/>
      <c r="S28" s="464"/>
      <c r="T28" s="464"/>
      <c r="U28" s="464"/>
      <c r="V28" s="464"/>
      <c r="W28" s="464"/>
      <c r="X28" s="464"/>
      <c r="Y28" s="464"/>
      <c r="Z28" s="411">
        <f>SUM(F28:X28)</f>
        <v>1</v>
      </c>
      <c r="AA28" s="408"/>
      <c r="AB28" s="408"/>
      <c r="AC28" s="412">
        <f t="shared" si="182"/>
        <v>0</v>
      </c>
      <c r="AD28" s="412">
        <f t="shared" si="182"/>
        <v>0</v>
      </c>
      <c r="AE28" s="412">
        <f t="shared" si="182"/>
        <v>0</v>
      </c>
      <c r="AF28" s="412">
        <f t="shared" si="182"/>
        <v>1500</v>
      </c>
      <c r="AG28" s="412">
        <f t="shared" si="168"/>
        <v>0</v>
      </c>
      <c r="AH28" s="412">
        <f t="shared" si="183"/>
        <v>0</v>
      </c>
      <c r="AI28" s="409">
        <f t="shared" si="183"/>
        <v>0</v>
      </c>
      <c r="AJ28" s="409">
        <f t="shared" si="183"/>
        <v>0</v>
      </c>
      <c r="AK28" s="409">
        <f>N28*$D28</f>
        <v>0</v>
      </c>
      <c r="AL28" s="409">
        <f t="shared" si="184"/>
        <v>0</v>
      </c>
      <c r="AM28" s="409">
        <f t="shared" si="184"/>
        <v>0</v>
      </c>
      <c r="AN28" s="409">
        <f t="shared" si="184"/>
        <v>0</v>
      </c>
      <c r="AO28" s="409">
        <f t="shared" si="184"/>
        <v>0</v>
      </c>
      <c r="AP28" s="413">
        <f t="shared" si="184"/>
        <v>0</v>
      </c>
      <c r="AQ28" s="413">
        <f t="shared" si="184"/>
        <v>0</v>
      </c>
      <c r="AR28" s="413">
        <f t="shared" si="184"/>
        <v>0</v>
      </c>
      <c r="AS28" s="413">
        <f t="shared" si="184"/>
        <v>0</v>
      </c>
      <c r="AT28" s="413">
        <f t="shared" si="184"/>
        <v>0</v>
      </c>
      <c r="AU28" s="412">
        <f t="shared" si="184"/>
        <v>0</v>
      </c>
      <c r="AV28" s="412"/>
      <c r="AW28" s="412"/>
      <c r="AX28" s="412">
        <f t="shared" si="80"/>
        <v>0</v>
      </c>
      <c r="AY28" s="412">
        <f t="shared" si="80"/>
        <v>0</v>
      </c>
      <c r="AZ28" s="409">
        <f t="shared" si="80"/>
        <v>0</v>
      </c>
      <c r="BA28" s="409">
        <f t="shared" si="80"/>
        <v>1500</v>
      </c>
      <c r="BB28" s="412">
        <f t="shared" si="80"/>
        <v>0</v>
      </c>
      <c r="BC28" s="412">
        <f t="shared" si="80"/>
        <v>0</v>
      </c>
      <c r="BD28" s="412">
        <f t="shared" si="80"/>
        <v>0</v>
      </c>
      <c r="BE28" s="412">
        <f t="shared" si="80"/>
        <v>0</v>
      </c>
      <c r="BF28" s="412">
        <f t="shared" si="80"/>
        <v>0</v>
      </c>
      <c r="BG28" s="412">
        <f t="shared" si="80"/>
        <v>0</v>
      </c>
      <c r="BH28" s="412">
        <f t="shared" si="80"/>
        <v>0</v>
      </c>
      <c r="BI28" s="412">
        <f t="shared" si="80"/>
        <v>0</v>
      </c>
      <c r="BJ28" s="412">
        <f t="shared" si="80"/>
        <v>0</v>
      </c>
      <c r="BK28" s="412">
        <f t="shared" si="80"/>
        <v>0</v>
      </c>
      <c r="BL28" s="412">
        <f t="shared" si="80"/>
        <v>0</v>
      </c>
      <c r="BM28" s="412">
        <f t="shared" si="80"/>
        <v>0</v>
      </c>
      <c r="BN28" s="412">
        <f t="shared" si="80"/>
        <v>0</v>
      </c>
      <c r="BO28" s="412">
        <f t="shared" si="80"/>
        <v>0</v>
      </c>
      <c r="BP28" s="412">
        <f t="shared" si="80"/>
        <v>0</v>
      </c>
      <c r="BQ28" s="412">
        <f t="shared" si="186"/>
        <v>0</v>
      </c>
      <c r="BR28" s="414">
        <f t="shared" si="20"/>
        <v>0</v>
      </c>
    </row>
    <row r="29" spans="1:72" s="288" customFormat="1" ht="15" customHeight="1" x14ac:dyDescent="0.25">
      <c r="A29" s="406" t="s">
        <v>133</v>
      </c>
      <c r="B29" s="407"/>
      <c r="C29" s="408"/>
      <c r="D29" s="409">
        <v>43134</v>
      </c>
      <c r="E29" s="408" t="s">
        <v>179</v>
      </c>
      <c r="F29" s="410"/>
      <c r="G29" s="410"/>
      <c r="H29" s="410"/>
      <c r="I29" s="410"/>
      <c r="J29" s="410"/>
      <c r="K29" s="410"/>
      <c r="L29" s="410">
        <v>0</v>
      </c>
      <c r="M29" s="410">
        <v>0.24615384615384611</v>
      </c>
      <c r="N29" s="410">
        <v>0.26256410256410251</v>
      </c>
      <c r="O29" s="410">
        <v>0.25435897435897437</v>
      </c>
      <c r="P29" s="410">
        <f>1-(O29+N29+M29)</f>
        <v>0.23692307692307701</v>
      </c>
      <c r="Q29" s="410"/>
      <c r="R29" s="410"/>
      <c r="S29" s="410"/>
      <c r="T29" s="410"/>
      <c r="U29" s="410"/>
      <c r="V29" s="410"/>
      <c r="W29" s="410"/>
      <c r="X29" s="410"/>
      <c r="Y29" s="410"/>
      <c r="Z29" s="411">
        <f t="shared" si="21"/>
        <v>1</v>
      </c>
      <c r="AA29" s="408"/>
      <c r="AB29" s="408"/>
      <c r="AC29" s="412">
        <f t="shared" ref="AC29" si="187">F29*$D29</f>
        <v>0</v>
      </c>
      <c r="AD29" s="412">
        <f t="shared" ref="AD29" si="188">G29*$D29</f>
        <v>0</v>
      </c>
      <c r="AE29" s="412">
        <f t="shared" ref="AE29" si="189">H29*$D29</f>
        <v>0</v>
      </c>
      <c r="AF29" s="412">
        <f t="shared" ref="AF29" si="190">I29*$D29</f>
        <v>0</v>
      </c>
      <c r="AG29" s="412">
        <f t="shared" ref="AG29" si="191">J29*$D29</f>
        <v>0</v>
      </c>
      <c r="AH29" s="412">
        <f t="shared" ref="AH29" si="192">K29*$D29</f>
        <v>0</v>
      </c>
      <c r="AI29" s="409">
        <f t="shared" ref="AI29" si="193">L29*$D29</f>
        <v>0</v>
      </c>
      <c r="AJ29" s="409">
        <f t="shared" ref="AJ29" si="194">M29*$D29</f>
        <v>10617.599999999999</v>
      </c>
      <c r="AK29" s="409">
        <f t="shared" ref="AK29" si="195">N29*$D29</f>
        <v>11325.439999999997</v>
      </c>
      <c r="AL29" s="409">
        <f t="shared" ref="AL29" si="196">O29*$D29</f>
        <v>10971.52</v>
      </c>
      <c r="AM29" s="409">
        <f t="shared" ref="AM29" si="197">P29*$D29</f>
        <v>10219.440000000004</v>
      </c>
      <c r="AN29" s="409">
        <f t="shared" ref="AN29" si="198">Q29*$D29</f>
        <v>0</v>
      </c>
      <c r="AO29" s="409">
        <f t="shared" ref="AO29" si="199">R29*$D29</f>
        <v>0</v>
      </c>
      <c r="AP29" s="413">
        <f t="shared" ref="AP29" si="200">S29*$D29</f>
        <v>0</v>
      </c>
      <c r="AQ29" s="413">
        <f t="shared" ref="AQ29" si="201">T29*$D29</f>
        <v>0</v>
      </c>
      <c r="AR29" s="413">
        <f t="shared" si="13"/>
        <v>0</v>
      </c>
      <c r="AS29" s="413">
        <f t="shared" si="14"/>
        <v>0</v>
      </c>
      <c r="AT29" s="413">
        <f t="shared" si="15"/>
        <v>0</v>
      </c>
      <c r="AU29" s="412">
        <f t="shared" si="16"/>
        <v>0</v>
      </c>
      <c r="AV29" s="412"/>
      <c r="AW29" s="412"/>
      <c r="AX29" s="412">
        <f t="shared" si="17"/>
        <v>0</v>
      </c>
      <c r="AY29" s="412">
        <f t="shared" si="17"/>
        <v>0</v>
      </c>
      <c r="AZ29" s="409">
        <f t="shared" si="17"/>
        <v>0</v>
      </c>
      <c r="BA29" s="412">
        <f t="shared" si="181"/>
        <v>0</v>
      </c>
      <c r="BB29" s="412">
        <f t="shared" si="17"/>
        <v>0</v>
      </c>
      <c r="BC29" s="412">
        <f t="shared" si="17"/>
        <v>0</v>
      </c>
      <c r="BD29" s="412">
        <f t="shared" ref="BD29:BL36" si="202">IF(BD$3=$E29,$D29,0)</f>
        <v>43134</v>
      </c>
      <c r="BE29" s="412">
        <f t="shared" si="17"/>
        <v>0</v>
      </c>
      <c r="BF29" s="412">
        <f t="shared" si="17"/>
        <v>0</v>
      </c>
      <c r="BG29" s="412">
        <f t="shared" si="17"/>
        <v>0</v>
      </c>
      <c r="BH29" s="412">
        <f t="shared" si="17"/>
        <v>0</v>
      </c>
      <c r="BI29" s="412">
        <f t="shared" si="17"/>
        <v>0</v>
      </c>
      <c r="BJ29" s="412">
        <f t="shared" si="17"/>
        <v>0</v>
      </c>
      <c r="BK29" s="412">
        <f t="shared" si="17"/>
        <v>0</v>
      </c>
      <c r="BL29" s="412">
        <f t="shared" si="17"/>
        <v>0</v>
      </c>
      <c r="BM29" s="412">
        <f t="shared" si="101"/>
        <v>0</v>
      </c>
      <c r="BN29" s="412">
        <f t="shared" si="80"/>
        <v>0</v>
      </c>
      <c r="BO29" s="412">
        <f t="shared" si="80"/>
        <v>0</v>
      </c>
      <c r="BP29" s="412">
        <f t="shared" si="80"/>
        <v>0</v>
      </c>
      <c r="BQ29" s="412">
        <f t="shared" si="186"/>
        <v>0</v>
      </c>
      <c r="BR29" s="414">
        <f t="shared" si="20"/>
        <v>0</v>
      </c>
    </row>
    <row r="30" spans="1:72" s="288" customFormat="1" ht="15" customHeight="1" x14ac:dyDescent="0.25">
      <c r="A30" s="406" t="s">
        <v>133</v>
      </c>
      <c r="B30" s="407"/>
      <c r="C30" s="408"/>
      <c r="D30" s="409">
        <v>18489.64</v>
      </c>
      <c r="E30" s="408" t="s">
        <v>179</v>
      </c>
      <c r="F30" s="410"/>
      <c r="G30" s="410"/>
      <c r="H30" s="410"/>
      <c r="I30" s="410"/>
      <c r="J30" s="410"/>
      <c r="K30" s="410"/>
      <c r="L30" s="410">
        <v>0.17481789802289285</v>
      </c>
      <c r="M30" s="410">
        <v>0.2434963579604579</v>
      </c>
      <c r="N30" s="410">
        <v>0.27055150884495321</v>
      </c>
      <c r="O30" s="410">
        <v>0.25702393340270557</v>
      </c>
      <c r="P30" s="410">
        <v>5.4110301768990648E-2</v>
      </c>
      <c r="Q30" s="410"/>
      <c r="R30" s="410"/>
      <c r="S30" s="410"/>
      <c r="T30" s="410"/>
      <c r="U30" s="410"/>
      <c r="V30" s="410"/>
      <c r="W30" s="410"/>
      <c r="X30" s="410"/>
      <c r="Y30" s="410"/>
      <c r="Z30" s="411">
        <f t="shared" ref="Z30:Z35" si="203">SUM(F30:X30)</f>
        <v>1.0000000000000002</v>
      </c>
      <c r="AA30" s="408"/>
      <c r="AB30" s="408"/>
      <c r="AC30" s="412">
        <f t="shared" ref="AC30:AL35" si="204">F30*$D30</f>
        <v>0</v>
      </c>
      <c r="AD30" s="412">
        <f t="shared" si="204"/>
        <v>0</v>
      </c>
      <c r="AE30" s="412">
        <f t="shared" si="204"/>
        <v>0</v>
      </c>
      <c r="AF30" s="412">
        <f t="shared" si="204"/>
        <v>0</v>
      </c>
      <c r="AG30" s="412">
        <f t="shared" si="204"/>
        <v>0</v>
      </c>
      <c r="AH30" s="412">
        <f t="shared" si="204"/>
        <v>0</v>
      </c>
      <c r="AI30" s="409">
        <f t="shared" si="204"/>
        <v>3232.3200000000006</v>
      </c>
      <c r="AJ30" s="409">
        <f t="shared" si="204"/>
        <v>4502.1600000000008</v>
      </c>
      <c r="AK30" s="409">
        <f t="shared" si="204"/>
        <v>5002.4000000000005</v>
      </c>
      <c r="AL30" s="409">
        <f t="shared" si="204"/>
        <v>4752.2800000000007</v>
      </c>
      <c r="AM30" s="409">
        <f t="shared" ref="AM30:AU35" si="205">P30*$D30</f>
        <v>1000.4800000000002</v>
      </c>
      <c r="AN30" s="409">
        <f t="shared" si="205"/>
        <v>0</v>
      </c>
      <c r="AO30" s="409">
        <f t="shared" si="205"/>
        <v>0</v>
      </c>
      <c r="AP30" s="413">
        <f t="shared" si="205"/>
        <v>0</v>
      </c>
      <c r="AQ30" s="413">
        <f t="shared" si="205"/>
        <v>0</v>
      </c>
      <c r="AR30" s="413">
        <f t="shared" si="205"/>
        <v>0</v>
      </c>
      <c r="AS30" s="413">
        <f t="shared" si="205"/>
        <v>0</v>
      </c>
      <c r="AT30" s="413">
        <f t="shared" si="205"/>
        <v>0</v>
      </c>
      <c r="AU30" s="412">
        <f t="shared" si="205"/>
        <v>0</v>
      </c>
      <c r="AV30" s="412"/>
      <c r="AW30" s="412"/>
      <c r="AX30" s="412">
        <f t="shared" ref="AX30:BG30" si="206">IF(AX$3=$E30,$D30,0)</f>
        <v>0</v>
      </c>
      <c r="AY30" s="412">
        <f t="shared" si="206"/>
        <v>0</v>
      </c>
      <c r="AZ30" s="409">
        <f t="shared" si="206"/>
        <v>0</v>
      </c>
      <c r="BA30" s="412">
        <f t="shared" si="206"/>
        <v>0</v>
      </c>
      <c r="BB30" s="412">
        <f t="shared" si="206"/>
        <v>0</v>
      </c>
      <c r="BC30" s="412">
        <f t="shared" si="206"/>
        <v>0</v>
      </c>
      <c r="BD30" s="412">
        <f t="shared" si="206"/>
        <v>18489.64</v>
      </c>
      <c r="BE30" s="412">
        <f t="shared" si="206"/>
        <v>0</v>
      </c>
      <c r="BF30" s="412">
        <f t="shared" si="206"/>
        <v>0</v>
      </c>
      <c r="BG30" s="412">
        <f t="shared" si="206"/>
        <v>0</v>
      </c>
      <c r="BH30" s="412">
        <f t="shared" si="17"/>
        <v>0</v>
      </c>
      <c r="BI30" s="412">
        <f t="shared" si="17"/>
        <v>0</v>
      </c>
      <c r="BJ30" s="412">
        <f t="shared" si="17"/>
        <v>0</v>
      </c>
      <c r="BK30" s="412">
        <f t="shared" si="17"/>
        <v>0</v>
      </c>
      <c r="BL30" s="412">
        <f t="shared" si="17"/>
        <v>0</v>
      </c>
      <c r="BM30" s="412">
        <f t="shared" si="17"/>
        <v>0</v>
      </c>
      <c r="BN30" s="412">
        <f t="shared" si="17"/>
        <v>0</v>
      </c>
      <c r="BO30" s="412">
        <f t="shared" si="80"/>
        <v>0</v>
      </c>
      <c r="BP30" s="412">
        <f t="shared" si="80"/>
        <v>0</v>
      </c>
      <c r="BQ30" s="412">
        <f t="shared" si="186"/>
        <v>0</v>
      </c>
      <c r="BR30" s="414">
        <f t="shared" si="20"/>
        <v>0</v>
      </c>
    </row>
    <row r="31" spans="1:72" s="288" customFormat="1" ht="15" customHeight="1" x14ac:dyDescent="0.25">
      <c r="A31" s="406" t="s">
        <v>133</v>
      </c>
      <c r="B31" s="407"/>
      <c r="C31" s="408"/>
      <c r="D31" s="409">
        <v>1800</v>
      </c>
      <c r="E31" s="408" t="s">
        <v>179</v>
      </c>
      <c r="F31" s="410"/>
      <c r="G31" s="410"/>
      <c r="H31" s="410">
        <v>0</v>
      </c>
      <c r="I31" s="410"/>
      <c r="J31" s="410"/>
      <c r="K31" s="410"/>
      <c r="L31" s="410">
        <v>1</v>
      </c>
      <c r="M31" s="410">
        <v>0</v>
      </c>
      <c r="N31" s="410"/>
      <c r="O31" s="464"/>
      <c r="P31" s="464"/>
      <c r="Q31" s="410"/>
      <c r="R31" s="410"/>
      <c r="S31" s="410"/>
      <c r="T31" s="410"/>
      <c r="U31" s="410"/>
      <c r="V31" s="410"/>
      <c r="W31" s="410"/>
      <c r="X31" s="410"/>
      <c r="Y31" s="410"/>
      <c r="Z31" s="411">
        <f t="shared" si="203"/>
        <v>1</v>
      </c>
      <c r="AA31" s="408"/>
      <c r="AB31" s="408"/>
      <c r="AC31" s="412">
        <f t="shared" si="204"/>
        <v>0</v>
      </c>
      <c r="AD31" s="412">
        <f t="shared" si="204"/>
        <v>0</v>
      </c>
      <c r="AE31" s="412">
        <f t="shared" si="204"/>
        <v>0</v>
      </c>
      <c r="AF31" s="412">
        <f t="shared" si="204"/>
        <v>0</v>
      </c>
      <c r="AG31" s="412">
        <f t="shared" si="204"/>
        <v>0</v>
      </c>
      <c r="AH31" s="412">
        <f t="shared" si="204"/>
        <v>0</v>
      </c>
      <c r="AI31" s="409">
        <f t="shared" si="204"/>
        <v>1800</v>
      </c>
      <c r="AJ31" s="409">
        <f t="shared" si="204"/>
        <v>0</v>
      </c>
      <c r="AK31" s="409">
        <f t="shared" si="204"/>
        <v>0</v>
      </c>
      <c r="AL31" s="409">
        <f t="shared" si="204"/>
        <v>0</v>
      </c>
      <c r="AM31" s="409">
        <f t="shared" si="205"/>
        <v>0</v>
      </c>
      <c r="AN31" s="409">
        <f t="shared" si="205"/>
        <v>0</v>
      </c>
      <c r="AO31" s="409">
        <f t="shared" si="205"/>
        <v>0</v>
      </c>
      <c r="AP31" s="413">
        <f t="shared" si="205"/>
        <v>0</v>
      </c>
      <c r="AQ31" s="413">
        <f t="shared" si="205"/>
        <v>0</v>
      </c>
      <c r="AR31" s="413">
        <f t="shared" si="205"/>
        <v>0</v>
      </c>
      <c r="AS31" s="413">
        <f t="shared" si="205"/>
        <v>0</v>
      </c>
      <c r="AT31" s="413">
        <f t="shared" si="205"/>
        <v>0</v>
      </c>
      <c r="AU31" s="412">
        <f t="shared" si="205"/>
        <v>0</v>
      </c>
      <c r="AV31" s="412"/>
      <c r="AW31" s="412"/>
      <c r="AX31" s="412">
        <f t="shared" si="80"/>
        <v>0</v>
      </c>
      <c r="AY31" s="412">
        <f t="shared" si="80"/>
        <v>0</v>
      </c>
      <c r="AZ31" s="409">
        <f t="shared" si="80"/>
        <v>0</v>
      </c>
      <c r="BA31" s="412">
        <f t="shared" si="80"/>
        <v>0</v>
      </c>
      <c r="BB31" s="412">
        <f t="shared" si="80"/>
        <v>0</v>
      </c>
      <c r="BC31" s="412">
        <f t="shared" si="80"/>
        <v>0</v>
      </c>
      <c r="BD31" s="412">
        <f t="shared" si="80"/>
        <v>1800</v>
      </c>
      <c r="BE31" s="412">
        <f t="shared" si="80"/>
        <v>0</v>
      </c>
      <c r="BF31" s="412">
        <f t="shared" si="80"/>
        <v>0</v>
      </c>
      <c r="BG31" s="412">
        <f t="shared" si="80"/>
        <v>0</v>
      </c>
      <c r="BH31" s="412">
        <f t="shared" si="80"/>
        <v>0</v>
      </c>
      <c r="BI31" s="412">
        <f t="shared" si="80"/>
        <v>0</v>
      </c>
      <c r="BJ31" s="412">
        <f t="shared" si="80"/>
        <v>0</v>
      </c>
      <c r="BK31" s="412">
        <f t="shared" si="80"/>
        <v>0</v>
      </c>
      <c r="BL31" s="412">
        <f t="shared" si="80"/>
        <v>0</v>
      </c>
      <c r="BM31" s="412">
        <f t="shared" si="80"/>
        <v>0</v>
      </c>
      <c r="BN31" s="412">
        <f t="shared" si="80"/>
        <v>0</v>
      </c>
      <c r="BO31" s="412">
        <f t="shared" si="80"/>
        <v>0</v>
      </c>
      <c r="BP31" s="412">
        <f t="shared" si="80"/>
        <v>0</v>
      </c>
      <c r="BQ31" s="412">
        <f t="shared" si="186"/>
        <v>0</v>
      </c>
      <c r="BR31" s="414">
        <f t="shared" si="20"/>
        <v>0</v>
      </c>
    </row>
    <row r="32" spans="1:72" s="288" customFormat="1" ht="15" customHeight="1" x14ac:dyDescent="0.25">
      <c r="A32" s="406" t="s">
        <v>133</v>
      </c>
      <c r="B32" s="407"/>
      <c r="C32" s="408"/>
      <c r="D32" s="409">
        <v>111566.08</v>
      </c>
      <c r="E32" s="408" t="s">
        <v>179</v>
      </c>
      <c r="F32" s="410"/>
      <c r="G32" s="410"/>
      <c r="H32" s="465"/>
      <c r="I32" s="465"/>
      <c r="J32" s="465"/>
      <c r="K32" s="465"/>
      <c r="L32" s="410">
        <v>8.430232558139536E-2</v>
      </c>
      <c r="M32" s="466">
        <v>0.26744186046511637</v>
      </c>
      <c r="N32" s="410">
        <v>0.27616279069767452</v>
      </c>
      <c r="O32" s="410">
        <v>0.27034883720930242</v>
      </c>
      <c r="P32" s="410">
        <v>0.10174418604651164</v>
      </c>
      <c r="Q32" s="410"/>
      <c r="R32" s="410"/>
      <c r="S32" s="410"/>
      <c r="T32" s="410"/>
      <c r="U32" s="410"/>
      <c r="V32" s="410"/>
      <c r="W32" s="410"/>
      <c r="X32" s="410"/>
      <c r="Y32" s="410"/>
      <c r="Z32" s="411">
        <f t="shared" si="203"/>
        <v>1.0000000000000002</v>
      </c>
      <c r="AA32" s="408"/>
      <c r="AB32" s="408"/>
      <c r="AC32" s="412">
        <f t="shared" si="204"/>
        <v>0</v>
      </c>
      <c r="AD32" s="412">
        <f t="shared" si="204"/>
        <v>0</v>
      </c>
      <c r="AE32" s="412">
        <f t="shared" si="204"/>
        <v>0</v>
      </c>
      <c r="AF32" s="412">
        <f t="shared" si="204"/>
        <v>0</v>
      </c>
      <c r="AG32" s="412">
        <f t="shared" si="204"/>
        <v>0</v>
      </c>
      <c r="AH32" s="412">
        <f t="shared" si="204"/>
        <v>0</v>
      </c>
      <c r="AI32" s="409">
        <f t="shared" si="204"/>
        <v>9405.2800000000007</v>
      </c>
      <c r="AJ32" s="409">
        <f t="shared" si="204"/>
        <v>29837.44000000001</v>
      </c>
      <c r="AK32" s="409">
        <f t="shared" si="204"/>
        <v>30810.400000000012</v>
      </c>
      <c r="AL32" s="409">
        <f t="shared" si="204"/>
        <v>30161.760000000009</v>
      </c>
      <c r="AM32" s="409">
        <f t="shared" si="205"/>
        <v>11351.200000000003</v>
      </c>
      <c r="AN32" s="409">
        <f t="shared" si="205"/>
        <v>0</v>
      </c>
      <c r="AO32" s="409">
        <f t="shared" si="205"/>
        <v>0</v>
      </c>
      <c r="AP32" s="413">
        <f t="shared" si="205"/>
        <v>0</v>
      </c>
      <c r="AQ32" s="413">
        <f t="shared" si="205"/>
        <v>0</v>
      </c>
      <c r="AR32" s="413">
        <f t="shared" si="205"/>
        <v>0</v>
      </c>
      <c r="AS32" s="413">
        <f t="shared" si="205"/>
        <v>0</v>
      </c>
      <c r="AT32" s="413">
        <f t="shared" si="205"/>
        <v>0</v>
      </c>
      <c r="AU32" s="412">
        <f t="shared" si="205"/>
        <v>0</v>
      </c>
      <c r="AV32" s="412"/>
      <c r="AW32" s="412"/>
      <c r="AX32" s="412">
        <f t="shared" si="80"/>
        <v>0</v>
      </c>
      <c r="AY32" s="412">
        <f t="shared" si="80"/>
        <v>0</v>
      </c>
      <c r="AZ32" s="409">
        <f t="shared" si="80"/>
        <v>0</v>
      </c>
      <c r="BA32" s="412">
        <f t="shared" si="80"/>
        <v>0</v>
      </c>
      <c r="BB32" s="412">
        <f t="shared" si="80"/>
        <v>0</v>
      </c>
      <c r="BC32" s="412">
        <f t="shared" si="80"/>
        <v>0</v>
      </c>
      <c r="BD32" s="412">
        <f t="shared" si="80"/>
        <v>111566.08</v>
      </c>
      <c r="BE32" s="412">
        <f t="shared" si="80"/>
        <v>0</v>
      </c>
      <c r="BF32" s="412">
        <f t="shared" si="80"/>
        <v>0</v>
      </c>
      <c r="BG32" s="412">
        <f t="shared" si="80"/>
        <v>0</v>
      </c>
      <c r="BH32" s="412">
        <f t="shared" si="80"/>
        <v>0</v>
      </c>
      <c r="BI32" s="412">
        <f t="shared" si="80"/>
        <v>0</v>
      </c>
      <c r="BJ32" s="412">
        <f t="shared" si="80"/>
        <v>0</v>
      </c>
      <c r="BK32" s="412">
        <f t="shared" si="80"/>
        <v>0</v>
      </c>
      <c r="BL32" s="412">
        <f t="shared" si="80"/>
        <v>0</v>
      </c>
      <c r="BM32" s="412">
        <f t="shared" si="80"/>
        <v>0</v>
      </c>
      <c r="BN32" s="412">
        <f t="shared" si="80"/>
        <v>0</v>
      </c>
      <c r="BO32" s="412">
        <f t="shared" si="80"/>
        <v>0</v>
      </c>
      <c r="BP32" s="412">
        <f t="shared" si="80"/>
        <v>0</v>
      </c>
      <c r="BQ32" s="412">
        <f t="shared" si="186"/>
        <v>0</v>
      </c>
      <c r="BR32" s="414">
        <f t="shared" si="20"/>
        <v>0</v>
      </c>
    </row>
    <row r="33" spans="1:70" s="288" customFormat="1" ht="15" customHeight="1" x14ac:dyDescent="0.25">
      <c r="A33" s="406" t="s">
        <v>133</v>
      </c>
      <c r="B33" s="407"/>
      <c r="C33" s="408"/>
      <c r="D33" s="409">
        <v>7725.48</v>
      </c>
      <c r="E33" s="408" t="s">
        <v>179</v>
      </c>
      <c r="F33" s="410"/>
      <c r="G33" s="410"/>
      <c r="H33" s="410"/>
      <c r="I33" s="410"/>
      <c r="J33" s="410"/>
      <c r="K33" s="410">
        <v>0</v>
      </c>
      <c r="L33" s="410">
        <v>1</v>
      </c>
      <c r="M33" s="410">
        <v>0</v>
      </c>
      <c r="N33" s="410">
        <v>0</v>
      </c>
      <c r="O33" s="410">
        <v>0</v>
      </c>
      <c r="P33" s="410">
        <v>0</v>
      </c>
      <c r="Q33" s="410">
        <v>0</v>
      </c>
      <c r="R33" s="410">
        <v>0</v>
      </c>
      <c r="S33" s="410"/>
      <c r="T33" s="410"/>
      <c r="U33" s="410"/>
      <c r="V33" s="410"/>
      <c r="W33" s="410"/>
      <c r="X33" s="410"/>
      <c r="Y33" s="410"/>
      <c r="Z33" s="411">
        <f t="shared" si="203"/>
        <v>1</v>
      </c>
      <c r="AA33" s="408"/>
      <c r="AB33" s="408"/>
      <c r="AC33" s="412">
        <f t="shared" si="204"/>
        <v>0</v>
      </c>
      <c r="AD33" s="412">
        <f t="shared" si="204"/>
        <v>0</v>
      </c>
      <c r="AE33" s="412">
        <f t="shared" si="204"/>
        <v>0</v>
      </c>
      <c r="AF33" s="412">
        <f t="shared" si="204"/>
        <v>0</v>
      </c>
      <c r="AG33" s="412">
        <f t="shared" si="204"/>
        <v>0</v>
      </c>
      <c r="AH33" s="412">
        <f t="shared" si="204"/>
        <v>0</v>
      </c>
      <c r="AI33" s="409">
        <f t="shared" si="204"/>
        <v>7725.48</v>
      </c>
      <c r="AJ33" s="409">
        <f t="shared" si="204"/>
        <v>0</v>
      </c>
      <c r="AK33" s="409">
        <f t="shared" si="204"/>
        <v>0</v>
      </c>
      <c r="AL33" s="409">
        <f t="shared" si="204"/>
        <v>0</v>
      </c>
      <c r="AM33" s="409">
        <f t="shared" si="205"/>
        <v>0</v>
      </c>
      <c r="AN33" s="409">
        <f t="shared" si="205"/>
        <v>0</v>
      </c>
      <c r="AO33" s="409">
        <f t="shared" si="205"/>
        <v>0</v>
      </c>
      <c r="AP33" s="413">
        <f t="shared" si="205"/>
        <v>0</v>
      </c>
      <c r="AQ33" s="413">
        <f t="shared" si="205"/>
        <v>0</v>
      </c>
      <c r="AR33" s="413">
        <f t="shared" si="205"/>
        <v>0</v>
      </c>
      <c r="AS33" s="413">
        <f t="shared" si="205"/>
        <v>0</v>
      </c>
      <c r="AT33" s="413">
        <f t="shared" si="205"/>
        <v>0</v>
      </c>
      <c r="AU33" s="412">
        <f t="shared" si="205"/>
        <v>0</v>
      </c>
      <c r="AV33" s="412"/>
      <c r="AW33" s="412"/>
      <c r="AX33" s="412">
        <f t="shared" si="80"/>
        <v>0</v>
      </c>
      <c r="AY33" s="412">
        <f t="shared" si="80"/>
        <v>0</v>
      </c>
      <c r="AZ33" s="409">
        <f t="shared" si="80"/>
        <v>0</v>
      </c>
      <c r="BA33" s="412">
        <f t="shared" si="80"/>
        <v>0</v>
      </c>
      <c r="BB33" s="412">
        <f t="shared" si="80"/>
        <v>0</v>
      </c>
      <c r="BC33" s="412">
        <f t="shared" si="80"/>
        <v>0</v>
      </c>
      <c r="BD33" s="412">
        <f t="shared" si="80"/>
        <v>7725.48</v>
      </c>
      <c r="BE33" s="412">
        <f t="shared" si="80"/>
        <v>0</v>
      </c>
      <c r="BF33" s="412">
        <f t="shared" si="80"/>
        <v>0</v>
      </c>
      <c r="BG33" s="412">
        <f t="shared" si="80"/>
        <v>0</v>
      </c>
      <c r="BH33" s="412">
        <f t="shared" si="80"/>
        <v>0</v>
      </c>
      <c r="BI33" s="412">
        <f t="shared" si="80"/>
        <v>0</v>
      </c>
      <c r="BJ33" s="412">
        <f t="shared" si="80"/>
        <v>0</v>
      </c>
      <c r="BK33" s="412">
        <f t="shared" si="80"/>
        <v>0</v>
      </c>
      <c r="BL33" s="412">
        <f t="shared" si="80"/>
        <v>0</v>
      </c>
      <c r="BM33" s="412">
        <f t="shared" si="80"/>
        <v>0</v>
      </c>
      <c r="BN33" s="412">
        <f t="shared" si="80"/>
        <v>0</v>
      </c>
      <c r="BO33" s="412">
        <f t="shared" si="80"/>
        <v>0</v>
      </c>
      <c r="BP33" s="412">
        <f t="shared" si="80"/>
        <v>0</v>
      </c>
      <c r="BQ33" s="412">
        <f t="shared" si="186"/>
        <v>0</v>
      </c>
      <c r="BR33" s="414">
        <f t="shared" si="20"/>
        <v>0</v>
      </c>
    </row>
    <row r="34" spans="1:70" s="288" customFormat="1" ht="15" customHeight="1" x14ac:dyDescent="0.25">
      <c r="A34" s="406" t="s">
        <v>133</v>
      </c>
      <c r="B34" s="407"/>
      <c r="C34" s="408"/>
      <c r="D34" s="409">
        <v>1241.07</v>
      </c>
      <c r="E34" s="408" t="s">
        <v>218</v>
      </c>
      <c r="F34" s="410"/>
      <c r="G34" s="410"/>
      <c r="H34" s="410"/>
      <c r="I34" s="410"/>
      <c r="J34" s="410"/>
      <c r="K34" s="410">
        <v>0</v>
      </c>
      <c r="L34" s="410">
        <v>0</v>
      </c>
      <c r="M34" s="410">
        <v>1</v>
      </c>
      <c r="N34" s="410">
        <v>0</v>
      </c>
      <c r="O34" s="410">
        <v>0</v>
      </c>
      <c r="P34" s="410">
        <v>0</v>
      </c>
      <c r="Q34" s="410">
        <v>0</v>
      </c>
      <c r="R34" s="410">
        <v>0</v>
      </c>
      <c r="S34" s="410"/>
      <c r="T34" s="410"/>
      <c r="U34" s="410"/>
      <c r="V34" s="410"/>
      <c r="W34" s="410"/>
      <c r="X34" s="410"/>
      <c r="Y34" s="410"/>
      <c r="Z34" s="411">
        <f t="shared" si="203"/>
        <v>1</v>
      </c>
      <c r="AA34" s="408"/>
      <c r="AB34" s="408"/>
      <c r="AC34" s="412">
        <f t="shared" si="204"/>
        <v>0</v>
      </c>
      <c r="AD34" s="412">
        <f t="shared" si="204"/>
        <v>0</v>
      </c>
      <c r="AE34" s="412">
        <f t="shared" si="204"/>
        <v>0</v>
      </c>
      <c r="AF34" s="412">
        <f t="shared" si="204"/>
        <v>0</v>
      </c>
      <c r="AG34" s="412">
        <f t="shared" si="204"/>
        <v>0</v>
      </c>
      <c r="AH34" s="412">
        <f t="shared" si="204"/>
        <v>0</v>
      </c>
      <c r="AI34" s="409">
        <f t="shared" si="204"/>
        <v>0</v>
      </c>
      <c r="AJ34" s="409">
        <f t="shared" si="204"/>
        <v>1241.07</v>
      </c>
      <c r="AK34" s="409">
        <f t="shared" si="204"/>
        <v>0</v>
      </c>
      <c r="AL34" s="409">
        <f t="shared" si="204"/>
        <v>0</v>
      </c>
      <c r="AM34" s="409">
        <f t="shared" si="205"/>
        <v>0</v>
      </c>
      <c r="AN34" s="409">
        <f t="shared" si="205"/>
        <v>0</v>
      </c>
      <c r="AO34" s="409">
        <f t="shared" si="205"/>
        <v>0</v>
      </c>
      <c r="AP34" s="413">
        <f t="shared" si="205"/>
        <v>0</v>
      </c>
      <c r="AQ34" s="413">
        <f t="shared" si="205"/>
        <v>0</v>
      </c>
      <c r="AR34" s="413">
        <f t="shared" si="205"/>
        <v>0</v>
      </c>
      <c r="AS34" s="413">
        <f t="shared" si="205"/>
        <v>0</v>
      </c>
      <c r="AT34" s="413">
        <f t="shared" si="205"/>
        <v>0</v>
      </c>
      <c r="AU34" s="412">
        <f t="shared" si="205"/>
        <v>0</v>
      </c>
      <c r="AV34" s="412"/>
      <c r="AW34" s="412"/>
      <c r="AX34" s="412">
        <f t="shared" si="80"/>
        <v>0</v>
      </c>
      <c r="AY34" s="412">
        <f t="shared" si="80"/>
        <v>0</v>
      </c>
      <c r="AZ34" s="409">
        <f t="shared" si="80"/>
        <v>0</v>
      </c>
      <c r="BA34" s="412">
        <f t="shared" si="80"/>
        <v>0</v>
      </c>
      <c r="BB34" s="412">
        <f t="shared" si="80"/>
        <v>0</v>
      </c>
      <c r="BC34" s="412">
        <f t="shared" si="80"/>
        <v>0</v>
      </c>
      <c r="BD34" s="412">
        <f t="shared" si="80"/>
        <v>0</v>
      </c>
      <c r="BE34" s="412">
        <f t="shared" si="80"/>
        <v>1241.07</v>
      </c>
      <c r="BF34" s="412">
        <f t="shared" si="80"/>
        <v>0</v>
      </c>
      <c r="BG34" s="412">
        <f t="shared" si="80"/>
        <v>0</v>
      </c>
      <c r="BH34" s="412">
        <f t="shared" si="80"/>
        <v>0</v>
      </c>
      <c r="BI34" s="412">
        <f t="shared" si="80"/>
        <v>0</v>
      </c>
      <c r="BJ34" s="412">
        <f t="shared" si="80"/>
        <v>0</v>
      </c>
      <c r="BK34" s="412">
        <f t="shared" si="80"/>
        <v>0</v>
      </c>
      <c r="BL34" s="412">
        <f t="shared" si="80"/>
        <v>0</v>
      </c>
      <c r="BM34" s="412">
        <f t="shared" si="80"/>
        <v>0</v>
      </c>
      <c r="BN34" s="412">
        <f t="shared" si="80"/>
        <v>0</v>
      </c>
      <c r="BO34" s="412">
        <f t="shared" si="80"/>
        <v>0</v>
      </c>
      <c r="BP34" s="412">
        <f t="shared" si="80"/>
        <v>0</v>
      </c>
      <c r="BQ34" s="412">
        <f t="shared" si="186"/>
        <v>0</v>
      </c>
      <c r="BR34" s="414">
        <f t="shared" si="20"/>
        <v>0</v>
      </c>
    </row>
    <row r="35" spans="1:70" s="288" customFormat="1" ht="15" customHeight="1" x14ac:dyDescent="0.25">
      <c r="A35" s="406" t="s">
        <v>133</v>
      </c>
      <c r="B35" s="407"/>
      <c r="C35" s="408"/>
      <c r="D35" s="409">
        <v>167.23</v>
      </c>
      <c r="E35" s="408" t="s">
        <v>240</v>
      </c>
      <c r="F35" s="410"/>
      <c r="G35" s="410"/>
      <c r="H35" s="410"/>
      <c r="I35" s="410"/>
      <c r="J35" s="410"/>
      <c r="K35" s="410">
        <v>0</v>
      </c>
      <c r="L35" s="410">
        <v>0</v>
      </c>
      <c r="M35" s="410">
        <v>0</v>
      </c>
      <c r="N35" s="410">
        <v>1</v>
      </c>
      <c r="O35" s="410">
        <v>0</v>
      </c>
      <c r="P35" s="410">
        <v>0</v>
      </c>
      <c r="Q35" s="410">
        <v>0</v>
      </c>
      <c r="R35" s="410">
        <v>0</v>
      </c>
      <c r="S35" s="410"/>
      <c r="T35" s="410"/>
      <c r="U35" s="410"/>
      <c r="V35" s="410"/>
      <c r="W35" s="410"/>
      <c r="X35" s="410"/>
      <c r="Y35" s="410"/>
      <c r="Z35" s="411">
        <f t="shared" si="203"/>
        <v>1</v>
      </c>
      <c r="AA35" s="408"/>
      <c r="AB35" s="408"/>
      <c r="AC35" s="412">
        <f t="shared" si="204"/>
        <v>0</v>
      </c>
      <c r="AD35" s="412">
        <f t="shared" si="204"/>
        <v>0</v>
      </c>
      <c r="AE35" s="412">
        <f t="shared" si="204"/>
        <v>0</v>
      </c>
      <c r="AF35" s="412">
        <f t="shared" si="204"/>
        <v>0</v>
      </c>
      <c r="AG35" s="412">
        <f t="shared" si="204"/>
        <v>0</v>
      </c>
      <c r="AH35" s="412">
        <f t="shared" si="204"/>
        <v>0</v>
      </c>
      <c r="AI35" s="409">
        <f t="shared" si="204"/>
        <v>0</v>
      </c>
      <c r="AJ35" s="409">
        <f t="shared" si="204"/>
        <v>0</v>
      </c>
      <c r="AK35" s="409">
        <f t="shared" si="204"/>
        <v>167.23</v>
      </c>
      <c r="AL35" s="409">
        <f t="shared" si="204"/>
        <v>0</v>
      </c>
      <c r="AM35" s="409">
        <f t="shared" si="205"/>
        <v>0</v>
      </c>
      <c r="AN35" s="409">
        <f t="shared" si="205"/>
        <v>0</v>
      </c>
      <c r="AO35" s="409">
        <f t="shared" si="205"/>
        <v>0</v>
      </c>
      <c r="AP35" s="413">
        <f t="shared" si="205"/>
        <v>0</v>
      </c>
      <c r="AQ35" s="413">
        <f t="shared" si="205"/>
        <v>0</v>
      </c>
      <c r="AR35" s="413">
        <f t="shared" si="205"/>
        <v>0</v>
      </c>
      <c r="AS35" s="413">
        <f t="shared" si="205"/>
        <v>0</v>
      </c>
      <c r="AT35" s="413">
        <f t="shared" si="205"/>
        <v>0</v>
      </c>
      <c r="AU35" s="412">
        <f t="shared" si="205"/>
        <v>0</v>
      </c>
      <c r="AV35" s="412"/>
      <c r="AW35" s="412"/>
      <c r="AX35" s="412">
        <f t="shared" si="80"/>
        <v>0</v>
      </c>
      <c r="AY35" s="412">
        <f t="shared" si="80"/>
        <v>0</v>
      </c>
      <c r="AZ35" s="409">
        <f t="shared" si="80"/>
        <v>0</v>
      </c>
      <c r="BA35" s="412">
        <f t="shared" si="80"/>
        <v>0</v>
      </c>
      <c r="BB35" s="412">
        <f t="shared" si="80"/>
        <v>0</v>
      </c>
      <c r="BC35" s="412">
        <f t="shared" si="80"/>
        <v>0</v>
      </c>
      <c r="BD35" s="412">
        <f t="shared" si="80"/>
        <v>0</v>
      </c>
      <c r="BE35" s="412">
        <f t="shared" si="80"/>
        <v>0</v>
      </c>
      <c r="BF35" s="412">
        <f t="shared" si="80"/>
        <v>167.23</v>
      </c>
      <c r="BG35" s="412">
        <f t="shared" si="80"/>
        <v>0</v>
      </c>
      <c r="BH35" s="412">
        <f t="shared" si="80"/>
        <v>0</v>
      </c>
      <c r="BI35" s="412">
        <f t="shared" si="80"/>
        <v>0</v>
      </c>
      <c r="BJ35" s="412">
        <f t="shared" si="80"/>
        <v>0</v>
      </c>
      <c r="BK35" s="412">
        <f t="shared" si="80"/>
        <v>0</v>
      </c>
      <c r="BL35" s="412">
        <f t="shared" si="80"/>
        <v>0</v>
      </c>
      <c r="BM35" s="412">
        <f t="shared" si="80"/>
        <v>0</v>
      </c>
      <c r="BN35" s="412">
        <f t="shared" si="80"/>
        <v>0</v>
      </c>
      <c r="BO35" s="412">
        <f t="shared" si="80"/>
        <v>0</v>
      </c>
      <c r="BP35" s="412">
        <f t="shared" si="80"/>
        <v>0</v>
      </c>
      <c r="BQ35" s="412">
        <f t="shared" si="186"/>
        <v>0</v>
      </c>
      <c r="BR35" s="414">
        <f t="shared" si="20"/>
        <v>0</v>
      </c>
    </row>
    <row r="36" spans="1:70" s="288" customFormat="1" ht="15" customHeight="1" x14ac:dyDescent="0.25">
      <c r="A36" s="406" t="s">
        <v>133</v>
      </c>
      <c r="B36" s="407"/>
      <c r="C36" s="408"/>
      <c r="D36" s="409">
        <v>35945</v>
      </c>
      <c r="E36" s="408" t="s">
        <v>257</v>
      </c>
      <c r="F36" s="410">
        <v>0</v>
      </c>
      <c r="G36" s="410"/>
      <c r="H36" s="410"/>
      <c r="I36" s="410"/>
      <c r="J36" s="410"/>
      <c r="K36" s="410"/>
      <c r="L36" s="410">
        <v>0</v>
      </c>
      <c r="M36" s="410">
        <v>0</v>
      </c>
      <c r="N36" s="410">
        <v>0</v>
      </c>
      <c r="O36" s="410">
        <v>0</v>
      </c>
      <c r="P36" s="410">
        <v>0</v>
      </c>
      <c r="Q36" s="410">
        <v>0.29046153846153844</v>
      </c>
      <c r="R36" s="410">
        <v>0.30523076923076925</v>
      </c>
      <c r="S36" s="410">
        <v>0.31015384615384617</v>
      </c>
      <c r="T36" s="410">
        <f>1-(S36+R36+Q36)</f>
        <v>9.4153846153846144E-2</v>
      </c>
      <c r="U36" s="410"/>
      <c r="V36" s="410"/>
      <c r="W36" s="410"/>
      <c r="X36" s="410"/>
      <c r="Y36" s="410"/>
      <c r="Z36" s="411">
        <f t="shared" si="21"/>
        <v>1</v>
      </c>
      <c r="AA36" s="408"/>
      <c r="AB36" s="408"/>
      <c r="AC36" s="412">
        <f t="shared" ref="AC36" si="207">F36*$D36</f>
        <v>0</v>
      </c>
      <c r="AD36" s="412">
        <f t="shared" ref="AD36" si="208">G36*$D36</f>
        <v>0</v>
      </c>
      <c r="AE36" s="412">
        <f t="shared" ref="AE36" si="209">H36*$D36</f>
        <v>0</v>
      </c>
      <c r="AF36" s="412">
        <f t="shared" ref="AF36" si="210">I36*$D36</f>
        <v>0</v>
      </c>
      <c r="AG36" s="412">
        <f t="shared" ref="AG36" si="211">J36*$D36</f>
        <v>0</v>
      </c>
      <c r="AH36" s="412">
        <f t="shared" ref="AH36" si="212">K36*$D36</f>
        <v>0</v>
      </c>
      <c r="AI36" s="409">
        <f t="shared" ref="AI36" si="213">L36*$D36</f>
        <v>0</v>
      </c>
      <c r="AJ36" s="409">
        <f t="shared" ref="AJ36" si="214">M36*$D36</f>
        <v>0</v>
      </c>
      <c r="AK36" s="409">
        <f t="shared" ref="AK36" si="215">N36*$D36</f>
        <v>0</v>
      </c>
      <c r="AL36" s="409">
        <f t="shared" ref="AL36" si="216">O36*$D36</f>
        <v>0</v>
      </c>
      <c r="AM36" s="409">
        <f t="shared" ref="AM36" si="217">P36*$D36</f>
        <v>0</v>
      </c>
      <c r="AN36" s="409">
        <f t="shared" ref="AN36" si="218">Q36*$D36</f>
        <v>10440.64</v>
      </c>
      <c r="AO36" s="409">
        <f t="shared" ref="AO36" si="219">R36*$D36</f>
        <v>10971.52</v>
      </c>
      <c r="AP36" s="413">
        <f t="shared" ref="AP36" si="220">S36*$D36</f>
        <v>11148.480000000001</v>
      </c>
      <c r="AQ36" s="413">
        <f t="shared" ref="AQ36" si="221">T36*$D36</f>
        <v>3384.3599999999997</v>
      </c>
      <c r="AR36" s="413">
        <f t="shared" ref="AR36" si="222">U36*$D36</f>
        <v>0</v>
      </c>
      <c r="AS36" s="413">
        <f t="shared" ref="AS36" si="223">V36*$D36</f>
        <v>0</v>
      </c>
      <c r="AT36" s="413">
        <f t="shared" ref="AT36" si="224">W36*$D36</f>
        <v>0</v>
      </c>
      <c r="AU36" s="412">
        <f t="shared" ref="AU36" si="225">X36*$D36</f>
        <v>0</v>
      </c>
      <c r="AV36" s="412"/>
      <c r="AW36" s="412"/>
      <c r="AX36" s="412">
        <f t="shared" si="17"/>
        <v>0</v>
      </c>
      <c r="AY36" s="412">
        <f t="shared" si="17"/>
        <v>0</v>
      </c>
      <c r="AZ36" s="409">
        <f t="shared" si="17"/>
        <v>0</v>
      </c>
      <c r="BA36" s="412">
        <f t="shared" si="181"/>
        <v>0</v>
      </c>
      <c r="BB36" s="412">
        <f t="shared" si="17"/>
        <v>0</v>
      </c>
      <c r="BC36" s="412">
        <f t="shared" si="17"/>
        <v>0</v>
      </c>
      <c r="BD36" s="412">
        <f t="shared" si="202"/>
        <v>0</v>
      </c>
      <c r="BE36" s="412">
        <f t="shared" si="202"/>
        <v>0</v>
      </c>
      <c r="BF36" s="412">
        <f t="shared" si="202"/>
        <v>0</v>
      </c>
      <c r="BG36" s="412">
        <f t="shared" si="202"/>
        <v>0</v>
      </c>
      <c r="BH36" s="413">
        <f t="shared" si="202"/>
        <v>35945</v>
      </c>
      <c r="BI36" s="412">
        <f t="shared" si="202"/>
        <v>0</v>
      </c>
      <c r="BJ36" s="412">
        <f t="shared" si="202"/>
        <v>0</v>
      </c>
      <c r="BK36" s="412">
        <f t="shared" si="202"/>
        <v>0</v>
      </c>
      <c r="BL36" s="412">
        <f t="shared" si="202"/>
        <v>0</v>
      </c>
      <c r="BM36" s="412">
        <f t="shared" si="101"/>
        <v>0</v>
      </c>
      <c r="BN36" s="412">
        <f t="shared" si="80"/>
        <v>0</v>
      </c>
      <c r="BO36" s="412">
        <f t="shared" si="80"/>
        <v>0</v>
      </c>
      <c r="BP36" s="412">
        <f t="shared" si="80"/>
        <v>0</v>
      </c>
      <c r="BQ36" s="412">
        <f t="shared" si="186"/>
        <v>0</v>
      </c>
      <c r="BR36" s="414">
        <f t="shared" si="20"/>
        <v>0</v>
      </c>
    </row>
    <row r="37" spans="1:70" s="288" customFormat="1" ht="15" customHeight="1" x14ac:dyDescent="0.25">
      <c r="A37" s="406" t="s">
        <v>133</v>
      </c>
      <c r="B37" s="407"/>
      <c r="C37" s="408"/>
      <c r="D37" s="409">
        <v>18759</v>
      </c>
      <c r="E37" s="408" t="s">
        <v>257</v>
      </c>
      <c r="F37" s="410"/>
      <c r="G37" s="410"/>
      <c r="H37" s="410"/>
      <c r="I37" s="410"/>
      <c r="J37" s="410"/>
      <c r="K37" s="410"/>
      <c r="L37" s="410">
        <v>0</v>
      </c>
      <c r="M37" s="410">
        <v>0</v>
      </c>
      <c r="N37" s="410">
        <v>0</v>
      </c>
      <c r="O37" s="410">
        <v>0</v>
      </c>
      <c r="P37" s="410">
        <v>0.1723076923076923</v>
      </c>
      <c r="Q37" s="410">
        <v>0.24820512820512819</v>
      </c>
      <c r="R37" s="410">
        <v>0.25435897435897431</v>
      </c>
      <c r="S37" s="410">
        <v>0.25846153846153846</v>
      </c>
      <c r="T37" s="410">
        <f>1-(S37+R37+Q37+P37)</f>
        <v>6.6666666666666763E-2</v>
      </c>
      <c r="U37" s="410"/>
      <c r="V37" s="410"/>
      <c r="W37" s="410"/>
      <c r="X37" s="410"/>
      <c r="Y37" s="410"/>
      <c r="Z37" s="411">
        <f t="shared" ref="Z37" si="226">SUM(F37:X37)</f>
        <v>1</v>
      </c>
      <c r="AA37" s="408"/>
      <c r="AB37" s="408"/>
      <c r="AC37" s="412">
        <f t="shared" ref="AC37" si="227">F37*$D37</f>
        <v>0</v>
      </c>
      <c r="AD37" s="412">
        <f t="shared" ref="AD37" si="228">G37*$D37</f>
        <v>0</v>
      </c>
      <c r="AE37" s="412">
        <f t="shared" ref="AE37" si="229">H37*$D37</f>
        <v>0</v>
      </c>
      <c r="AF37" s="412">
        <f t="shared" ref="AF37" si="230">I37*$D37</f>
        <v>0</v>
      </c>
      <c r="AG37" s="412">
        <f t="shared" ref="AG37" si="231">J37*$D37</f>
        <v>0</v>
      </c>
      <c r="AH37" s="412">
        <f t="shared" ref="AH37" si="232">K37*$D37</f>
        <v>0</v>
      </c>
      <c r="AI37" s="409">
        <f t="shared" ref="AI37" si="233">L37*$D37</f>
        <v>0</v>
      </c>
      <c r="AJ37" s="409">
        <f t="shared" ref="AJ37" si="234">M37*$D37</f>
        <v>0</v>
      </c>
      <c r="AK37" s="409">
        <f t="shared" ref="AK37" si="235">N37*$D37</f>
        <v>0</v>
      </c>
      <c r="AL37" s="409">
        <f t="shared" ref="AL37" si="236">O37*$D37</f>
        <v>0</v>
      </c>
      <c r="AM37" s="409">
        <f t="shared" ref="AM37" si="237">P37*$D37</f>
        <v>3232.3199999999997</v>
      </c>
      <c r="AN37" s="409">
        <f t="shared" ref="AN37" si="238">Q37*$D37</f>
        <v>4656.08</v>
      </c>
      <c r="AO37" s="409">
        <f t="shared" ref="AO37" si="239">R37*$D37</f>
        <v>4771.5199999999995</v>
      </c>
      <c r="AP37" s="413">
        <f t="shared" ref="AP37" si="240">S37*$D37</f>
        <v>4848.4800000000005</v>
      </c>
      <c r="AQ37" s="413">
        <f t="shared" ref="AQ37" si="241">T37*$D37</f>
        <v>1250.6000000000017</v>
      </c>
      <c r="AR37" s="413">
        <f t="shared" ref="AR37" si="242">U37*$D37</f>
        <v>0</v>
      </c>
      <c r="AS37" s="413">
        <f t="shared" ref="AS37" si="243">V37*$D37</f>
        <v>0</v>
      </c>
      <c r="AT37" s="413">
        <f t="shared" ref="AT37" si="244">W37*$D37</f>
        <v>0</v>
      </c>
      <c r="AU37" s="412">
        <f t="shared" ref="AU37" si="245">X37*$D37</f>
        <v>0</v>
      </c>
      <c r="AV37" s="412"/>
      <c r="AW37" s="412"/>
      <c r="AX37" s="412">
        <f t="shared" ref="AX37:BL37" si="246">IF(AX$3=$E37,$D37,0)</f>
        <v>0</v>
      </c>
      <c r="AY37" s="412">
        <f t="shared" si="246"/>
        <v>0</v>
      </c>
      <c r="AZ37" s="409">
        <f t="shared" si="246"/>
        <v>0</v>
      </c>
      <c r="BA37" s="412">
        <f t="shared" si="181"/>
        <v>0</v>
      </c>
      <c r="BB37" s="412">
        <f t="shared" si="246"/>
        <v>0</v>
      </c>
      <c r="BC37" s="412">
        <f t="shared" si="246"/>
        <v>0</v>
      </c>
      <c r="BD37" s="412">
        <f t="shared" si="246"/>
        <v>0</v>
      </c>
      <c r="BE37" s="412">
        <f t="shared" si="246"/>
        <v>0</v>
      </c>
      <c r="BF37" s="412">
        <f t="shared" si="246"/>
        <v>0</v>
      </c>
      <c r="BG37" s="412">
        <f t="shared" si="246"/>
        <v>0</v>
      </c>
      <c r="BH37" s="412">
        <f t="shared" si="246"/>
        <v>18759</v>
      </c>
      <c r="BI37" s="412">
        <f t="shared" si="246"/>
        <v>0</v>
      </c>
      <c r="BJ37" s="412">
        <f t="shared" si="246"/>
        <v>0</v>
      </c>
      <c r="BK37" s="412">
        <f t="shared" si="246"/>
        <v>0</v>
      </c>
      <c r="BL37" s="412">
        <f t="shared" si="246"/>
        <v>0</v>
      </c>
      <c r="BM37" s="412">
        <f t="shared" si="101"/>
        <v>0</v>
      </c>
      <c r="BN37" s="412">
        <f t="shared" si="80"/>
        <v>0</v>
      </c>
      <c r="BO37" s="412">
        <f t="shared" si="80"/>
        <v>0</v>
      </c>
      <c r="BP37" s="412">
        <f t="shared" si="80"/>
        <v>0</v>
      </c>
      <c r="BQ37" s="412">
        <f t="shared" si="186"/>
        <v>0</v>
      </c>
      <c r="BR37" s="414">
        <f t="shared" si="20"/>
        <v>0</v>
      </c>
    </row>
    <row r="38" spans="1:70" s="288" customFormat="1" ht="15" customHeight="1" x14ac:dyDescent="0.25">
      <c r="A38" s="406" t="s">
        <v>133</v>
      </c>
      <c r="B38" s="407"/>
      <c r="C38" s="408"/>
      <c r="D38" s="409">
        <v>9982.7999999999993</v>
      </c>
      <c r="E38" s="408" t="s">
        <v>257</v>
      </c>
      <c r="F38" s="410"/>
      <c r="G38" s="410"/>
      <c r="H38" s="410"/>
      <c r="I38" s="410"/>
      <c r="J38" s="410"/>
      <c r="K38" s="410">
        <v>0</v>
      </c>
      <c r="L38" s="410">
        <v>0</v>
      </c>
      <c r="M38" s="410">
        <v>0</v>
      </c>
      <c r="N38" s="410">
        <v>0</v>
      </c>
      <c r="O38" s="410">
        <v>0</v>
      </c>
      <c r="P38" s="410">
        <v>0</v>
      </c>
      <c r="Q38" s="410">
        <v>1</v>
      </c>
      <c r="R38" s="410">
        <v>0</v>
      </c>
      <c r="S38" s="410">
        <v>0</v>
      </c>
      <c r="T38" s="410">
        <v>0</v>
      </c>
      <c r="U38" s="410"/>
      <c r="V38" s="410"/>
      <c r="W38" s="410"/>
      <c r="X38" s="410"/>
      <c r="Y38" s="410"/>
      <c r="Z38" s="411">
        <f t="shared" ref="Z38" si="247">SUM(F38:X38)</f>
        <v>1</v>
      </c>
      <c r="AA38" s="408"/>
      <c r="AB38" s="408"/>
      <c r="AC38" s="412">
        <f t="shared" ref="AC38" si="248">F38*$D38</f>
        <v>0</v>
      </c>
      <c r="AD38" s="412">
        <f t="shared" ref="AD38" si="249">G38*$D38</f>
        <v>0</v>
      </c>
      <c r="AE38" s="412">
        <f t="shared" ref="AE38" si="250">H38*$D38</f>
        <v>0</v>
      </c>
      <c r="AF38" s="412">
        <f t="shared" ref="AF38" si="251">I38*$D38</f>
        <v>0</v>
      </c>
      <c r="AG38" s="412">
        <f t="shared" ref="AG38" si="252">J38*$D38</f>
        <v>0</v>
      </c>
      <c r="AH38" s="412">
        <f t="shared" ref="AH38" si="253">K38*$D38</f>
        <v>0</v>
      </c>
      <c r="AI38" s="409">
        <f t="shared" ref="AI38" si="254">L38*$D38</f>
        <v>0</v>
      </c>
      <c r="AJ38" s="409">
        <f t="shared" ref="AJ38" si="255">M38*$D38</f>
        <v>0</v>
      </c>
      <c r="AK38" s="409">
        <f t="shared" ref="AK38" si="256">N38*$D38</f>
        <v>0</v>
      </c>
      <c r="AL38" s="409">
        <f t="shared" ref="AL38" si="257">O38*$D38</f>
        <v>0</v>
      </c>
      <c r="AM38" s="409">
        <f t="shared" ref="AM38" si="258">P38*$D38</f>
        <v>0</v>
      </c>
      <c r="AN38" s="409">
        <f t="shared" ref="AN38" si="259">Q38*$D38</f>
        <v>9982.7999999999993</v>
      </c>
      <c r="AO38" s="409">
        <f t="shared" ref="AO38" si="260">R38*$D38</f>
        <v>0</v>
      </c>
      <c r="AP38" s="413">
        <f t="shared" ref="AP38" si="261">S38*$D38</f>
        <v>0</v>
      </c>
      <c r="AQ38" s="413">
        <f t="shared" ref="AQ38" si="262">T38*$D38</f>
        <v>0</v>
      </c>
      <c r="AR38" s="413">
        <f t="shared" ref="AR38" si="263">U38*$D38</f>
        <v>0</v>
      </c>
      <c r="AS38" s="413">
        <f t="shared" ref="AS38" si="264">V38*$D38</f>
        <v>0</v>
      </c>
      <c r="AT38" s="413">
        <f t="shared" ref="AT38" si="265">W38*$D38</f>
        <v>0</v>
      </c>
      <c r="AU38" s="412">
        <f t="shared" ref="AU38" si="266">X38*$D38</f>
        <v>0</v>
      </c>
      <c r="AV38" s="412"/>
      <c r="AW38" s="412"/>
      <c r="AX38" s="412">
        <f t="shared" ref="AX38:BQ40" si="267">IF(AX$3=$E38,$D38,0)</f>
        <v>0</v>
      </c>
      <c r="AY38" s="412">
        <f t="shared" si="267"/>
        <v>0</v>
      </c>
      <c r="AZ38" s="409">
        <f t="shared" si="267"/>
        <v>0</v>
      </c>
      <c r="BA38" s="412">
        <f t="shared" si="181"/>
        <v>0</v>
      </c>
      <c r="BB38" s="412">
        <f t="shared" si="267"/>
        <v>0</v>
      </c>
      <c r="BC38" s="412">
        <f t="shared" si="267"/>
        <v>0</v>
      </c>
      <c r="BD38" s="412">
        <f t="shared" si="267"/>
        <v>0</v>
      </c>
      <c r="BE38" s="412">
        <f t="shared" si="267"/>
        <v>0</v>
      </c>
      <c r="BF38" s="412">
        <f t="shared" si="267"/>
        <v>0</v>
      </c>
      <c r="BG38" s="412">
        <f t="shared" si="267"/>
        <v>0</v>
      </c>
      <c r="BH38" s="413">
        <f t="shared" si="267"/>
        <v>9982.7999999999993</v>
      </c>
      <c r="BI38" s="412">
        <f t="shared" si="267"/>
        <v>0</v>
      </c>
      <c r="BJ38" s="412">
        <f t="shared" si="267"/>
        <v>0</v>
      </c>
      <c r="BK38" s="412">
        <f t="shared" si="267"/>
        <v>0</v>
      </c>
      <c r="BL38" s="412">
        <f t="shared" si="267"/>
        <v>0</v>
      </c>
      <c r="BM38" s="412">
        <f t="shared" si="267"/>
        <v>0</v>
      </c>
      <c r="BN38" s="412">
        <f t="shared" si="267"/>
        <v>0</v>
      </c>
      <c r="BO38" s="412">
        <f t="shared" si="267"/>
        <v>0</v>
      </c>
      <c r="BP38" s="412">
        <f t="shared" si="267"/>
        <v>0</v>
      </c>
      <c r="BQ38" s="412">
        <f t="shared" si="267"/>
        <v>0</v>
      </c>
      <c r="BR38" s="414">
        <f t="shared" si="20"/>
        <v>0</v>
      </c>
    </row>
    <row r="39" spans="1:70" s="288" customFormat="1" ht="15" customHeight="1" x14ac:dyDescent="0.25">
      <c r="A39" s="406" t="s">
        <v>133</v>
      </c>
      <c r="B39" s="407"/>
      <c r="C39" s="408"/>
      <c r="D39" s="409">
        <v>35002.5</v>
      </c>
      <c r="E39" s="408" t="s">
        <v>210</v>
      </c>
      <c r="F39" s="410"/>
      <c r="G39" s="410"/>
      <c r="H39" s="410"/>
      <c r="I39" s="410"/>
      <c r="J39" s="410"/>
      <c r="K39" s="410">
        <v>0</v>
      </c>
      <c r="L39" s="410">
        <v>0</v>
      </c>
      <c r="M39" s="410">
        <v>0</v>
      </c>
      <c r="N39" s="410">
        <v>0</v>
      </c>
      <c r="O39" s="410">
        <v>0</v>
      </c>
      <c r="P39" s="410">
        <v>0</v>
      </c>
      <c r="Q39" s="410">
        <v>0</v>
      </c>
      <c r="R39" s="410">
        <v>0</v>
      </c>
      <c r="S39" s="410">
        <v>0</v>
      </c>
      <c r="T39" s="410">
        <v>9.0909090909090912E-2</v>
      </c>
      <c r="U39" s="410">
        <v>0.27272727272727276</v>
      </c>
      <c r="V39" s="410">
        <v>0.27272727272727276</v>
      </c>
      <c r="W39" s="410">
        <v>0.27272727272727276</v>
      </c>
      <c r="X39" s="410">
        <v>9.0909090909090912E-2</v>
      </c>
      <c r="Y39" s="410"/>
      <c r="Z39" s="411">
        <f t="shared" ref="Z39" si="268">SUM(F39:X39)</f>
        <v>1</v>
      </c>
      <c r="AA39" s="408"/>
      <c r="AB39" s="408"/>
      <c r="AC39" s="412">
        <f t="shared" ref="AC39" si="269">F39*$D39</f>
        <v>0</v>
      </c>
      <c r="AD39" s="412">
        <f t="shared" ref="AD39" si="270">G39*$D39</f>
        <v>0</v>
      </c>
      <c r="AE39" s="412">
        <f t="shared" ref="AE39" si="271">H39*$D39</f>
        <v>0</v>
      </c>
      <c r="AF39" s="412">
        <f t="shared" ref="AF39" si="272">I39*$D39</f>
        <v>0</v>
      </c>
      <c r="AG39" s="412">
        <f t="shared" ref="AG39" si="273">J39*$D39</f>
        <v>0</v>
      </c>
      <c r="AH39" s="412">
        <f t="shared" ref="AH39" si="274">K39*$D39</f>
        <v>0</v>
      </c>
      <c r="AI39" s="409">
        <f t="shared" ref="AI39" si="275">L39*$D39</f>
        <v>0</v>
      </c>
      <c r="AJ39" s="409">
        <f t="shared" ref="AJ39" si="276">M39*$D39</f>
        <v>0</v>
      </c>
      <c r="AK39" s="409">
        <f t="shared" ref="AK39" si="277">N39*$D39</f>
        <v>0</v>
      </c>
      <c r="AL39" s="409">
        <f t="shared" ref="AL39" si="278">O39*$D39</f>
        <v>0</v>
      </c>
      <c r="AM39" s="409">
        <f t="shared" ref="AM39" si="279">P39*$D39</f>
        <v>0</v>
      </c>
      <c r="AN39" s="409">
        <f t="shared" ref="AN39" si="280">Q39*$D39</f>
        <v>0</v>
      </c>
      <c r="AO39" s="409">
        <f t="shared" ref="AO39" si="281">R39*$D39</f>
        <v>0</v>
      </c>
      <c r="AP39" s="413">
        <f t="shared" ref="AP39" si="282">S39*$D39</f>
        <v>0</v>
      </c>
      <c r="AQ39" s="413">
        <f t="shared" ref="AQ39" si="283">T39*$D39</f>
        <v>3182.0454545454545</v>
      </c>
      <c r="AR39" s="413">
        <f t="shared" ref="AR39" si="284">U39*$D39</f>
        <v>9546.136363636364</v>
      </c>
      <c r="AS39" s="413">
        <f t="shared" ref="AS39" si="285">V39*$D39</f>
        <v>9546.136363636364</v>
      </c>
      <c r="AT39" s="412">
        <f t="shared" ref="AT39" si="286">W39*$D39</f>
        <v>9546.136363636364</v>
      </c>
      <c r="AU39" s="412">
        <f t="shared" ref="AU39" si="287">X39*$D39</f>
        <v>3182.0454545454545</v>
      </c>
      <c r="AV39" s="412"/>
      <c r="AW39" s="412"/>
      <c r="AX39" s="412">
        <f t="shared" si="267"/>
        <v>0</v>
      </c>
      <c r="AY39" s="412">
        <f t="shared" si="267"/>
        <v>0</v>
      </c>
      <c r="AZ39" s="409">
        <f t="shared" si="267"/>
        <v>0</v>
      </c>
      <c r="BA39" s="412">
        <f t="shared" si="181"/>
        <v>0</v>
      </c>
      <c r="BB39" s="412">
        <f t="shared" si="267"/>
        <v>0</v>
      </c>
      <c r="BC39" s="412">
        <f t="shared" si="267"/>
        <v>0</v>
      </c>
      <c r="BD39" s="412">
        <f t="shared" si="267"/>
        <v>0</v>
      </c>
      <c r="BE39" s="412">
        <f t="shared" si="267"/>
        <v>0</v>
      </c>
      <c r="BF39" s="412">
        <f t="shared" si="267"/>
        <v>0</v>
      </c>
      <c r="BG39" s="412">
        <f t="shared" si="267"/>
        <v>0</v>
      </c>
      <c r="BH39" s="412">
        <f t="shared" si="267"/>
        <v>0</v>
      </c>
      <c r="BI39" s="412">
        <f t="shared" si="267"/>
        <v>0</v>
      </c>
      <c r="BJ39" s="412">
        <f t="shared" si="267"/>
        <v>0</v>
      </c>
      <c r="BK39" s="413">
        <f t="shared" si="267"/>
        <v>0</v>
      </c>
      <c r="BL39" s="412">
        <f t="shared" si="267"/>
        <v>35002.5</v>
      </c>
      <c r="BM39" s="412">
        <f t="shared" si="267"/>
        <v>0</v>
      </c>
      <c r="BN39" s="412">
        <f t="shared" si="267"/>
        <v>0</v>
      </c>
      <c r="BO39" s="412">
        <f t="shared" si="267"/>
        <v>0</v>
      </c>
      <c r="BP39" s="412">
        <f t="shared" si="267"/>
        <v>0</v>
      </c>
      <c r="BQ39" s="412">
        <f t="shared" si="267"/>
        <v>0</v>
      </c>
      <c r="BR39" s="414">
        <f t="shared" si="20"/>
        <v>0</v>
      </c>
    </row>
    <row r="40" spans="1:70" s="288" customFormat="1" ht="15" customHeight="1" x14ac:dyDescent="0.25">
      <c r="A40" s="406" t="s">
        <v>133</v>
      </c>
      <c r="B40" s="407"/>
      <c r="C40" s="408"/>
      <c r="D40" s="409">
        <v>35002.5</v>
      </c>
      <c r="E40" s="408" t="s">
        <v>210</v>
      </c>
      <c r="F40" s="410"/>
      <c r="G40" s="410"/>
      <c r="H40" s="410"/>
      <c r="I40" s="410"/>
      <c r="J40" s="410"/>
      <c r="K40" s="410">
        <v>0</v>
      </c>
      <c r="L40" s="410">
        <v>0</v>
      </c>
      <c r="M40" s="410">
        <v>0</v>
      </c>
      <c r="N40" s="410">
        <v>0</v>
      </c>
      <c r="O40" s="410">
        <v>0</v>
      </c>
      <c r="P40" s="410">
        <v>0</v>
      </c>
      <c r="Q40" s="410">
        <v>0</v>
      </c>
      <c r="R40" s="410">
        <v>0</v>
      </c>
      <c r="S40" s="410">
        <v>0</v>
      </c>
      <c r="T40" s="410">
        <v>9.0909090909090912E-2</v>
      </c>
      <c r="U40" s="410">
        <v>0.27272727272727276</v>
      </c>
      <c r="V40" s="410">
        <v>0.27272727272727276</v>
      </c>
      <c r="W40" s="410">
        <v>0.27272727272727276</v>
      </c>
      <c r="X40" s="410">
        <v>9.0909090909090912E-2</v>
      </c>
      <c r="Y40" s="410"/>
      <c r="Z40" s="411">
        <f t="shared" ref="Z40" si="288">SUM(F40:X40)</f>
        <v>1</v>
      </c>
      <c r="AA40" s="408"/>
      <c r="AB40" s="408"/>
      <c r="AC40" s="412">
        <f t="shared" ref="AC40" si="289">F40*$D40</f>
        <v>0</v>
      </c>
      <c r="AD40" s="412">
        <f t="shared" ref="AD40" si="290">G40*$D40</f>
        <v>0</v>
      </c>
      <c r="AE40" s="412">
        <f t="shared" ref="AE40" si="291">H40*$D40</f>
        <v>0</v>
      </c>
      <c r="AF40" s="412">
        <f t="shared" ref="AF40" si="292">I40*$D40</f>
        <v>0</v>
      </c>
      <c r="AG40" s="412">
        <f t="shared" ref="AG40" si="293">J40*$D40</f>
        <v>0</v>
      </c>
      <c r="AH40" s="412">
        <f t="shared" ref="AH40" si="294">K40*$D40</f>
        <v>0</v>
      </c>
      <c r="AI40" s="409">
        <f t="shared" ref="AI40" si="295">L40*$D40</f>
        <v>0</v>
      </c>
      <c r="AJ40" s="409">
        <f t="shared" ref="AJ40" si="296">M40*$D40</f>
        <v>0</v>
      </c>
      <c r="AK40" s="409">
        <f t="shared" ref="AK40" si="297">N40*$D40</f>
        <v>0</v>
      </c>
      <c r="AL40" s="409">
        <f t="shared" ref="AL40" si="298">O40*$D40</f>
        <v>0</v>
      </c>
      <c r="AM40" s="409">
        <f t="shared" ref="AM40" si="299">P40*$D40</f>
        <v>0</v>
      </c>
      <c r="AN40" s="409">
        <f t="shared" ref="AN40" si="300">Q40*$D40</f>
        <v>0</v>
      </c>
      <c r="AO40" s="409">
        <f t="shared" ref="AO40" si="301">R40*$D40</f>
        <v>0</v>
      </c>
      <c r="AP40" s="413">
        <f t="shared" ref="AP40" si="302">S40*$D40</f>
        <v>0</v>
      </c>
      <c r="AQ40" s="413">
        <f t="shared" ref="AQ40" si="303">T40*$D40</f>
        <v>3182.0454545454545</v>
      </c>
      <c r="AR40" s="413">
        <f t="shared" ref="AR40" si="304">U40*$D40</f>
        <v>9546.136363636364</v>
      </c>
      <c r="AS40" s="413">
        <f t="shared" ref="AS40" si="305">V40*$D40</f>
        <v>9546.136363636364</v>
      </c>
      <c r="AT40" s="412">
        <f t="shared" ref="AT40" si="306">W40*$D40</f>
        <v>9546.136363636364</v>
      </c>
      <c r="AU40" s="412">
        <f t="shared" ref="AU40" si="307">X40*$D40</f>
        <v>3182.0454545454545</v>
      </c>
      <c r="AV40" s="412"/>
      <c r="AW40" s="412"/>
      <c r="AX40" s="412">
        <f t="shared" si="267"/>
        <v>0</v>
      </c>
      <c r="AY40" s="412">
        <f t="shared" si="267"/>
        <v>0</v>
      </c>
      <c r="AZ40" s="409">
        <f t="shared" si="267"/>
        <v>0</v>
      </c>
      <c r="BA40" s="412">
        <f t="shared" si="181"/>
        <v>0</v>
      </c>
      <c r="BB40" s="412">
        <f t="shared" si="267"/>
        <v>0</v>
      </c>
      <c r="BC40" s="412">
        <f t="shared" si="267"/>
        <v>0</v>
      </c>
      <c r="BD40" s="412">
        <f t="shared" si="267"/>
        <v>0</v>
      </c>
      <c r="BE40" s="412">
        <f t="shared" si="267"/>
        <v>0</v>
      </c>
      <c r="BF40" s="412">
        <f t="shared" si="267"/>
        <v>0</v>
      </c>
      <c r="BG40" s="412">
        <f t="shared" si="267"/>
        <v>0</v>
      </c>
      <c r="BH40" s="412">
        <f t="shared" si="267"/>
        <v>0</v>
      </c>
      <c r="BI40" s="412">
        <f t="shared" si="267"/>
        <v>0</v>
      </c>
      <c r="BJ40" s="412">
        <f t="shared" si="267"/>
        <v>0</v>
      </c>
      <c r="BK40" s="413">
        <f t="shared" si="267"/>
        <v>0</v>
      </c>
      <c r="BL40" s="412">
        <f t="shared" si="267"/>
        <v>35002.5</v>
      </c>
      <c r="BM40" s="412">
        <f t="shared" si="267"/>
        <v>0</v>
      </c>
      <c r="BN40" s="412">
        <f t="shared" si="267"/>
        <v>0</v>
      </c>
      <c r="BO40" s="412">
        <f t="shared" si="267"/>
        <v>0</v>
      </c>
      <c r="BP40" s="412">
        <f t="shared" si="267"/>
        <v>0</v>
      </c>
      <c r="BQ40" s="412">
        <f t="shared" si="267"/>
        <v>0</v>
      </c>
      <c r="BR40" s="414">
        <f t="shared" si="20"/>
        <v>0</v>
      </c>
    </row>
    <row r="41" spans="1:70" s="288" customFormat="1" ht="15" customHeight="1" x14ac:dyDescent="0.25">
      <c r="A41" s="406" t="s">
        <v>133</v>
      </c>
      <c r="B41" s="407"/>
      <c r="C41" s="408"/>
      <c r="D41" s="409">
        <v>35002.5</v>
      </c>
      <c r="E41" s="408" t="s">
        <v>257</v>
      </c>
      <c r="F41" s="410"/>
      <c r="G41" s="410"/>
      <c r="H41" s="410"/>
      <c r="I41" s="410"/>
      <c r="J41" s="410"/>
      <c r="K41" s="410">
        <v>0</v>
      </c>
      <c r="L41" s="410">
        <v>0</v>
      </c>
      <c r="M41" s="410">
        <v>0</v>
      </c>
      <c r="N41" s="410">
        <v>0</v>
      </c>
      <c r="O41" s="410">
        <v>0</v>
      </c>
      <c r="P41" s="410">
        <v>0</v>
      </c>
      <c r="Q41" s="410">
        <v>0.25435897435897437</v>
      </c>
      <c r="R41" s="410">
        <v>0.25435897435897437</v>
      </c>
      <c r="S41" s="410">
        <v>0.25844439682879794</v>
      </c>
      <c r="T41" s="410">
        <f>1-(S41+R41+Q41)</f>
        <v>0.23283765445325333</v>
      </c>
      <c r="U41" s="410"/>
      <c r="V41" s="410"/>
      <c r="W41" s="410"/>
      <c r="X41" s="410"/>
      <c r="Y41" s="410"/>
      <c r="Z41" s="411">
        <f>SUM(F41:X41)</f>
        <v>1</v>
      </c>
      <c r="AA41" s="408"/>
      <c r="AB41" s="408"/>
      <c r="AC41" s="412">
        <f t="shared" ref="AC41:AL44" si="308">F41*$D41</f>
        <v>0</v>
      </c>
      <c r="AD41" s="412">
        <f t="shared" si="308"/>
        <v>0</v>
      </c>
      <c r="AE41" s="412">
        <f t="shared" si="308"/>
        <v>0</v>
      </c>
      <c r="AF41" s="412">
        <f t="shared" si="308"/>
        <v>0</v>
      </c>
      <c r="AG41" s="412">
        <f t="shared" si="308"/>
        <v>0</v>
      </c>
      <c r="AH41" s="412">
        <f t="shared" si="308"/>
        <v>0</v>
      </c>
      <c r="AI41" s="409">
        <f t="shared" si="308"/>
        <v>0</v>
      </c>
      <c r="AJ41" s="409">
        <f t="shared" si="308"/>
        <v>0</v>
      </c>
      <c r="AK41" s="409">
        <f t="shared" si="308"/>
        <v>0</v>
      </c>
      <c r="AL41" s="409">
        <f t="shared" si="308"/>
        <v>0</v>
      </c>
      <c r="AM41" s="409">
        <f t="shared" ref="AM41:AU44" si="309">P41*$D41</f>
        <v>0</v>
      </c>
      <c r="AN41" s="409">
        <f t="shared" si="309"/>
        <v>8903.2000000000007</v>
      </c>
      <c r="AO41" s="409">
        <f t="shared" si="309"/>
        <v>8903.2000000000007</v>
      </c>
      <c r="AP41" s="409">
        <f t="shared" si="309"/>
        <v>9046.2000000000007</v>
      </c>
      <c r="AQ41" s="413">
        <f t="shared" si="309"/>
        <v>8149.9</v>
      </c>
      <c r="AR41" s="412">
        <f t="shared" si="309"/>
        <v>0</v>
      </c>
      <c r="AS41" s="412">
        <f t="shared" si="309"/>
        <v>0</v>
      </c>
      <c r="AT41" s="412">
        <f t="shared" si="309"/>
        <v>0</v>
      </c>
      <c r="AU41" s="412">
        <f t="shared" si="309"/>
        <v>0</v>
      </c>
      <c r="AV41" s="412"/>
      <c r="AW41" s="412"/>
      <c r="AX41" s="412">
        <f t="shared" ref="AX41:BG42" si="310">IF(AX$3=$E41,$D41,0)</f>
        <v>0</v>
      </c>
      <c r="AY41" s="412">
        <f t="shared" si="310"/>
        <v>0</v>
      </c>
      <c r="AZ41" s="409">
        <f t="shared" si="310"/>
        <v>0</v>
      </c>
      <c r="BA41" s="412">
        <f t="shared" si="310"/>
        <v>0</v>
      </c>
      <c r="BB41" s="412">
        <f t="shared" si="310"/>
        <v>0</v>
      </c>
      <c r="BC41" s="412">
        <f t="shared" si="310"/>
        <v>0</v>
      </c>
      <c r="BD41" s="412">
        <f t="shared" si="310"/>
        <v>0</v>
      </c>
      <c r="BE41" s="412">
        <f t="shared" si="310"/>
        <v>0</v>
      </c>
      <c r="BF41" s="412">
        <f t="shared" si="310"/>
        <v>0</v>
      </c>
      <c r="BG41" s="412">
        <f t="shared" si="310"/>
        <v>0</v>
      </c>
      <c r="BH41" s="412">
        <f t="shared" ref="BH41:BQ42" si="311">IF(BH$3=$E41,$D41,0)</f>
        <v>35002.5</v>
      </c>
      <c r="BI41" s="412">
        <f t="shared" si="311"/>
        <v>0</v>
      </c>
      <c r="BJ41" s="412">
        <f t="shared" si="311"/>
        <v>0</v>
      </c>
      <c r="BK41" s="412">
        <f t="shared" si="311"/>
        <v>0</v>
      </c>
      <c r="BL41" s="412">
        <f t="shared" si="311"/>
        <v>0</v>
      </c>
      <c r="BM41" s="412">
        <f t="shared" si="311"/>
        <v>0</v>
      </c>
      <c r="BN41" s="412">
        <f t="shared" si="311"/>
        <v>0</v>
      </c>
      <c r="BO41" s="412">
        <f t="shared" si="311"/>
        <v>0</v>
      </c>
      <c r="BP41" s="412">
        <f t="shared" si="311"/>
        <v>0</v>
      </c>
      <c r="BQ41" s="412">
        <f t="shared" si="311"/>
        <v>0</v>
      </c>
      <c r="BR41" s="414">
        <f t="shared" si="20"/>
        <v>0</v>
      </c>
    </row>
    <row r="42" spans="1:70" s="288" customFormat="1" ht="15" customHeight="1" x14ac:dyDescent="0.25">
      <c r="A42" s="406" t="s">
        <v>133</v>
      </c>
      <c r="B42" s="407"/>
      <c r="C42" s="408"/>
      <c r="D42" s="409">
        <v>43134</v>
      </c>
      <c r="E42" s="408" t="s">
        <v>210</v>
      </c>
      <c r="F42" s="410"/>
      <c r="G42" s="410"/>
      <c r="H42" s="410"/>
      <c r="I42" s="410"/>
      <c r="J42" s="410"/>
      <c r="K42" s="410"/>
      <c r="L42" s="410">
        <v>0</v>
      </c>
      <c r="M42" s="410">
        <v>0</v>
      </c>
      <c r="N42" s="410">
        <v>0</v>
      </c>
      <c r="O42" s="410">
        <v>0</v>
      </c>
      <c r="P42" s="410">
        <v>0</v>
      </c>
      <c r="Q42" s="410">
        <v>0</v>
      </c>
      <c r="R42" s="410">
        <v>0</v>
      </c>
      <c r="S42" s="410">
        <v>0</v>
      </c>
      <c r="T42" s="410">
        <v>0.1723076923076923</v>
      </c>
      <c r="U42" s="410">
        <v>0.2434963579604579</v>
      </c>
      <c r="V42" s="410">
        <v>0.27055150884495321</v>
      </c>
      <c r="W42" s="410">
        <v>0.25702393340270557</v>
      </c>
      <c r="X42" s="410">
        <f>1-(T42+U42+V42+W42)</f>
        <v>5.6620507484191007E-2</v>
      </c>
      <c r="Y42" s="410"/>
      <c r="Z42" s="411">
        <f t="shared" ref="Z42" si="312">SUM(F42:X42)</f>
        <v>1</v>
      </c>
      <c r="AA42" s="408"/>
      <c r="AB42" s="408"/>
      <c r="AC42" s="412">
        <f t="shared" si="308"/>
        <v>0</v>
      </c>
      <c r="AD42" s="412">
        <f t="shared" si="308"/>
        <v>0</v>
      </c>
      <c r="AE42" s="412">
        <f t="shared" si="308"/>
        <v>0</v>
      </c>
      <c r="AF42" s="412">
        <f t="shared" si="308"/>
        <v>0</v>
      </c>
      <c r="AG42" s="412">
        <f t="shared" si="308"/>
        <v>0</v>
      </c>
      <c r="AH42" s="412">
        <f t="shared" si="308"/>
        <v>0</v>
      </c>
      <c r="AI42" s="409">
        <f t="shared" si="308"/>
        <v>0</v>
      </c>
      <c r="AJ42" s="409">
        <f t="shared" si="308"/>
        <v>0</v>
      </c>
      <c r="AK42" s="409">
        <f t="shared" si="308"/>
        <v>0</v>
      </c>
      <c r="AL42" s="409">
        <f t="shared" si="308"/>
        <v>0</v>
      </c>
      <c r="AM42" s="409">
        <f t="shared" si="309"/>
        <v>0</v>
      </c>
      <c r="AN42" s="409">
        <f t="shared" si="309"/>
        <v>0</v>
      </c>
      <c r="AO42" s="409">
        <f t="shared" si="309"/>
        <v>0</v>
      </c>
      <c r="AP42" s="409">
        <f t="shared" si="309"/>
        <v>0</v>
      </c>
      <c r="AQ42" s="413">
        <f t="shared" si="309"/>
        <v>7432.32</v>
      </c>
      <c r="AR42" s="413">
        <f t="shared" si="309"/>
        <v>10502.971904266391</v>
      </c>
      <c r="AS42" s="413">
        <f t="shared" si="309"/>
        <v>11669.968782518212</v>
      </c>
      <c r="AT42" s="413">
        <f t="shared" si="309"/>
        <v>11086.470343392302</v>
      </c>
      <c r="AU42" s="413">
        <f t="shared" si="309"/>
        <v>2442.2689698230947</v>
      </c>
      <c r="AV42" s="412"/>
      <c r="AW42" s="412"/>
      <c r="AX42" s="412">
        <f t="shared" si="17"/>
        <v>0</v>
      </c>
      <c r="AY42" s="412">
        <f t="shared" si="17"/>
        <v>0</v>
      </c>
      <c r="AZ42" s="409">
        <f t="shared" si="17"/>
        <v>0</v>
      </c>
      <c r="BA42" s="412">
        <f t="shared" si="181"/>
        <v>0</v>
      </c>
      <c r="BB42" s="412">
        <f t="shared" si="17"/>
        <v>0</v>
      </c>
      <c r="BC42" s="412">
        <f t="shared" si="17"/>
        <v>0</v>
      </c>
      <c r="BD42" s="412">
        <f t="shared" si="310"/>
        <v>0</v>
      </c>
      <c r="BE42" s="412">
        <f t="shared" si="17"/>
        <v>0</v>
      </c>
      <c r="BF42" s="412">
        <f t="shared" si="17"/>
        <v>0</v>
      </c>
      <c r="BG42" s="412">
        <f t="shared" si="17"/>
        <v>0</v>
      </c>
      <c r="BH42" s="412">
        <f t="shared" si="17"/>
        <v>0</v>
      </c>
      <c r="BI42" s="412">
        <f t="shared" si="17"/>
        <v>0</v>
      </c>
      <c r="BJ42" s="412">
        <f t="shared" si="17"/>
        <v>0</v>
      </c>
      <c r="BK42" s="412">
        <f t="shared" si="17"/>
        <v>0</v>
      </c>
      <c r="BL42" s="412">
        <f t="shared" si="17"/>
        <v>43134</v>
      </c>
      <c r="BM42" s="412">
        <f t="shared" si="101"/>
        <v>0</v>
      </c>
      <c r="BN42" s="412">
        <f t="shared" si="311"/>
        <v>0</v>
      </c>
      <c r="BO42" s="412">
        <f t="shared" si="311"/>
        <v>0</v>
      </c>
      <c r="BP42" s="412">
        <f t="shared" si="311"/>
        <v>0</v>
      </c>
      <c r="BQ42" s="412">
        <f t="shared" si="311"/>
        <v>0</v>
      </c>
      <c r="BR42" s="414">
        <f t="shared" ref="BR42" si="313">SUM(AC42:AV42)-SUM(AX42:BQ42)</f>
        <v>0</v>
      </c>
    </row>
    <row r="43" spans="1:70" s="288" customFormat="1" ht="15" customHeight="1" x14ac:dyDescent="0.25">
      <c r="A43" s="406" t="s">
        <v>133</v>
      </c>
      <c r="B43" s="407"/>
      <c r="C43" s="408"/>
      <c r="D43" s="409">
        <v>72465.259999999995</v>
      </c>
      <c r="E43" s="408" t="s">
        <v>257</v>
      </c>
      <c r="F43" s="410"/>
      <c r="G43" s="410"/>
      <c r="H43" s="410"/>
      <c r="I43" s="410"/>
      <c r="J43" s="410"/>
      <c r="K43" s="410">
        <v>0</v>
      </c>
      <c r="L43" s="410">
        <v>0</v>
      </c>
      <c r="M43" s="410">
        <v>0</v>
      </c>
      <c r="N43" s="410">
        <v>0</v>
      </c>
      <c r="O43" s="410">
        <v>0</v>
      </c>
      <c r="P43" s="410">
        <v>8.951047715829627E-2</v>
      </c>
      <c r="Q43" s="410">
        <v>0.27748247919071845</v>
      </c>
      <c r="R43" s="410">
        <v>0.27748247919071845</v>
      </c>
      <c r="S43" s="410">
        <v>0.28195800304863328</v>
      </c>
      <c r="T43" s="410">
        <f>1-(S43+R43+Q43+P43)</f>
        <v>7.3566561411633535E-2</v>
      </c>
      <c r="U43" s="410"/>
      <c r="V43" s="410"/>
      <c r="W43" s="410"/>
      <c r="X43" s="410"/>
      <c r="Y43" s="410"/>
      <c r="Z43" s="411">
        <f t="shared" ref="Z43:Z44" si="314">SUM(F43:X43)</f>
        <v>1</v>
      </c>
      <c r="AA43" s="408"/>
      <c r="AB43" s="408"/>
      <c r="AC43" s="412">
        <f t="shared" si="308"/>
        <v>0</v>
      </c>
      <c r="AD43" s="412">
        <f t="shared" si="308"/>
        <v>0</v>
      </c>
      <c r="AE43" s="412">
        <f t="shared" si="308"/>
        <v>0</v>
      </c>
      <c r="AF43" s="412">
        <f t="shared" si="308"/>
        <v>0</v>
      </c>
      <c r="AG43" s="412">
        <f t="shared" si="308"/>
        <v>0</v>
      </c>
      <c r="AH43" s="412">
        <f t="shared" si="308"/>
        <v>0</v>
      </c>
      <c r="AI43" s="409">
        <f t="shared" si="308"/>
        <v>0</v>
      </c>
      <c r="AJ43" s="409">
        <f t="shared" si="308"/>
        <v>0</v>
      </c>
      <c r="AK43" s="409">
        <f t="shared" si="308"/>
        <v>0</v>
      </c>
      <c r="AL43" s="409">
        <f t="shared" si="308"/>
        <v>0</v>
      </c>
      <c r="AM43" s="409">
        <f t="shared" si="309"/>
        <v>6486.4</v>
      </c>
      <c r="AN43" s="409">
        <f t="shared" si="309"/>
        <v>20107.84</v>
      </c>
      <c r="AO43" s="409">
        <f t="shared" si="309"/>
        <v>20107.84</v>
      </c>
      <c r="AP43" s="409">
        <f t="shared" si="309"/>
        <v>20432.16</v>
      </c>
      <c r="AQ43" s="413">
        <f t="shared" si="309"/>
        <v>5331.0199999999904</v>
      </c>
      <c r="AR43" s="412">
        <f t="shared" si="309"/>
        <v>0</v>
      </c>
      <c r="AS43" s="412">
        <f t="shared" si="309"/>
        <v>0</v>
      </c>
      <c r="AT43" s="412">
        <f t="shared" si="309"/>
        <v>0</v>
      </c>
      <c r="AU43" s="412">
        <f t="shared" si="309"/>
        <v>0</v>
      </c>
      <c r="AV43" s="412"/>
      <c r="AW43" s="412"/>
      <c r="AX43" s="412">
        <f t="shared" si="17"/>
        <v>0</v>
      </c>
      <c r="AY43" s="412">
        <f t="shared" si="17"/>
        <v>0</v>
      </c>
      <c r="AZ43" s="409">
        <f t="shared" si="17"/>
        <v>0</v>
      </c>
      <c r="BA43" s="412">
        <f t="shared" si="181"/>
        <v>0</v>
      </c>
      <c r="BB43" s="412">
        <f t="shared" si="17"/>
        <v>0</v>
      </c>
      <c r="BC43" s="412">
        <f t="shared" si="17"/>
        <v>0</v>
      </c>
      <c r="BD43" s="412">
        <f t="shared" si="17"/>
        <v>0</v>
      </c>
      <c r="BE43" s="412">
        <f t="shared" si="17"/>
        <v>0</v>
      </c>
      <c r="BF43" s="412">
        <f t="shared" si="17"/>
        <v>0</v>
      </c>
      <c r="BG43" s="412">
        <f t="shared" si="17"/>
        <v>0</v>
      </c>
      <c r="BH43" s="412">
        <f t="shared" si="17"/>
        <v>72465.259999999995</v>
      </c>
      <c r="BI43" s="412">
        <f t="shared" si="17"/>
        <v>0</v>
      </c>
      <c r="BJ43" s="412">
        <f t="shared" si="17"/>
        <v>0</v>
      </c>
      <c r="BK43" s="412">
        <f t="shared" si="17"/>
        <v>0</v>
      </c>
      <c r="BL43" s="412">
        <f t="shared" si="17"/>
        <v>0</v>
      </c>
      <c r="BM43" s="412">
        <f t="shared" si="101"/>
        <v>0</v>
      </c>
      <c r="BN43" s="412">
        <f t="shared" ref="BN43:BQ59" si="315">IF(BN$3=$E43,$D43,0)</f>
        <v>0</v>
      </c>
      <c r="BO43" s="412">
        <f t="shared" si="315"/>
        <v>0</v>
      </c>
      <c r="BP43" s="412">
        <f t="shared" si="315"/>
        <v>0</v>
      </c>
      <c r="BQ43" s="412">
        <f t="shared" si="315"/>
        <v>0</v>
      </c>
      <c r="BR43" s="414">
        <f t="shared" ref="BR43" si="316">SUM(AC43:AV43)-SUM(AX43:BQ43)</f>
        <v>0</v>
      </c>
    </row>
    <row r="44" spans="1:70" s="288" customFormat="1" ht="15" customHeight="1" x14ac:dyDescent="0.25">
      <c r="A44" s="406" t="s">
        <v>133</v>
      </c>
      <c r="B44" s="407"/>
      <c r="C44" s="408"/>
      <c r="D44" s="409">
        <v>39526.5</v>
      </c>
      <c r="E44" s="408" t="s">
        <v>210</v>
      </c>
      <c r="F44" s="410"/>
      <c r="G44" s="410"/>
      <c r="H44" s="410"/>
      <c r="I44" s="410"/>
      <c r="J44" s="410"/>
      <c r="K44" s="410">
        <v>0</v>
      </c>
      <c r="L44" s="410">
        <v>0</v>
      </c>
      <c r="M44" s="410">
        <v>0</v>
      </c>
      <c r="N44" s="410">
        <v>0</v>
      </c>
      <c r="O44" s="410">
        <v>0</v>
      </c>
      <c r="P44" s="410">
        <v>0</v>
      </c>
      <c r="Q44" s="410">
        <v>0</v>
      </c>
      <c r="R44" s="410">
        <v>0</v>
      </c>
      <c r="S44" s="410">
        <v>0</v>
      </c>
      <c r="T44" s="467">
        <v>0.12307692307692306</v>
      </c>
      <c r="U44" s="467">
        <v>0.27272727272727276</v>
      </c>
      <c r="V44" s="467">
        <v>0.27272727272727276</v>
      </c>
      <c r="W44" s="467">
        <v>0.27272727272727276</v>
      </c>
      <c r="X44" s="467">
        <f>1-(T44+U44+V44+W44)</f>
        <v>5.8741258741258795E-2</v>
      </c>
      <c r="Y44" s="410"/>
      <c r="Z44" s="411">
        <f t="shared" si="314"/>
        <v>1</v>
      </c>
      <c r="AA44" s="408"/>
      <c r="AB44" s="408"/>
      <c r="AC44" s="412">
        <f t="shared" si="308"/>
        <v>0</v>
      </c>
      <c r="AD44" s="412">
        <f t="shared" si="308"/>
        <v>0</v>
      </c>
      <c r="AE44" s="412">
        <f t="shared" si="308"/>
        <v>0</v>
      </c>
      <c r="AF44" s="412">
        <f t="shared" si="308"/>
        <v>0</v>
      </c>
      <c r="AG44" s="412">
        <f t="shared" si="308"/>
        <v>0</v>
      </c>
      <c r="AH44" s="412">
        <f t="shared" si="308"/>
        <v>0</v>
      </c>
      <c r="AI44" s="409">
        <f t="shared" si="308"/>
        <v>0</v>
      </c>
      <c r="AJ44" s="409">
        <f t="shared" si="308"/>
        <v>0</v>
      </c>
      <c r="AK44" s="409">
        <f t="shared" si="308"/>
        <v>0</v>
      </c>
      <c r="AL44" s="409">
        <f t="shared" si="308"/>
        <v>0</v>
      </c>
      <c r="AM44" s="409">
        <f t="shared" si="309"/>
        <v>0</v>
      </c>
      <c r="AN44" s="409">
        <f t="shared" si="309"/>
        <v>0</v>
      </c>
      <c r="AO44" s="409">
        <f t="shared" si="309"/>
        <v>0</v>
      </c>
      <c r="AP44" s="409">
        <f t="shared" si="309"/>
        <v>0</v>
      </c>
      <c r="AQ44" s="413">
        <f t="shared" si="309"/>
        <v>4864.7999999999993</v>
      </c>
      <c r="AR44" s="413">
        <f t="shared" si="309"/>
        <v>10779.954545454546</v>
      </c>
      <c r="AS44" s="413">
        <f t="shared" si="309"/>
        <v>10779.954545454546</v>
      </c>
      <c r="AT44" s="413">
        <f t="shared" si="309"/>
        <v>10779.954545454546</v>
      </c>
      <c r="AU44" s="413">
        <f t="shared" si="309"/>
        <v>2321.8363636363656</v>
      </c>
      <c r="AV44" s="412"/>
      <c r="AW44" s="412"/>
      <c r="AX44" s="412">
        <f t="shared" si="17"/>
        <v>0</v>
      </c>
      <c r="AY44" s="412">
        <f t="shared" si="17"/>
        <v>0</v>
      </c>
      <c r="AZ44" s="409">
        <f t="shared" si="17"/>
        <v>0</v>
      </c>
      <c r="BA44" s="412">
        <f t="shared" si="181"/>
        <v>0</v>
      </c>
      <c r="BB44" s="412">
        <f t="shared" si="17"/>
        <v>0</v>
      </c>
      <c r="BC44" s="412">
        <f t="shared" si="17"/>
        <v>0</v>
      </c>
      <c r="BD44" s="412">
        <f t="shared" si="17"/>
        <v>0</v>
      </c>
      <c r="BE44" s="412">
        <f t="shared" si="17"/>
        <v>0</v>
      </c>
      <c r="BF44" s="412">
        <f t="shared" si="17"/>
        <v>0</v>
      </c>
      <c r="BG44" s="412">
        <f t="shared" si="17"/>
        <v>0</v>
      </c>
      <c r="BH44" s="412">
        <f t="shared" si="17"/>
        <v>0</v>
      </c>
      <c r="BI44" s="412">
        <f t="shared" si="17"/>
        <v>0</v>
      </c>
      <c r="BJ44" s="412">
        <f t="shared" si="17"/>
        <v>0</v>
      </c>
      <c r="BK44" s="412">
        <f t="shared" si="17"/>
        <v>0</v>
      </c>
      <c r="BL44" s="412">
        <f t="shared" si="17"/>
        <v>39526.5</v>
      </c>
      <c r="BM44" s="412">
        <f t="shared" si="101"/>
        <v>0</v>
      </c>
      <c r="BN44" s="412">
        <f t="shared" si="315"/>
        <v>0</v>
      </c>
      <c r="BO44" s="412">
        <f t="shared" si="315"/>
        <v>0</v>
      </c>
      <c r="BP44" s="412">
        <f t="shared" si="315"/>
        <v>0</v>
      </c>
      <c r="BQ44" s="412">
        <f t="shared" si="315"/>
        <v>0</v>
      </c>
      <c r="BR44" s="414">
        <f t="shared" ref="BR44" si="317">SUM(AC44:AV44)-SUM(AX44:BQ44)</f>
        <v>0</v>
      </c>
    </row>
    <row r="45" spans="1:70" s="288" customFormat="1" ht="15" customHeight="1" x14ac:dyDescent="0.25">
      <c r="A45" s="406" t="s">
        <v>133</v>
      </c>
      <c r="B45" s="407"/>
      <c r="C45" s="408"/>
      <c r="D45" s="409">
        <v>39526.5</v>
      </c>
      <c r="E45" s="408" t="s">
        <v>210</v>
      </c>
      <c r="F45" s="410"/>
      <c r="G45" s="410"/>
      <c r="H45" s="410"/>
      <c r="I45" s="410"/>
      <c r="J45" s="410"/>
      <c r="K45" s="410">
        <v>0</v>
      </c>
      <c r="L45" s="410">
        <v>0</v>
      </c>
      <c r="M45" s="410">
        <v>0</v>
      </c>
      <c r="N45" s="410">
        <v>0</v>
      </c>
      <c r="O45" s="410">
        <v>0</v>
      </c>
      <c r="P45" s="410">
        <v>0</v>
      </c>
      <c r="Q45" s="410">
        <v>0</v>
      </c>
      <c r="R45" s="410">
        <v>0</v>
      </c>
      <c r="S45" s="410">
        <v>0</v>
      </c>
      <c r="T45" s="467">
        <v>0.12307692307692306</v>
      </c>
      <c r="U45" s="467">
        <v>0.27272727272727276</v>
      </c>
      <c r="V45" s="467">
        <v>0.27272727272727276</v>
      </c>
      <c r="W45" s="467">
        <v>0.27272727272727276</v>
      </c>
      <c r="X45" s="467">
        <f>1-(T45+U45+V45+W45)</f>
        <v>5.8741258741258795E-2</v>
      </c>
      <c r="Y45" s="410"/>
      <c r="Z45" s="411">
        <f t="shared" ref="Z45:Z46" si="318">SUM(F45:X45)</f>
        <v>1</v>
      </c>
      <c r="AA45" s="408"/>
      <c r="AB45" s="408"/>
      <c r="AC45" s="412">
        <f t="shared" ref="AC45:AC46" si="319">F45*$D45</f>
        <v>0</v>
      </c>
      <c r="AD45" s="412">
        <f t="shared" ref="AD45:AD46" si="320">G45*$D45</f>
        <v>0</v>
      </c>
      <c r="AE45" s="412">
        <f t="shared" ref="AE45:AE46" si="321">H45*$D45</f>
        <v>0</v>
      </c>
      <c r="AF45" s="412">
        <f t="shared" ref="AF45:AF46" si="322">I45*$D45</f>
        <v>0</v>
      </c>
      <c r="AG45" s="412">
        <f t="shared" ref="AG45:AG46" si="323">J45*$D45</f>
        <v>0</v>
      </c>
      <c r="AH45" s="412">
        <f t="shared" ref="AH45:AH46" si="324">K45*$D45</f>
        <v>0</v>
      </c>
      <c r="AI45" s="409">
        <f t="shared" ref="AI45:AI46" si="325">L45*$D45</f>
        <v>0</v>
      </c>
      <c r="AJ45" s="409">
        <f t="shared" ref="AJ45:AJ46" si="326">M45*$D45</f>
        <v>0</v>
      </c>
      <c r="AK45" s="409">
        <f t="shared" ref="AK45:AK46" si="327">N45*$D45</f>
        <v>0</v>
      </c>
      <c r="AL45" s="409">
        <f t="shared" ref="AL45:AL46" si="328">O45*$D45</f>
        <v>0</v>
      </c>
      <c r="AM45" s="409">
        <f t="shared" ref="AM45:AM46" si="329">P45*$D45</f>
        <v>0</v>
      </c>
      <c r="AN45" s="409">
        <f t="shared" ref="AN45:AN46" si="330">Q45*$D45</f>
        <v>0</v>
      </c>
      <c r="AO45" s="409">
        <f t="shared" ref="AO45:AO46" si="331">R45*$D45</f>
        <v>0</v>
      </c>
      <c r="AP45" s="409">
        <f t="shared" ref="AP45:AP46" si="332">S45*$D45</f>
        <v>0</v>
      </c>
      <c r="AQ45" s="413">
        <f t="shared" ref="AQ45:AQ46" si="333">T45*$D45</f>
        <v>4864.7999999999993</v>
      </c>
      <c r="AR45" s="413">
        <f t="shared" ref="AR45:AR46" si="334">U45*$D45</f>
        <v>10779.954545454546</v>
      </c>
      <c r="AS45" s="413">
        <f t="shared" ref="AS45:AS46" si="335">V45*$D45</f>
        <v>10779.954545454546</v>
      </c>
      <c r="AT45" s="413">
        <f t="shared" ref="AT45:AT46" si="336">W45*$D45</f>
        <v>10779.954545454546</v>
      </c>
      <c r="AU45" s="413">
        <f t="shared" ref="AU45:AU46" si="337">X45*$D45</f>
        <v>2321.8363636363656</v>
      </c>
      <c r="AV45" s="412"/>
      <c r="AW45" s="412"/>
      <c r="AX45" s="412">
        <f t="shared" si="17"/>
        <v>0</v>
      </c>
      <c r="AY45" s="412">
        <f t="shared" si="17"/>
        <v>0</v>
      </c>
      <c r="AZ45" s="409">
        <f t="shared" si="17"/>
        <v>0</v>
      </c>
      <c r="BA45" s="412">
        <f t="shared" si="181"/>
        <v>0</v>
      </c>
      <c r="BB45" s="412">
        <f t="shared" si="17"/>
        <v>0</v>
      </c>
      <c r="BC45" s="412">
        <f t="shared" si="17"/>
        <v>0</v>
      </c>
      <c r="BD45" s="412">
        <f t="shared" si="17"/>
        <v>0</v>
      </c>
      <c r="BE45" s="412">
        <f t="shared" si="17"/>
        <v>0</v>
      </c>
      <c r="BF45" s="412">
        <f t="shared" si="17"/>
        <v>0</v>
      </c>
      <c r="BG45" s="412">
        <f t="shared" si="17"/>
        <v>0</v>
      </c>
      <c r="BH45" s="412">
        <f t="shared" si="17"/>
        <v>0</v>
      </c>
      <c r="BI45" s="412">
        <f t="shared" si="17"/>
        <v>0</v>
      </c>
      <c r="BJ45" s="412">
        <f t="shared" si="17"/>
        <v>0</v>
      </c>
      <c r="BK45" s="412">
        <f t="shared" si="17"/>
        <v>0</v>
      </c>
      <c r="BL45" s="412">
        <f t="shared" si="17"/>
        <v>39526.5</v>
      </c>
      <c r="BM45" s="412">
        <f t="shared" si="101"/>
        <v>0</v>
      </c>
      <c r="BN45" s="412">
        <f t="shared" si="315"/>
        <v>0</v>
      </c>
      <c r="BO45" s="412">
        <f t="shared" si="315"/>
        <v>0</v>
      </c>
      <c r="BP45" s="412">
        <f t="shared" si="315"/>
        <v>0</v>
      </c>
      <c r="BQ45" s="412">
        <f t="shared" si="315"/>
        <v>0</v>
      </c>
      <c r="BR45" s="414">
        <f t="shared" ref="BR45:BR46" si="338">SUM(AC45:AV45)-SUM(AX45:BQ45)</f>
        <v>0</v>
      </c>
    </row>
    <row r="46" spans="1:70" s="288" customFormat="1" ht="15" customHeight="1" x14ac:dyDescent="0.25">
      <c r="A46" s="406" t="s">
        <v>133</v>
      </c>
      <c r="B46" s="407"/>
      <c r="C46" s="408"/>
      <c r="D46" s="409">
        <v>29168.75</v>
      </c>
      <c r="E46" s="408" t="s">
        <v>210</v>
      </c>
      <c r="F46" s="410"/>
      <c r="G46" s="410"/>
      <c r="H46" s="410"/>
      <c r="I46" s="410"/>
      <c r="J46" s="410"/>
      <c r="K46" s="410">
        <v>0</v>
      </c>
      <c r="L46" s="410">
        <v>0</v>
      </c>
      <c r="M46" s="410">
        <v>0</v>
      </c>
      <c r="N46" s="410">
        <v>0</v>
      </c>
      <c r="O46" s="410">
        <v>0</v>
      </c>
      <c r="P46" s="410">
        <v>0</v>
      </c>
      <c r="Q46" s="410">
        <v>0</v>
      </c>
      <c r="R46" s="410">
        <v>0</v>
      </c>
      <c r="S46" s="410">
        <v>0</v>
      </c>
      <c r="T46" s="467">
        <v>0</v>
      </c>
      <c r="U46" s="467">
        <v>0.3</v>
      </c>
      <c r="V46" s="467">
        <v>0.3</v>
      </c>
      <c r="W46" s="467">
        <v>0.3</v>
      </c>
      <c r="X46" s="467">
        <v>0.1</v>
      </c>
      <c r="Y46" s="410"/>
      <c r="Z46" s="411">
        <f t="shared" si="318"/>
        <v>0.99999999999999989</v>
      </c>
      <c r="AA46" s="408"/>
      <c r="AB46" s="408"/>
      <c r="AC46" s="412">
        <f t="shared" si="319"/>
        <v>0</v>
      </c>
      <c r="AD46" s="412">
        <f t="shared" si="320"/>
        <v>0</v>
      </c>
      <c r="AE46" s="412">
        <f t="shared" si="321"/>
        <v>0</v>
      </c>
      <c r="AF46" s="412">
        <f t="shared" si="322"/>
        <v>0</v>
      </c>
      <c r="AG46" s="412">
        <f t="shared" si="323"/>
        <v>0</v>
      </c>
      <c r="AH46" s="412">
        <f t="shared" si="324"/>
        <v>0</v>
      </c>
      <c r="AI46" s="409">
        <f t="shared" si="325"/>
        <v>0</v>
      </c>
      <c r="AJ46" s="409">
        <f t="shared" si="326"/>
        <v>0</v>
      </c>
      <c r="AK46" s="409">
        <f t="shared" si="327"/>
        <v>0</v>
      </c>
      <c r="AL46" s="409">
        <f t="shared" si="328"/>
        <v>0</v>
      </c>
      <c r="AM46" s="409">
        <f t="shared" si="329"/>
        <v>0</v>
      </c>
      <c r="AN46" s="409">
        <f t="shared" si="330"/>
        <v>0</v>
      </c>
      <c r="AO46" s="409">
        <f t="shared" si="331"/>
        <v>0</v>
      </c>
      <c r="AP46" s="409">
        <f t="shared" si="332"/>
        <v>0</v>
      </c>
      <c r="AQ46" s="413">
        <f t="shared" si="333"/>
        <v>0</v>
      </c>
      <c r="AR46" s="413">
        <f t="shared" si="334"/>
        <v>8750.625</v>
      </c>
      <c r="AS46" s="413">
        <f t="shared" si="335"/>
        <v>8750.625</v>
      </c>
      <c r="AT46" s="413">
        <f t="shared" si="336"/>
        <v>8750.625</v>
      </c>
      <c r="AU46" s="413">
        <f t="shared" si="337"/>
        <v>2916.875</v>
      </c>
      <c r="AV46" s="412"/>
      <c r="AW46" s="412"/>
      <c r="AX46" s="412">
        <f t="shared" si="17"/>
        <v>0</v>
      </c>
      <c r="AY46" s="412">
        <f t="shared" si="17"/>
        <v>0</v>
      </c>
      <c r="AZ46" s="409">
        <f t="shared" si="17"/>
        <v>0</v>
      </c>
      <c r="BA46" s="412">
        <f t="shared" si="181"/>
        <v>0</v>
      </c>
      <c r="BB46" s="412">
        <f t="shared" si="17"/>
        <v>0</v>
      </c>
      <c r="BC46" s="412">
        <f t="shared" si="17"/>
        <v>0</v>
      </c>
      <c r="BD46" s="412">
        <f t="shared" si="17"/>
        <v>0</v>
      </c>
      <c r="BE46" s="412">
        <f t="shared" si="17"/>
        <v>0</v>
      </c>
      <c r="BF46" s="412">
        <f t="shared" si="17"/>
        <v>0</v>
      </c>
      <c r="BG46" s="412">
        <f t="shared" si="17"/>
        <v>0</v>
      </c>
      <c r="BH46" s="412">
        <f t="shared" si="17"/>
        <v>0</v>
      </c>
      <c r="BI46" s="412">
        <f t="shared" si="17"/>
        <v>0</v>
      </c>
      <c r="BJ46" s="412">
        <f t="shared" si="17"/>
        <v>0</v>
      </c>
      <c r="BK46" s="412">
        <f t="shared" si="17"/>
        <v>0</v>
      </c>
      <c r="BL46" s="412">
        <f t="shared" si="17"/>
        <v>29168.75</v>
      </c>
      <c r="BM46" s="412">
        <f t="shared" si="101"/>
        <v>0</v>
      </c>
      <c r="BN46" s="412">
        <f t="shared" si="315"/>
        <v>0</v>
      </c>
      <c r="BO46" s="412">
        <f t="shared" si="315"/>
        <v>0</v>
      </c>
      <c r="BP46" s="412">
        <f t="shared" si="315"/>
        <v>0</v>
      </c>
      <c r="BQ46" s="412">
        <f t="shared" si="315"/>
        <v>0</v>
      </c>
      <c r="BR46" s="414">
        <f t="shared" si="338"/>
        <v>0</v>
      </c>
    </row>
    <row r="47" spans="1:70" s="288" customFormat="1" ht="15" customHeight="1" x14ac:dyDescent="0.25">
      <c r="A47" s="406" t="s">
        <v>134</v>
      </c>
      <c r="B47" s="468"/>
      <c r="C47" s="408"/>
      <c r="D47" s="466">
        <v>61250</v>
      </c>
      <c r="E47" s="464" t="s">
        <v>193</v>
      </c>
      <c r="F47" s="410"/>
      <c r="G47" s="410">
        <v>0</v>
      </c>
      <c r="H47" s="410">
        <v>0.4</v>
      </c>
      <c r="I47" s="410">
        <v>0.6</v>
      </c>
      <c r="J47" s="410">
        <v>0</v>
      </c>
      <c r="K47" s="410"/>
      <c r="L47" s="410"/>
      <c r="M47" s="410"/>
      <c r="N47" s="410"/>
      <c r="O47" s="410"/>
      <c r="P47" s="410"/>
      <c r="Q47" s="410"/>
      <c r="R47" s="464"/>
      <c r="S47" s="464"/>
      <c r="T47" s="464"/>
      <c r="U47" s="464"/>
      <c r="V47" s="464"/>
      <c r="W47" s="464"/>
      <c r="X47" s="464"/>
      <c r="Y47" s="464"/>
      <c r="Z47" s="411">
        <f>SUM(F47:X47)</f>
        <v>1</v>
      </c>
      <c r="AA47" s="408"/>
      <c r="AB47" s="408"/>
      <c r="AC47" s="409">
        <f t="shared" ref="AC47:AF48" si="339">F47*$D47</f>
        <v>0</v>
      </c>
      <c r="AD47" s="409">
        <f t="shared" si="339"/>
        <v>0</v>
      </c>
      <c r="AE47" s="409">
        <f t="shared" si="339"/>
        <v>24500</v>
      </c>
      <c r="AF47" s="409">
        <f t="shared" si="339"/>
        <v>36750</v>
      </c>
      <c r="AG47" s="409">
        <f t="shared" ref="AG47:AH48" si="340">J47*$D47</f>
        <v>0</v>
      </c>
      <c r="AH47" s="409">
        <f t="shared" si="340"/>
        <v>0</v>
      </c>
      <c r="AI47" s="409">
        <f>L47*$D47</f>
        <v>0</v>
      </c>
      <c r="AJ47" s="409">
        <f>M47*$D47</f>
        <v>0</v>
      </c>
      <c r="AK47" s="409">
        <f t="shared" ref="AK47:AK58" si="341">N47*$D47</f>
        <v>0</v>
      </c>
      <c r="AL47" s="409">
        <f>O47*$D47</f>
        <v>0</v>
      </c>
      <c r="AM47" s="469">
        <f t="shared" si="8"/>
        <v>0</v>
      </c>
      <c r="AN47" s="412">
        <f t="shared" si="9"/>
        <v>0</v>
      </c>
      <c r="AO47" s="412">
        <f t="shared" si="10"/>
        <v>0</v>
      </c>
      <c r="AP47" s="412">
        <f t="shared" si="11"/>
        <v>0</v>
      </c>
      <c r="AQ47" s="412">
        <f t="shared" si="12"/>
        <v>0</v>
      </c>
      <c r="AR47" s="412">
        <f t="shared" si="13"/>
        <v>0</v>
      </c>
      <c r="AS47" s="412">
        <f t="shared" si="14"/>
        <v>0</v>
      </c>
      <c r="AT47" s="412">
        <f t="shared" si="15"/>
        <v>0</v>
      </c>
      <c r="AU47" s="412">
        <f t="shared" si="16"/>
        <v>0</v>
      </c>
      <c r="AV47" s="412"/>
      <c r="AW47" s="412"/>
      <c r="AX47" s="412">
        <f t="shared" ref="AX47:BG48" si="342">IF(AX$3=$E47,$D47,0)</f>
        <v>0</v>
      </c>
      <c r="AY47" s="412">
        <f t="shared" si="342"/>
        <v>61250</v>
      </c>
      <c r="AZ47" s="412">
        <f t="shared" si="342"/>
        <v>0</v>
      </c>
      <c r="BA47" s="412">
        <f t="shared" si="342"/>
        <v>0</v>
      </c>
      <c r="BB47" s="412">
        <f t="shared" si="342"/>
        <v>0</v>
      </c>
      <c r="BC47" s="412">
        <f t="shared" si="342"/>
        <v>0</v>
      </c>
      <c r="BD47" s="412">
        <f t="shared" si="342"/>
        <v>0</v>
      </c>
      <c r="BE47" s="412">
        <f t="shared" si="342"/>
        <v>0</v>
      </c>
      <c r="BF47" s="412">
        <f t="shared" si="342"/>
        <v>0</v>
      </c>
      <c r="BG47" s="412">
        <f t="shared" si="342"/>
        <v>0</v>
      </c>
      <c r="BH47" s="412">
        <f t="shared" ref="BH47:BQ48" si="343">IF(BH$3=$E47,$D47,0)</f>
        <v>0</v>
      </c>
      <c r="BI47" s="412">
        <f t="shared" si="343"/>
        <v>0</v>
      </c>
      <c r="BJ47" s="412">
        <f t="shared" si="343"/>
        <v>0</v>
      </c>
      <c r="BK47" s="412">
        <f t="shared" si="343"/>
        <v>0</v>
      </c>
      <c r="BL47" s="412">
        <f t="shared" si="343"/>
        <v>0</v>
      </c>
      <c r="BM47" s="412">
        <f t="shared" si="343"/>
        <v>0</v>
      </c>
      <c r="BN47" s="412">
        <f t="shared" si="343"/>
        <v>0</v>
      </c>
      <c r="BO47" s="412">
        <f t="shared" si="343"/>
        <v>0</v>
      </c>
      <c r="BP47" s="412">
        <f t="shared" si="343"/>
        <v>0</v>
      </c>
      <c r="BQ47" s="412">
        <f t="shared" si="343"/>
        <v>0</v>
      </c>
      <c r="BR47" s="414">
        <f t="shared" si="20"/>
        <v>0</v>
      </c>
    </row>
    <row r="48" spans="1:70" ht="15" customHeight="1" x14ac:dyDescent="0.25">
      <c r="A48" s="406" t="s">
        <v>134</v>
      </c>
      <c r="B48" s="468"/>
      <c r="C48" s="408"/>
      <c r="D48" s="409">
        <v>121200</v>
      </c>
      <c r="E48" s="408" t="s">
        <v>165</v>
      </c>
      <c r="F48" s="410"/>
      <c r="G48" s="410"/>
      <c r="H48" s="410"/>
      <c r="I48" s="410">
        <v>0.33333332999999998</v>
      </c>
      <c r="J48" s="410">
        <v>0.16666665999999999</v>
      </c>
      <c r="K48" s="410">
        <v>0.33333332999999998</v>
      </c>
      <c r="L48" s="410">
        <v>0.16666668000000007</v>
      </c>
      <c r="M48" s="410"/>
      <c r="N48" s="410"/>
      <c r="O48" s="410"/>
      <c r="P48" s="410"/>
      <c r="Q48" s="410"/>
      <c r="R48" s="464"/>
      <c r="S48" s="464"/>
      <c r="T48" s="464"/>
      <c r="U48" s="464"/>
      <c r="V48" s="464"/>
      <c r="W48" s="464"/>
      <c r="X48" s="464"/>
      <c r="Y48" s="464"/>
      <c r="Z48" s="411">
        <f>SUM(F48:X48)</f>
        <v>1</v>
      </c>
      <c r="AA48" s="408"/>
      <c r="AB48" s="408"/>
      <c r="AC48" s="409">
        <f t="shared" si="339"/>
        <v>0</v>
      </c>
      <c r="AD48" s="409">
        <f t="shared" si="339"/>
        <v>0</v>
      </c>
      <c r="AE48" s="409">
        <f t="shared" si="339"/>
        <v>0</v>
      </c>
      <c r="AF48" s="409">
        <f t="shared" si="339"/>
        <v>40399.999596000001</v>
      </c>
      <c r="AG48" s="409">
        <f t="shared" si="340"/>
        <v>20199.999191999999</v>
      </c>
      <c r="AH48" s="409">
        <f t="shared" si="340"/>
        <v>40399.999596000001</v>
      </c>
      <c r="AI48" s="409">
        <f>L48*$D48</f>
        <v>20200.001616000009</v>
      </c>
      <c r="AJ48" s="409">
        <f>M48*$D48</f>
        <v>0</v>
      </c>
      <c r="AK48" s="409">
        <f t="shared" si="341"/>
        <v>0</v>
      </c>
      <c r="AL48" s="409">
        <f>O48*$D48</f>
        <v>0</v>
      </c>
      <c r="AM48" s="469">
        <f t="shared" si="8"/>
        <v>0</v>
      </c>
      <c r="AN48" s="412">
        <f t="shared" si="9"/>
        <v>0</v>
      </c>
      <c r="AO48" s="412">
        <f t="shared" si="10"/>
        <v>0</v>
      </c>
      <c r="AP48" s="412">
        <f t="shared" si="11"/>
        <v>0</v>
      </c>
      <c r="AQ48" s="412">
        <f t="shared" si="12"/>
        <v>0</v>
      </c>
      <c r="AR48" s="412">
        <f t="shared" si="13"/>
        <v>0</v>
      </c>
      <c r="AS48" s="412">
        <f t="shared" si="14"/>
        <v>0</v>
      </c>
      <c r="AT48" s="412">
        <f t="shared" si="15"/>
        <v>0</v>
      </c>
      <c r="AU48" s="412">
        <f t="shared" si="16"/>
        <v>0</v>
      </c>
      <c r="AV48" s="412"/>
      <c r="AW48" s="412"/>
      <c r="AX48" s="412">
        <f t="shared" si="342"/>
        <v>0</v>
      </c>
      <c r="AY48" s="412">
        <f t="shared" si="342"/>
        <v>0</v>
      </c>
      <c r="AZ48" s="412">
        <f t="shared" si="342"/>
        <v>121200</v>
      </c>
      <c r="BA48" s="412">
        <f t="shared" si="342"/>
        <v>0</v>
      </c>
      <c r="BB48" s="412">
        <f t="shared" si="342"/>
        <v>0</v>
      </c>
      <c r="BC48" s="412">
        <f t="shared" si="342"/>
        <v>0</v>
      </c>
      <c r="BD48" s="412">
        <f t="shared" si="342"/>
        <v>0</v>
      </c>
      <c r="BE48" s="412">
        <f t="shared" si="342"/>
        <v>0</v>
      </c>
      <c r="BF48" s="412">
        <f t="shared" si="342"/>
        <v>0</v>
      </c>
      <c r="BG48" s="412">
        <f t="shared" si="342"/>
        <v>0</v>
      </c>
      <c r="BH48" s="412">
        <f t="shared" si="343"/>
        <v>0</v>
      </c>
      <c r="BI48" s="412">
        <f t="shared" si="343"/>
        <v>0</v>
      </c>
      <c r="BJ48" s="412">
        <f t="shared" si="343"/>
        <v>0</v>
      </c>
      <c r="BK48" s="412">
        <f t="shared" si="343"/>
        <v>0</v>
      </c>
      <c r="BL48" s="412">
        <f t="shared" si="343"/>
        <v>0</v>
      </c>
      <c r="BM48" s="412">
        <f t="shared" si="343"/>
        <v>0</v>
      </c>
      <c r="BN48" s="412">
        <f t="shared" si="343"/>
        <v>0</v>
      </c>
      <c r="BO48" s="412">
        <f t="shared" si="343"/>
        <v>0</v>
      </c>
      <c r="BP48" s="412">
        <f t="shared" si="343"/>
        <v>0</v>
      </c>
      <c r="BQ48" s="412">
        <f t="shared" si="343"/>
        <v>0</v>
      </c>
      <c r="BR48" s="414">
        <f t="shared" si="20"/>
        <v>0</v>
      </c>
    </row>
    <row r="49" spans="1:70" ht="15" customHeight="1" x14ac:dyDescent="0.25">
      <c r="A49" s="406" t="s">
        <v>134</v>
      </c>
      <c r="B49" s="468"/>
      <c r="C49" s="408"/>
      <c r="D49" s="409">
        <v>124265.64</v>
      </c>
      <c r="E49" s="408" t="s">
        <v>197</v>
      </c>
      <c r="F49" s="410"/>
      <c r="G49" s="410"/>
      <c r="H49" s="410"/>
      <c r="I49" s="410"/>
      <c r="J49" s="410">
        <v>0</v>
      </c>
      <c r="K49" s="410">
        <v>0.33765158252916899</v>
      </c>
      <c r="L49" s="411">
        <v>7.5439679061726148E-2</v>
      </c>
      <c r="M49" s="470">
        <v>5.7940392855177013E-2</v>
      </c>
      <c r="N49" s="410">
        <v>4.9891023777771555E-2</v>
      </c>
      <c r="O49" s="410">
        <v>4.1721669803495155E-2</v>
      </c>
      <c r="P49" s="410">
        <v>5.2252336204923575E-2</v>
      </c>
      <c r="Q49" s="410">
        <v>4.512172471811194E-2</v>
      </c>
      <c r="R49" s="410">
        <v>0</v>
      </c>
      <c r="S49" s="410">
        <v>6.4401229495136381E-2</v>
      </c>
      <c r="T49" s="410">
        <v>0.1368037053525013</v>
      </c>
      <c r="U49" s="410">
        <f>1-L49-R49-Q49-P49-N49-M49-O49-T49-S49-K49</f>
        <v>0.13877665620198804</v>
      </c>
      <c r="V49" s="464"/>
      <c r="W49" s="464"/>
      <c r="X49" s="464"/>
      <c r="Y49" s="464"/>
      <c r="Z49" s="411">
        <f t="shared" si="21"/>
        <v>1</v>
      </c>
      <c r="AA49" s="408"/>
      <c r="AB49" s="408"/>
      <c r="AC49" s="409">
        <f t="shared" si="0"/>
        <v>0</v>
      </c>
      <c r="AD49" s="409">
        <f t="shared" si="1"/>
        <v>0</v>
      </c>
      <c r="AE49" s="409">
        <f t="shared" si="2"/>
        <v>0</v>
      </c>
      <c r="AF49" s="409">
        <f t="shared" si="3"/>
        <v>0</v>
      </c>
      <c r="AG49" s="409">
        <f t="shared" ref="AG49:AG58" si="344">J49*$D49</f>
        <v>0</v>
      </c>
      <c r="AH49" s="409">
        <f t="shared" si="22"/>
        <v>41958.490000000005</v>
      </c>
      <c r="AI49" s="409">
        <f t="shared" si="23"/>
        <v>9374.56</v>
      </c>
      <c r="AJ49" s="409">
        <f t="shared" si="24"/>
        <v>7199.9999999999991</v>
      </c>
      <c r="AK49" s="409">
        <f t="shared" si="341"/>
        <v>6199.74</v>
      </c>
      <c r="AL49" s="409">
        <f t="shared" si="19"/>
        <v>5184.57</v>
      </c>
      <c r="AM49" s="469">
        <f t="shared" si="8"/>
        <v>6493.1699999999992</v>
      </c>
      <c r="AN49" s="409">
        <f t="shared" si="9"/>
        <v>5607.08</v>
      </c>
      <c r="AO49" s="412">
        <f t="shared" si="10"/>
        <v>0</v>
      </c>
      <c r="AP49" s="413">
        <f t="shared" si="11"/>
        <v>8002.8599999999988</v>
      </c>
      <c r="AQ49" s="413">
        <f t="shared" si="12"/>
        <v>17000</v>
      </c>
      <c r="AR49" s="413">
        <f t="shared" si="13"/>
        <v>17245.170000000013</v>
      </c>
      <c r="AS49" s="412">
        <f t="shared" si="14"/>
        <v>0</v>
      </c>
      <c r="AT49" s="412">
        <f t="shared" si="15"/>
        <v>0</v>
      </c>
      <c r="AU49" s="412">
        <f t="shared" si="16"/>
        <v>0</v>
      </c>
      <c r="AV49" s="412"/>
      <c r="AW49" s="412"/>
      <c r="AX49" s="412">
        <f t="shared" ref="AX49:BN70" si="345">IF(AX$3=$E49,$D49,0)</f>
        <v>0</v>
      </c>
      <c r="AY49" s="412">
        <f t="shared" si="345"/>
        <v>0</v>
      </c>
      <c r="AZ49" s="412">
        <f t="shared" si="345"/>
        <v>0</v>
      </c>
      <c r="BA49" s="412">
        <f t="shared" si="345"/>
        <v>124265.64</v>
      </c>
      <c r="BB49" s="412">
        <f t="shared" si="345"/>
        <v>0</v>
      </c>
      <c r="BC49" s="412">
        <f t="shared" si="345"/>
        <v>0</v>
      </c>
      <c r="BD49" s="412">
        <f t="shared" si="345"/>
        <v>0</v>
      </c>
      <c r="BE49" s="412">
        <f t="shared" si="345"/>
        <v>0</v>
      </c>
      <c r="BF49" s="412">
        <f t="shared" si="345"/>
        <v>0</v>
      </c>
      <c r="BG49" s="412">
        <f t="shared" si="345"/>
        <v>0</v>
      </c>
      <c r="BH49" s="412">
        <f t="shared" si="345"/>
        <v>0</v>
      </c>
      <c r="BI49" s="412">
        <f t="shared" si="345"/>
        <v>0</v>
      </c>
      <c r="BJ49" s="412">
        <f t="shared" si="345"/>
        <v>0</v>
      </c>
      <c r="BK49" s="412">
        <f t="shared" si="345"/>
        <v>0</v>
      </c>
      <c r="BL49" s="412">
        <f t="shared" si="345"/>
        <v>0</v>
      </c>
      <c r="BM49" s="412">
        <f t="shared" si="345"/>
        <v>0</v>
      </c>
      <c r="BN49" s="412">
        <f t="shared" si="345"/>
        <v>0</v>
      </c>
      <c r="BO49" s="412">
        <f t="shared" si="315"/>
        <v>0</v>
      </c>
      <c r="BP49" s="412">
        <f t="shared" si="315"/>
        <v>0</v>
      </c>
      <c r="BQ49" s="412">
        <f t="shared" si="315"/>
        <v>0</v>
      </c>
      <c r="BR49" s="414">
        <f t="shared" si="20"/>
        <v>0</v>
      </c>
    </row>
    <row r="50" spans="1:70" s="288" customFormat="1" ht="15" customHeight="1" x14ac:dyDescent="0.25">
      <c r="A50" s="406" t="s">
        <v>136</v>
      </c>
      <c r="B50" s="468"/>
      <c r="C50" s="408"/>
      <c r="D50" s="409">
        <v>5000</v>
      </c>
      <c r="E50" s="408" t="s">
        <v>197</v>
      </c>
      <c r="F50" s="464"/>
      <c r="G50" s="464"/>
      <c r="H50" s="464"/>
      <c r="I50" s="410">
        <v>1</v>
      </c>
      <c r="J50" s="410"/>
      <c r="K50" s="410"/>
      <c r="L50" s="410"/>
      <c r="M50" s="410"/>
      <c r="N50" s="464"/>
      <c r="O50" s="464"/>
      <c r="P50" s="464"/>
      <c r="Q50" s="464"/>
      <c r="R50" s="464"/>
      <c r="S50" s="464"/>
      <c r="T50" s="464"/>
      <c r="U50" s="464"/>
      <c r="V50" s="464"/>
      <c r="W50" s="464"/>
      <c r="X50" s="464"/>
      <c r="Y50" s="464"/>
      <c r="Z50" s="411">
        <f>SUM(F50:X50)</f>
        <v>1</v>
      </c>
      <c r="AA50" s="408"/>
      <c r="AB50" s="408"/>
      <c r="AC50" s="409">
        <f>F50*$D50</f>
        <v>0</v>
      </c>
      <c r="AD50" s="409">
        <f>G50*$D50</f>
        <v>0</v>
      </c>
      <c r="AE50" s="409">
        <f>H50*$D50</f>
        <v>0</v>
      </c>
      <c r="AF50" s="409">
        <f>I50*$D50</f>
        <v>5000</v>
      </c>
      <c r="AG50" s="409">
        <f t="shared" si="344"/>
        <v>0</v>
      </c>
      <c r="AH50" s="409">
        <f>K50*$D50</f>
        <v>0</v>
      </c>
      <c r="AI50" s="409">
        <f>L50*$D50</f>
        <v>0</v>
      </c>
      <c r="AJ50" s="409">
        <f>M50*$D50</f>
        <v>0</v>
      </c>
      <c r="AK50" s="409">
        <f t="shared" si="341"/>
        <v>0</v>
      </c>
      <c r="AL50" s="409">
        <f t="shared" ref="AL50:AU50" si="346">O50*$D50</f>
        <v>0</v>
      </c>
      <c r="AM50" s="469">
        <f t="shared" si="346"/>
        <v>0</v>
      </c>
      <c r="AN50" s="412">
        <f t="shared" si="346"/>
        <v>0</v>
      </c>
      <c r="AO50" s="412">
        <f t="shared" si="346"/>
        <v>0</v>
      </c>
      <c r="AP50" s="412">
        <f t="shared" si="346"/>
        <v>0</v>
      </c>
      <c r="AQ50" s="412">
        <f t="shared" si="346"/>
        <v>0</v>
      </c>
      <c r="AR50" s="412">
        <f t="shared" si="346"/>
        <v>0</v>
      </c>
      <c r="AS50" s="412">
        <f t="shared" si="346"/>
        <v>0</v>
      </c>
      <c r="AT50" s="412">
        <f t="shared" si="346"/>
        <v>0</v>
      </c>
      <c r="AU50" s="412">
        <f t="shared" si="346"/>
        <v>0</v>
      </c>
      <c r="AV50" s="412"/>
      <c r="AW50" s="412"/>
      <c r="AX50" s="412">
        <f t="shared" ref="AX50:BQ50" si="347">IF(AX$3=$E50,$D50,0)</f>
        <v>0</v>
      </c>
      <c r="AY50" s="412">
        <f t="shared" si="347"/>
        <v>0</v>
      </c>
      <c r="AZ50" s="412">
        <f t="shared" si="347"/>
        <v>0</v>
      </c>
      <c r="BA50" s="412">
        <f t="shared" si="347"/>
        <v>5000</v>
      </c>
      <c r="BB50" s="412">
        <f t="shared" si="347"/>
        <v>0</v>
      </c>
      <c r="BC50" s="412">
        <f t="shared" si="347"/>
        <v>0</v>
      </c>
      <c r="BD50" s="412">
        <f t="shared" si="347"/>
        <v>0</v>
      </c>
      <c r="BE50" s="412">
        <f t="shared" si="347"/>
        <v>0</v>
      </c>
      <c r="BF50" s="412">
        <f t="shared" si="347"/>
        <v>0</v>
      </c>
      <c r="BG50" s="412">
        <f t="shared" si="347"/>
        <v>0</v>
      </c>
      <c r="BH50" s="412">
        <f t="shared" si="347"/>
        <v>0</v>
      </c>
      <c r="BI50" s="412">
        <f t="shared" si="347"/>
        <v>0</v>
      </c>
      <c r="BJ50" s="412">
        <f t="shared" si="347"/>
        <v>0</v>
      </c>
      <c r="BK50" s="412">
        <f t="shared" si="347"/>
        <v>0</v>
      </c>
      <c r="BL50" s="412">
        <f t="shared" si="347"/>
        <v>0</v>
      </c>
      <c r="BM50" s="412">
        <f t="shared" si="347"/>
        <v>0</v>
      </c>
      <c r="BN50" s="412">
        <f t="shared" si="347"/>
        <v>0</v>
      </c>
      <c r="BO50" s="412">
        <f t="shared" si="347"/>
        <v>0</v>
      </c>
      <c r="BP50" s="412">
        <f t="shared" si="347"/>
        <v>0</v>
      </c>
      <c r="BQ50" s="412">
        <f t="shared" si="347"/>
        <v>0</v>
      </c>
      <c r="BR50" s="414">
        <f t="shared" si="20"/>
        <v>0</v>
      </c>
    </row>
    <row r="51" spans="1:70" ht="15" customHeight="1" x14ac:dyDescent="0.25">
      <c r="A51" s="406" t="s">
        <v>134</v>
      </c>
      <c r="B51" s="468"/>
      <c r="C51" s="408"/>
      <c r="D51" s="409">
        <v>57832.03</v>
      </c>
      <c r="E51" s="408" t="s">
        <v>194</v>
      </c>
      <c r="F51" s="464"/>
      <c r="G51" s="464"/>
      <c r="H51" s="464"/>
      <c r="I51" s="464"/>
      <c r="J51" s="471">
        <v>0.33333344860970643</v>
      </c>
      <c r="K51" s="471">
        <v>0.44444436759352907</v>
      </c>
      <c r="L51" s="471">
        <v>0.22222218379676453</v>
      </c>
      <c r="M51" s="410"/>
      <c r="N51" s="410"/>
      <c r="O51" s="464"/>
      <c r="P51" s="464"/>
      <c r="Q51" s="464"/>
      <c r="R51" s="464"/>
      <c r="S51" s="410">
        <f>1-R51-P51-O51-N51-L51-K51-M51-J51</f>
        <v>0</v>
      </c>
      <c r="T51" s="464"/>
      <c r="U51" s="464"/>
      <c r="V51" s="464"/>
      <c r="W51" s="464"/>
      <c r="X51" s="464"/>
      <c r="Y51" s="464"/>
      <c r="Z51" s="411">
        <f t="shared" si="21"/>
        <v>1</v>
      </c>
      <c r="AA51" s="408"/>
      <c r="AB51" s="408"/>
      <c r="AC51" s="409">
        <f t="shared" si="0"/>
        <v>0</v>
      </c>
      <c r="AD51" s="409">
        <f t="shared" si="1"/>
        <v>0</v>
      </c>
      <c r="AE51" s="409">
        <f t="shared" si="2"/>
        <v>0</v>
      </c>
      <c r="AF51" s="409">
        <f t="shared" si="3"/>
        <v>0</v>
      </c>
      <c r="AG51" s="409">
        <f t="shared" si="344"/>
        <v>19277.349999999999</v>
      </c>
      <c r="AH51" s="409">
        <f t="shared" si="22"/>
        <v>25703.119999999999</v>
      </c>
      <c r="AI51" s="409">
        <f t="shared" si="23"/>
        <v>12851.56</v>
      </c>
      <c r="AJ51" s="409">
        <f t="shared" si="24"/>
        <v>0</v>
      </c>
      <c r="AK51" s="409">
        <f t="shared" si="341"/>
        <v>0</v>
      </c>
      <c r="AL51" s="409">
        <f t="shared" si="19"/>
        <v>0</v>
      </c>
      <c r="AM51" s="469">
        <f t="shared" si="8"/>
        <v>0</v>
      </c>
      <c r="AN51" s="412">
        <f t="shared" si="9"/>
        <v>0</v>
      </c>
      <c r="AO51" s="412">
        <f t="shared" si="10"/>
        <v>0</v>
      </c>
      <c r="AP51" s="412">
        <f t="shared" si="11"/>
        <v>0</v>
      </c>
      <c r="AQ51" s="412">
        <f t="shared" si="12"/>
        <v>0</v>
      </c>
      <c r="AR51" s="412">
        <f t="shared" si="13"/>
        <v>0</v>
      </c>
      <c r="AS51" s="412">
        <f t="shared" si="14"/>
        <v>0</v>
      </c>
      <c r="AT51" s="412">
        <f t="shared" si="15"/>
        <v>0</v>
      </c>
      <c r="AU51" s="412">
        <f t="shared" si="16"/>
        <v>0</v>
      </c>
      <c r="AV51" s="412"/>
      <c r="AW51" s="412"/>
      <c r="AX51" s="412">
        <f t="shared" si="345"/>
        <v>0</v>
      </c>
      <c r="AY51" s="412">
        <f t="shared" si="345"/>
        <v>0</v>
      </c>
      <c r="AZ51" s="412">
        <f t="shared" si="345"/>
        <v>0</v>
      </c>
      <c r="BA51" s="412">
        <f t="shared" si="345"/>
        <v>0</v>
      </c>
      <c r="BB51" s="409">
        <f t="shared" si="345"/>
        <v>57832.03</v>
      </c>
      <c r="BC51" s="412">
        <f t="shared" si="345"/>
        <v>0</v>
      </c>
      <c r="BD51" s="412">
        <f t="shared" si="345"/>
        <v>0</v>
      </c>
      <c r="BE51" s="412">
        <f t="shared" si="345"/>
        <v>0</v>
      </c>
      <c r="BF51" s="412">
        <f t="shared" si="345"/>
        <v>0</v>
      </c>
      <c r="BG51" s="412">
        <f t="shared" si="345"/>
        <v>0</v>
      </c>
      <c r="BH51" s="412">
        <f t="shared" si="345"/>
        <v>0</v>
      </c>
      <c r="BI51" s="412">
        <f t="shared" si="345"/>
        <v>0</v>
      </c>
      <c r="BJ51" s="412">
        <f t="shared" si="345"/>
        <v>0</v>
      </c>
      <c r="BK51" s="412">
        <f t="shared" si="345"/>
        <v>0</v>
      </c>
      <c r="BL51" s="412">
        <f t="shared" si="345"/>
        <v>0</v>
      </c>
      <c r="BM51" s="412">
        <f t="shared" si="345"/>
        <v>0</v>
      </c>
      <c r="BN51" s="412">
        <f t="shared" si="315"/>
        <v>0</v>
      </c>
      <c r="BO51" s="412">
        <f t="shared" si="315"/>
        <v>0</v>
      </c>
      <c r="BP51" s="412">
        <f t="shared" si="315"/>
        <v>0</v>
      </c>
      <c r="BQ51" s="412">
        <f t="shared" si="315"/>
        <v>0</v>
      </c>
      <c r="BR51" s="414">
        <f t="shared" si="20"/>
        <v>0</v>
      </c>
    </row>
    <row r="52" spans="1:70" ht="15" customHeight="1" x14ac:dyDescent="0.25">
      <c r="A52" s="406" t="s">
        <v>134</v>
      </c>
      <c r="B52" s="468"/>
      <c r="C52" s="408"/>
      <c r="D52" s="466">
        <f>12250*12</f>
        <v>147000</v>
      </c>
      <c r="E52" s="464" t="s">
        <v>194</v>
      </c>
      <c r="F52" s="410"/>
      <c r="G52" s="410"/>
      <c r="H52" s="410"/>
      <c r="I52" s="410"/>
      <c r="J52" s="410">
        <v>8.3333333333333301E-2</v>
      </c>
      <c r="K52" s="410">
        <v>0.16666666666666599</v>
      </c>
      <c r="L52" s="410">
        <v>0.25</v>
      </c>
      <c r="M52" s="410">
        <v>0.33333333333333331</v>
      </c>
      <c r="N52" s="410">
        <v>0.16666666666666669</v>
      </c>
      <c r="O52" s="410">
        <v>0</v>
      </c>
      <c r="P52" s="410"/>
      <c r="Q52" s="410"/>
      <c r="R52" s="464"/>
      <c r="S52" s="464"/>
      <c r="T52" s="464"/>
      <c r="U52" s="464"/>
      <c r="V52" s="464"/>
      <c r="W52" s="464"/>
      <c r="X52" s="464"/>
      <c r="Y52" s="464"/>
      <c r="Z52" s="411">
        <f>SUM(F52:X52)</f>
        <v>0.99999999999999933</v>
      </c>
      <c r="AA52" s="408"/>
      <c r="AB52" s="408"/>
      <c r="AC52" s="409">
        <f t="shared" ref="AC52:AF58" si="348">F52*$D52</f>
        <v>0</v>
      </c>
      <c r="AD52" s="409">
        <f t="shared" si="348"/>
        <v>0</v>
      </c>
      <c r="AE52" s="409">
        <f t="shared" si="348"/>
        <v>0</v>
      </c>
      <c r="AF52" s="409">
        <f t="shared" si="348"/>
        <v>0</v>
      </c>
      <c r="AG52" s="409">
        <f t="shared" si="344"/>
        <v>12249.999999999995</v>
      </c>
      <c r="AH52" s="409">
        <f t="shared" ref="AH52:AJ58" si="349">K52*$D52</f>
        <v>24499.999999999902</v>
      </c>
      <c r="AI52" s="409">
        <f t="shared" si="349"/>
        <v>36750</v>
      </c>
      <c r="AJ52" s="409">
        <f t="shared" si="349"/>
        <v>49000</v>
      </c>
      <c r="AK52" s="409">
        <f t="shared" si="341"/>
        <v>24500.000000000004</v>
      </c>
      <c r="AL52" s="409">
        <f t="shared" ref="AL52:AU58" si="350">O52*$D52</f>
        <v>0</v>
      </c>
      <c r="AM52" s="469">
        <f t="shared" si="350"/>
        <v>0</v>
      </c>
      <c r="AN52" s="412">
        <f t="shared" si="350"/>
        <v>0</v>
      </c>
      <c r="AO52" s="412">
        <f t="shared" si="350"/>
        <v>0</v>
      </c>
      <c r="AP52" s="412">
        <f t="shared" si="350"/>
        <v>0</v>
      </c>
      <c r="AQ52" s="412">
        <f t="shared" si="350"/>
        <v>0</v>
      </c>
      <c r="AR52" s="412">
        <f t="shared" si="350"/>
        <v>0</v>
      </c>
      <c r="AS52" s="412">
        <f t="shared" si="350"/>
        <v>0</v>
      </c>
      <c r="AT52" s="412">
        <f t="shared" si="350"/>
        <v>0</v>
      </c>
      <c r="AU52" s="412">
        <f t="shared" si="350"/>
        <v>0</v>
      </c>
      <c r="AV52" s="412"/>
      <c r="AW52" s="412"/>
      <c r="AX52" s="412">
        <f t="shared" ref="AX52:BG58" si="351">IF(AX$3=$E52,$D52,0)</f>
        <v>0</v>
      </c>
      <c r="AY52" s="412">
        <f t="shared" si="351"/>
        <v>0</v>
      </c>
      <c r="AZ52" s="412">
        <f t="shared" si="351"/>
        <v>0</v>
      </c>
      <c r="BA52" s="412">
        <f t="shared" si="351"/>
        <v>0</v>
      </c>
      <c r="BB52" s="412">
        <f t="shared" si="351"/>
        <v>147000</v>
      </c>
      <c r="BC52" s="412">
        <f t="shared" si="351"/>
        <v>0</v>
      </c>
      <c r="BD52" s="412">
        <f t="shared" si="351"/>
        <v>0</v>
      </c>
      <c r="BE52" s="412">
        <f t="shared" si="351"/>
        <v>0</v>
      </c>
      <c r="BF52" s="412">
        <f t="shared" si="351"/>
        <v>0</v>
      </c>
      <c r="BG52" s="412">
        <f t="shared" si="351"/>
        <v>0</v>
      </c>
      <c r="BH52" s="412">
        <f t="shared" si="345"/>
        <v>0</v>
      </c>
      <c r="BI52" s="412">
        <f t="shared" si="345"/>
        <v>0</v>
      </c>
      <c r="BJ52" s="412">
        <f t="shared" si="345"/>
        <v>0</v>
      </c>
      <c r="BK52" s="412">
        <f t="shared" si="345"/>
        <v>0</v>
      </c>
      <c r="BL52" s="412">
        <f t="shared" si="345"/>
        <v>0</v>
      </c>
      <c r="BM52" s="412">
        <f t="shared" si="345"/>
        <v>0</v>
      </c>
      <c r="BN52" s="412">
        <f t="shared" si="345"/>
        <v>0</v>
      </c>
      <c r="BO52" s="412">
        <f t="shared" si="315"/>
        <v>0</v>
      </c>
      <c r="BP52" s="412">
        <f t="shared" si="315"/>
        <v>0</v>
      </c>
      <c r="BQ52" s="412">
        <f t="shared" si="315"/>
        <v>0</v>
      </c>
      <c r="BR52" s="414">
        <f t="shared" si="20"/>
        <v>0</v>
      </c>
    </row>
    <row r="53" spans="1:70" s="288" customFormat="1" ht="15" customHeight="1" x14ac:dyDescent="0.25">
      <c r="A53" s="406" t="s">
        <v>136</v>
      </c>
      <c r="B53" s="468"/>
      <c r="C53" s="408"/>
      <c r="D53" s="409">
        <v>961.64</v>
      </c>
      <c r="E53" s="408" t="s">
        <v>194</v>
      </c>
      <c r="F53" s="464"/>
      <c r="G53" s="464"/>
      <c r="H53" s="464"/>
      <c r="I53" s="410"/>
      <c r="J53" s="410">
        <v>1</v>
      </c>
      <c r="K53" s="410"/>
      <c r="L53" s="410"/>
      <c r="M53" s="410"/>
      <c r="N53" s="464"/>
      <c r="O53" s="464"/>
      <c r="P53" s="464"/>
      <c r="Q53" s="464"/>
      <c r="R53" s="464"/>
      <c r="S53" s="464"/>
      <c r="T53" s="464"/>
      <c r="U53" s="464"/>
      <c r="V53" s="464"/>
      <c r="W53" s="464"/>
      <c r="X53" s="464"/>
      <c r="Y53" s="464"/>
      <c r="Z53" s="411">
        <f t="shared" ref="Z53" si="352">SUM(F53:X53)</f>
        <v>1</v>
      </c>
      <c r="AA53" s="408"/>
      <c r="AB53" s="408"/>
      <c r="AC53" s="409">
        <f t="shared" si="348"/>
        <v>0</v>
      </c>
      <c r="AD53" s="409">
        <f t="shared" si="348"/>
        <v>0</v>
      </c>
      <c r="AE53" s="409">
        <f t="shared" si="348"/>
        <v>0</v>
      </c>
      <c r="AF53" s="409">
        <f t="shared" si="348"/>
        <v>0</v>
      </c>
      <c r="AG53" s="409">
        <f t="shared" si="344"/>
        <v>961.64</v>
      </c>
      <c r="AH53" s="409">
        <f t="shared" si="349"/>
        <v>0</v>
      </c>
      <c r="AI53" s="409">
        <f t="shared" si="349"/>
        <v>0</v>
      </c>
      <c r="AJ53" s="409">
        <f t="shared" si="349"/>
        <v>0</v>
      </c>
      <c r="AK53" s="409">
        <f t="shared" si="341"/>
        <v>0</v>
      </c>
      <c r="AL53" s="409">
        <f t="shared" si="350"/>
        <v>0</v>
      </c>
      <c r="AM53" s="469">
        <f t="shared" si="350"/>
        <v>0</v>
      </c>
      <c r="AN53" s="412">
        <f t="shared" si="350"/>
        <v>0</v>
      </c>
      <c r="AO53" s="412">
        <f t="shared" si="350"/>
        <v>0</v>
      </c>
      <c r="AP53" s="412">
        <f t="shared" si="350"/>
        <v>0</v>
      </c>
      <c r="AQ53" s="412">
        <f t="shared" si="350"/>
        <v>0</v>
      </c>
      <c r="AR53" s="412">
        <f t="shared" si="350"/>
        <v>0</v>
      </c>
      <c r="AS53" s="412">
        <f t="shared" si="350"/>
        <v>0</v>
      </c>
      <c r="AT53" s="412">
        <f t="shared" si="350"/>
        <v>0</v>
      </c>
      <c r="AU53" s="412">
        <f t="shared" si="350"/>
        <v>0</v>
      </c>
      <c r="AV53" s="412"/>
      <c r="AW53" s="412"/>
      <c r="AX53" s="412">
        <f t="shared" si="351"/>
        <v>0</v>
      </c>
      <c r="AY53" s="412">
        <f t="shared" si="351"/>
        <v>0</v>
      </c>
      <c r="AZ53" s="412">
        <f t="shared" si="351"/>
        <v>0</v>
      </c>
      <c r="BA53" s="412">
        <f t="shared" si="351"/>
        <v>0</v>
      </c>
      <c r="BB53" s="412">
        <f t="shared" si="351"/>
        <v>961.64</v>
      </c>
      <c r="BC53" s="412">
        <f t="shared" si="351"/>
        <v>0</v>
      </c>
      <c r="BD53" s="412">
        <f t="shared" si="351"/>
        <v>0</v>
      </c>
      <c r="BE53" s="412">
        <f t="shared" si="351"/>
        <v>0</v>
      </c>
      <c r="BF53" s="412">
        <f t="shared" si="351"/>
        <v>0</v>
      </c>
      <c r="BG53" s="412">
        <f t="shared" si="351"/>
        <v>0</v>
      </c>
      <c r="BH53" s="412">
        <f t="shared" si="345"/>
        <v>0</v>
      </c>
      <c r="BI53" s="412">
        <f t="shared" si="345"/>
        <v>0</v>
      </c>
      <c r="BJ53" s="412">
        <f t="shared" si="345"/>
        <v>0</v>
      </c>
      <c r="BK53" s="412">
        <f t="shared" si="345"/>
        <v>0</v>
      </c>
      <c r="BL53" s="412">
        <f t="shared" si="345"/>
        <v>0</v>
      </c>
      <c r="BM53" s="412">
        <f t="shared" si="345"/>
        <v>0</v>
      </c>
      <c r="BN53" s="412">
        <f t="shared" si="345"/>
        <v>0</v>
      </c>
      <c r="BO53" s="412">
        <f t="shared" si="315"/>
        <v>0</v>
      </c>
      <c r="BP53" s="412">
        <f t="shared" si="315"/>
        <v>0</v>
      </c>
      <c r="BQ53" s="412">
        <f t="shared" si="315"/>
        <v>0</v>
      </c>
      <c r="BR53" s="414">
        <f t="shared" si="20"/>
        <v>0</v>
      </c>
    </row>
    <row r="54" spans="1:70" ht="15" customHeight="1" x14ac:dyDescent="0.25">
      <c r="A54" s="406" t="s">
        <v>135</v>
      </c>
      <c r="B54" s="468"/>
      <c r="C54" s="408"/>
      <c r="D54" s="409">
        <v>1030229</v>
      </c>
      <c r="E54" s="408" t="s">
        <v>167</v>
      </c>
      <c r="F54" s="410"/>
      <c r="G54" s="410"/>
      <c r="H54" s="410"/>
      <c r="I54" s="410"/>
      <c r="J54" s="410"/>
      <c r="K54" s="410">
        <v>0</v>
      </c>
      <c r="L54" s="410">
        <v>0.1</v>
      </c>
      <c r="M54" s="410">
        <v>0</v>
      </c>
      <c r="N54" s="410">
        <v>0</v>
      </c>
      <c r="O54" s="410">
        <v>0.30002038381757845</v>
      </c>
      <c r="P54" s="410">
        <v>0</v>
      </c>
      <c r="Q54" s="410">
        <v>0.19997961618242158</v>
      </c>
      <c r="R54" s="410">
        <f>1-(Q54+P54+O54+N54+M54+L54)</f>
        <v>0.4</v>
      </c>
      <c r="S54" s="464"/>
      <c r="T54" s="464"/>
      <c r="U54" s="464"/>
      <c r="V54" s="464"/>
      <c r="W54" s="464"/>
      <c r="X54" s="464"/>
      <c r="Y54" s="464"/>
      <c r="Z54" s="411">
        <f>SUM(F54:X54)</f>
        <v>1</v>
      </c>
      <c r="AA54" s="408"/>
      <c r="AB54" s="408"/>
      <c r="AC54" s="409">
        <f t="shared" si="348"/>
        <v>0</v>
      </c>
      <c r="AD54" s="409">
        <f t="shared" si="348"/>
        <v>0</v>
      </c>
      <c r="AE54" s="409">
        <f t="shared" si="348"/>
        <v>0</v>
      </c>
      <c r="AF54" s="409">
        <f t="shared" si="348"/>
        <v>0</v>
      </c>
      <c r="AG54" s="409">
        <f t="shared" si="344"/>
        <v>0</v>
      </c>
      <c r="AH54" s="409">
        <f t="shared" si="349"/>
        <v>0</v>
      </c>
      <c r="AI54" s="409">
        <f t="shared" si="349"/>
        <v>103022.90000000001</v>
      </c>
      <c r="AJ54" s="409">
        <f t="shared" si="349"/>
        <v>0</v>
      </c>
      <c r="AK54" s="409">
        <f t="shared" si="341"/>
        <v>0</v>
      </c>
      <c r="AL54" s="409">
        <f t="shared" si="350"/>
        <v>309089.7</v>
      </c>
      <c r="AM54" s="469">
        <f t="shared" si="350"/>
        <v>0</v>
      </c>
      <c r="AN54" s="412">
        <f t="shared" si="350"/>
        <v>206024.8</v>
      </c>
      <c r="AO54" s="412">
        <f t="shared" si="350"/>
        <v>412091.60000000003</v>
      </c>
      <c r="AP54" s="412">
        <f t="shared" si="350"/>
        <v>0</v>
      </c>
      <c r="AQ54" s="412">
        <f t="shared" si="350"/>
        <v>0</v>
      </c>
      <c r="AR54" s="412">
        <f t="shared" si="350"/>
        <v>0</v>
      </c>
      <c r="AS54" s="412">
        <f t="shared" si="350"/>
        <v>0</v>
      </c>
      <c r="AT54" s="412">
        <f t="shared" si="350"/>
        <v>0</v>
      </c>
      <c r="AU54" s="412">
        <f t="shared" si="350"/>
        <v>0</v>
      </c>
      <c r="AV54" s="412"/>
      <c r="AW54" s="412"/>
      <c r="AX54" s="412">
        <f t="shared" si="351"/>
        <v>0</v>
      </c>
      <c r="AY54" s="412">
        <f t="shared" si="351"/>
        <v>0</v>
      </c>
      <c r="AZ54" s="412">
        <f t="shared" si="351"/>
        <v>0</v>
      </c>
      <c r="BA54" s="412">
        <f t="shared" si="351"/>
        <v>0</v>
      </c>
      <c r="BB54" s="412">
        <f t="shared" si="351"/>
        <v>0</v>
      </c>
      <c r="BC54" s="412">
        <f t="shared" si="351"/>
        <v>1030229</v>
      </c>
      <c r="BD54" s="412">
        <f t="shared" si="351"/>
        <v>0</v>
      </c>
      <c r="BE54" s="412">
        <f t="shared" si="351"/>
        <v>0</v>
      </c>
      <c r="BF54" s="412">
        <f t="shared" si="351"/>
        <v>0</v>
      </c>
      <c r="BG54" s="412">
        <f t="shared" si="351"/>
        <v>0</v>
      </c>
      <c r="BH54" s="412">
        <f t="shared" si="345"/>
        <v>0</v>
      </c>
      <c r="BI54" s="412">
        <f t="shared" si="345"/>
        <v>0</v>
      </c>
      <c r="BJ54" s="412">
        <f t="shared" si="345"/>
        <v>0</v>
      </c>
      <c r="BK54" s="412">
        <f t="shared" si="345"/>
        <v>0</v>
      </c>
      <c r="BL54" s="412">
        <f t="shared" si="345"/>
        <v>0</v>
      </c>
      <c r="BM54" s="412">
        <f t="shared" si="345"/>
        <v>0</v>
      </c>
      <c r="BN54" s="412">
        <f t="shared" si="345"/>
        <v>0</v>
      </c>
      <c r="BO54" s="412">
        <f t="shared" si="315"/>
        <v>0</v>
      </c>
      <c r="BP54" s="412">
        <f t="shared" si="315"/>
        <v>0</v>
      </c>
      <c r="BQ54" s="412">
        <f t="shared" si="315"/>
        <v>0</v>
      </c>
      <c r="BR54" s="414">
        <f t="shared" si="20"/>
        <v>0</v>
      </c>
    </row>
    <row r="55" spans="1:70" s="288" customFormat="1" ht="15" customHeight="1" x14ac:dyDescent="0.25">
      <c r="A55" s="406" t="s">
        <v>134</v>
      </c>
      <c r="B55" s="468"/>
      <c r="C55" s="408"/>
      <c r="D55" s="409">
        <v>0</v>
      </c>
      <c r="E55" s="408" t="s">
        <v>258</v>
      </c>
      <c r="F55" s="464"/>
      <c r="G55" s="464"/>
      <c r="H55" s="464"/>
      <c r="I55" s="464"/>
      <c r="J55" s="471">
        <v>0</v>
      </c>
      <c r="K55" s="471">
        <v>0</v>
      </c>
      <c r="L55" s="471">
        <v>0</v>
      </c>
      <c r="M55" s="410"/>
      <c r="N55" s="410"/>
      <c r="O55" s="464"/>
      <c r="P55" s="464"/>
      <c r="Q55" s="464"/>
      <c r="R55" s="464">
        <v>0</v>
      </c>
      <c r="S55" s="410">
        <v>1</v>
      </c>
      <c r="T55" s="464"/>
      <c r="U55" s="464"/>
      <c r="V55" s="464"/>
      <c r="W55" s="464"/>
      <c r="X55" s="464"/>
      <c r="Y55" s="464"/>
      <c r="Z55" s="411">
        <f t="shared" ref="Z55" si="353">SUM(F55:X55)</f>
        <v>1</v>
      </c>
      <c r="AA55" s="408"/>
      <c r="AB55" s="408"/>
      <c r="AC55" s="409">
        <f t="shared" si="348"/>
        <v>0</v>
      </c>
      <c r="AD55" s="409">
        <f t="shared" si="348"/>
        <v>0</v>
      </c>
      <c r="AE55" s="409">
        <f t="shared" si="348"/>
        <v>0</v>
      </c>
      <c r="AF55" s="409">
        <f t="shared" si="348"/>
        <v>0</v>
      </c>
      <c r="AG55" s="409">
        <f t="shared" ref="AG55" si="354">J55*$D55</f>
        <v>0</v>
      </c>
      <c r="AH55" s="409">
        <f t="shared" si="349"/>
        <v>0</v>
      </c>
      <c r="AI55" s="409">
        <f t="shared" si="349"/>
        <v>0</v>
      </c>
      <c r="AJ55" s="409">
        <f t="shared" si="349"/>
        <v>0</v>
      </c>
      <c r="AK55" s="409">
        <f t="shared" si="341"/>
        <v>0</v>
      </c>
      <c r="AL55" s="409">
        <f t="shared" si="350"/>
        <v>0</v>
      </c>
      <c r="AM55" s="469">
        <f t="shared" si="350"/>
        <v>0</v>
      </c>
      <c r="AN55" s="412">
        <f t="shared" si="350"/>
        <v>0</v>
      </c>
      <c r="AO55" s="412">
        <f t="shared" si="350"/>
        <v>0</v>
      </c>
      <c r="AP55" s="412">
        <f t="shared" si="350"/>
        <v>0</v>
      </c>
      <c r="AQ55" s="412">
        <f t="shared" si="350"/>
        <v>0</v>
      </c>
      <c r="AR55" s="412">
        <f t="shared" si="350"/>
        <v>0</v>
      </c>
      <c r="AS55" s="412">
        <f t="shared" si="350"/>
        <v>0</v>
      </c>
      <c r="AT55" s="412">
        <f t="shared" si="350"/>
        <v>0</v>
      </c>
      <c r="AU55" s="412">
        <f t="shared" si="350"/>
        <v>0</v>
      </c>
      <c r="AV55" s="412"/>
      <c r="AW55" s="412"/>
      <c r="AX55" s="412">
        <f t="shared" si="345"/>
        <v>0</v>
      </c>
      <c r="AY55" s="412">
        <f t="shared" si="345"/>
        <v>0</v>
      </c>
      <c r="AZ55" s="412">
        <f t="shared" si="345"/>
        <v>0</v>
      </c>
      <c r="BA55" s="412">
        <f t="shared" si="345"/>
        <v>0</v>
      </c>
      <c r="BB55" s="409">
        <f t="shared" si="345"/>
        <v>0</v>
      </c>
      <c r="BC55" s="412">
        <f t="shared" si="345"/>
        <v>0</v>
      </c>
      <c r="BD55" s="412">
        <f t="shared" si="345"/>
        <v>0</v>
      </c>
      <c r="BE55" s="412">
        <f t="shared" si="345"/>
        <v>0</v>
      </c>
      <c r="BF55" s="412">
        <f t="shared" si="345"/>
        <v>0</v>
      </c>
      <c r="BG55" s="412">
        <f t="shared" si="345"/>
        <v>0</v>
      </c>
      <c r="BH55" s="412">
        <f t="shared" si="345"/>
        <v>0</v>
      </c>
      <c r="BI55" s="412">
        <f t="shared" si="345"/>
        <v>0</v>
      </c>
      <c r="BJ55" s="412">
        <f t="shared" si="345"/>
        <v>0</v>
      </c>
      <c r="BK55" s="412">
        <f t="shared" si="345"/>
        <v>0</v>
      </c>
      <c r="BL55" s="412">
        <f t="shared" si="345"/>
        <v>0</v>
      </c>
      <c r="BM55" s="412">
        <f t="shared" si="345"/>
        <v>0</v>
      </c>
      <c r="BN55" s="412">
        <f t="shared" si="315"/>
        <v>0</v>
      </c>
      <c r="BO55" s="412">
        <f t="shared" si="315"/>
        <v>0</v>
      </c>
      <c r="BP55" s="412">
        <f t="shared" si="315"/>
        <v>0</v>
      </c>
      <c r="BQ55" s="412">
        <f t="shared" si="315"/>
        <v>0</v>
      </c>
      <c r="BR55" s="414">
        <f t="shared" si="20"/>
        <v>0</v>
      </c>
    </row>
    <row r="56" spans="1:70" s="288" customFormat="1" ht="15" customHeight="1" x14ac:dyDescent="0.25">
      <c r="A56" s="406" t="s">
        <v>136</v>
      </c>
      <c r="B56" s="468"/>
      <c r="C56" s="408"/>
      <c r="D56" s="409">
        <v>24797.88</v>
      </c>
      <c r="E56" s="408" t="s">
        <v>239</v>
      </c>
      <c r="F56" s="464"/>
      <c r="G56" s="464"/>
      <c r="H56" s="464"/>
      <c r="I56" s="410">
        <v>0</v>
      </c>
      <c r="J56" s="410">
        <v>0</v>
      </c>
      <c r="K56" s="410">
        <v>0</v>
      </c>
      <c r="L56" s="410">
        <v>0</v>
      </c>
      <c r="M56" s="410">
        <v>0</v>
      </c>
      <c r="N56" s="410">
        <v>0</v>
      </c>
      <c r="O56" s="410">
        <v>1</v>
      </c>
      <c r="P56" s="464">
        <v>0</v>
      </c>
      <c r="Q56" s="410">
        <v>0</v>
      </c>
      <c r="R56" s="410">
        <v>0</v>
      </c>
      <c r="S56" s="410">
        <v>0</v>
      </c>
      <c r="T56" s="410">
        <v>0</v>
      </c>
      <c r="U56" s="410">
        <v>0</v>
      </c>
      <c r="V56" s="410"/>
      <c r="W56" s="410"/>
      <c r="X56" s="410"/>
      <c r="Y56" s="410"/>
      <c r="Z56" s="411">
        <f>SUM(F56:X56)</f>
        <v>1</v>
      </c>
      <c r="AA56" s="408"/>
      <c r="AB56" s="408"/>
      <c r="AC56" s="409">
        <f t="shared" si="348"/>
        <v>0</v>
      </c>
      <c r="AD56" s="409">
        <f t="shared" si="348"/>
        <v>0</v>
      </c>
      <c r="AE56" s="409">
        <f t="shared" si="348"/>
        <v>0</v>
      </c>
      <c r="AF56" s="409">
        <f t="shared" si="348"/>
        <v>0</v>
      </c>
      <c r="AG56" s="409">
        <f t="shared" si="344"/>
        <v>0</v>
      </c>
      <c r="AH56" s="409">
        <f t="shared" si="349"/>
        <v>0</v>
      </c>
      <c r="AI56" s="409">
        <f t="shared" si="349"/>
        <v>0</v>
      </c>
      <c r="AJ56" s="409">
        <f t="shared" si="349"/>
        <v>0</v>
      </c>
      <c r="AK56" s="409">
        <f t="shared" si="341"/>
        <v>0</v>
      </c>
      <c r="AL56" s="409">
        <f t="shared" si="350"/>
        <v>24797.88</v>
      </c>
      <c r="AM56" s="469">
        <f t="shared" si="350"/>
        <v>0</v>
      </c>
      <c r="AN56" s="412">
        <f t="shared" si="350"/>
        <v>0</v>
      </c>
      <c r="AO56" s="412">
        <f t="shared" si="350"/>
        <v>0</v>
      </c>
      <c r="AP56" s="412">
        <f t="shared" si="350"/>
        <v>0</v>
      </c>
      <c r="AQ56" s="412">
        <f t="shared" si="350"/>
        <v>0</v>
      </c>
      <c r="AR56" s="412">
        <f t="shared" si="350"/>
        <v>0</v>
      </c>
      <c r="AS56" s="412">
        <f t="shared" si="350"/>
        <v>0</v>
      </c>
      <c r="AT56" s="412">
        <f t="shared" si="350"/>
        <v>0</v>
      </c>
      <c r="AU56" s="412">
        <f t="shared" si="350"/>
        <v>0</v>
      </c>
      <c r="AV56" s="412"/>
      <c r="AW56" s="412"/>
      <c r="AX56" s="412">
        <f t="shared" si="351"/>
        <v>0</v>
      </c>
      <c r="AY56" s="412">
        <f t="shared" si="351"/>
        <v>0</v>
      </c>
      <c r="AZ56" s="412">
        <f t="shared" si="351"/>
        <v>0</v>
      </c>
      <c r="BA56" s="412">
        <f t="shared" si="351"/>
        <v>0</v>
      </c>
      <c r="BB56" s="412">
        <f t="shared" si="351"/>
        <v>0</v>
      </c>
      <c r="BC56" s="412">
        <f t="shared" si="351"/>
        <v>0</v>
      </c>
      <c r="BD56" s="412">
        <f t="shared" si="351"/>
        <v>0</v>
      </c>
      <c r="BE56" s="412">
        <f t="shared" si="351"/>
        <v>0</v>
      </c>
      <c r="BF56" s="412">
        <f t="shared" si="351"/>
        <v>0</v>
      </c>
      <c r="BG56" s="412">
        <f t="shared" si="351"/>
        <v>24797.88</v>
      </c>
      <c r="BH56" s="412">
        <f t="shared" si="345"/>
        <v>0</v>
      </c>
      <c r="BI56" s="412">
        <f t="shared" si="345"/>
        <v>0</v>
      </c>
      <c r="BJ56" s="412">
        <f t="shared" si="345"/>
        <v>0</v>
      </c>
      <c r="BK56" s="412">
        <f t="shared" si="345"/>
        <v>0</v>
      </c>
      <c r="BL56" s="412">
        <f t="shared" si="345"/>
        <v>0</v>
      </c>
      <c r="BM56" s="412">
        <f t="shared" si="345"/>
        <v>0</v>
      </c>
      <c r="BN56" s="412">
        <f t="shared" si="345"/>
        <v>0</v>
      </c>
      <c r="BO56" s="412">
        <f t="shared" si="315"/>
        <v>0</v>
      </c>
      <c r="BP56" s="412">
        <f t="shared" si="315"/>
        <v>0</v>
      </c>
      <c r="BQ56" s="412">
        <f t="shared" si="315"/>
        <v>0</v>
      </c>
      <c r="BR56" s="414">
        <f t="shared" si="20"/>
        <v>0</v>
      </c>
    </row>
    <row r="57" spans="1:70" ht="15" customHeight="1" x14ac:dyDescent="0.25">
      <c r="A57" s="406" t="s">
        <v>134</v>
      </c>
      <c r="B57" s="468"/>
      <c r="C57" s="408"/>
      <c r="D57" s="409">
        <v>85750</v>
      </c>
      <c r="E57" s="408" t="s">
        <v>267</v>
      </c>
      <c r="F57" s="410"/>
      <c r="G57" s="410"/>
      <c r="H57" s="410"/>
      <c r="I57" s="410"/>
      <c r="J57" s="410"/>
      <c r="K57" s="410"/>
      <c r="L57" s="410"/>
      <c r="M57" s="410"/>
      <c r="N57" s="410"/>
      <c r="O57" s="410">
        <v>0</v>
      </c>
      <c r="P57" s="410">
        <v>0</v>
      </c>
      <c r="Q57" s="410">
        <v>0</v>
      </c>
      <c r="R57" s="410">
        <v>0</v>
      </c>
      <c r="S57" s="410">
        <v>0</v>
      </c>
      <c r="T57" s="410">
        <v>0</v>
      </c>
      <c r="U57" s="410">
        <v>0</v>
      </c>
      <c r="V57" s="467">
        <v>0</v>
      </c>
      <c r="W57" s="467">
        <v>1</v>
      </c>
      <c r="X57" s="464"/>
      <c r="Y57" s="464"/>
      <c r="Z57" s="411">
        <f>SUM(F57:X57)</f>
        <v>1</v>
      </c>
      <c r="AA57" s="408"/>
      <c r="AB57" s="408"/>
      <c r="AC57" s="409">
        <f t="shared" si="348"/>
        <v>0</v>
      </c>
      <c r="AD57" s="409">
        <f t="shared" si="348"/>
        <v>0</v>
      </c>
      <c r="AE57" s="409">
        <f t="shared" si="348"/>
        <v>0</v>
      </c>
      <c r="AF57" s="409">
        <f t="shared" si="348"/>
        <v>0</v>
      </c>
      <c r="AG57" s="409">
        <f t="shared" si="344"/>
        <v>0</v>
      </c>
      <c r="AH57" s="409">
        <f t="shared" si="349"/>
        <v>0</v>
      </c>
      <c r="AI57" s="409">
        <f t="shared" si="349"/>
        <v>0</v>
      </c>
      <c r="AJ57" s="409">
        <f t="shared" si="349"/>
        <v>0</v>
      </c>
      <c r="AK57" s="409">
        <f t="shared" si="341"/>
        <v>0</v>
      </c>
      <c r="AL57" s="409">
        <f t="shared" si="350"/>
        <v>0</v>
      </c>
      <c r="AM57" s="469">
        <f t="shared" si="350"/>
        <v>0</v>
      </c>
      <c r="AN57" s="412">
        <f t="shared" si="350"/>
        <v>0</v>
      </c>
      <c r="AO57" s="412">
        <f t="shared" si="350"/>
        <v>0</v>
      </c>
      <c r="AP57" s="412">
        <f t="shared" si="350"/>
        <v>0</v>
      </c>
      <c r="AQ57" s="412">
        <f t="shared" si="350"/>
        <v>0</v>
      </c>
      <c r="AR57" s="412">
        <f t="shared" si="350"/>
        <v>0</v>
      </c>
      <c r="AS57" s="412">
        <f t="shared" si="350"/>
        <v>0</v>
      </c>
      <c r="AT57" s="412">
        <f t="shared" si="350"/>
        <v>85750</v>
      </c>
      <c r="AU57" s="412">
        <f t="shared" si="350"/>
        <v>0</v>
      </c>
      <c r="AV57" s="412"/>
      <c r="AW57" s="412"/>
      <c r="AX57" s="412">
        <f t="shared" si="351"/>
        <v>0</v>
      </c>
      <c r="AY57" s="412">
        <f t="shared" si="351"/>
        <v>0</v>
      </c>
      <c r="AZ57" s="412">
        <f t="shared" si="351"/>
        <v>0</v>
      </c>
      <c r="BA57" s="412">
        <f t="shared" si="351"/>
        <v>0</v>
      </c>
      <c r="BB57" s="412">
        <f t="shared" si="351"/>
        <v>0</v>
      </c>
      <c r="BC57" s="412">
        <f t="shared" si="351"/>
        <v>0</v>
      </c>
      <c r="BD57" s="412">
        <f t="shared" si="351"/>
        <v>0</v>
      </c>
      <c r="BE57" s="412">
        <f t="shared" si="351"/>
        <v>0</v>
      </c>
      <c r="BF57" s="412">
        <f t="shared" si="351"/>
        <v>0</v>
      </c>
      <c r="BG57" s="412">
        <f t="shared" si="351"/>
        <v>0</v>
      </c>
      <c r="BH57" s="412">
        <f t="shared" si="345"/>
        <v>0</v>
      </c>
      <c r="BI57" s="412">
        <f t="shared" si="345"/>
        <v>0</v>
      </c>
      <c r="BJ57" s="412">
        <f t="shared" si="345"/>
        <v>0</v>
      </c>
      <c r="BK57" s="412">
        <f t="shared" si="345"/>
        <v>0</v>
      </c>
      <c r="BL57" s="412">
        <f t="shared" si="345"/>
        <v>0</v>
      </c>
      <c r="BM57" s="412">
        <f t="shared" si="345"/>
        <v>0</v>
      </c>
      <c r="BN57" s="412">
        <f t="shared" si="345"/>
        <v>0</v>
      </c>
      <c r="BO57" s="412">
        <f t="shared" si="315"/>
        <v>85750</v>
      </c>
      <c r="BP57" s="412">
        <f t="shared" si="315"/>
        <v>0</v>
      </c>
      <c r="BQ57" s="412">
        <f t="shared" si="315"/>
        <v>0</v>
      </c>
      <c r="BR57" s="414">
        <f t="shared" si="20"/>
        <v>0</v>
      </c>
    </row>
    <row r="58" spans="1:70" s="288" customFormat="1" ht="15" customHeight="1" x14ac:dyDescent="0.25">
      <c r="A58" s="406" t="s">
        <v>136</v>
      </c>
      <c r="B58" s="468"/>
      <c r="C58" s="408"/>
      <c r="D58" s="409">
        <v>9884.25</v>
      </c>
      <c r="E58" s="408" t="s">
        <v>230</v>
      </c>
      <c r="F58" s="464"/>
      <c r="G58" s="464"/>
      <c r="H58" s="464"/>
      <c r="I58" s="410">
        <v>0</v>
      </c>
      <c r="J58" s="410">
        <v>0</v>
      </c>
      <c r="K58" s="410">
        <v>0</v>
      </c>
      <c r="L58" s="410">
        <v>0</v>
      </c>
      <c r="M58" s="410">
        <v>0</v>
      </c>
      <c r="N58" s="410">
        <v>0</v>
      </c>
      <c r="O58" s="410">
        <v>0</v>
      </c>
      <c r="P58" s="410">
        <v>0</v>
      </c>
      <c r="Q58" s="410">
        <v>1</v>
      </c>
      <c r="R58" s="410">
        <v>0</v>
      </c>
      <c r="S58" s="410">
        <v>0</v>
      </c>
      <c r="T58" s="410">
        <v>0</v>
      </c>
      <c r="U58" s="410">
        <v>0</v>
      </c>
      <c r="V58" s="410"/>
      <c r="W58" s="410"/>
      <c r="X58" s="410"/>
      <c r="Y58" s="410"/>
      <c r="Z58" s="411">
        <f t="shared" ref="Z58" si="355">SUM(F58:X58)</f>
        <v>1</v>
      </c>
      <c r="AA58" s="408"/>
      <c r="AB58" s="408"/>
      <c r="AC58" s="409">
        <f t="shared" si="348"/>
        <v>0</v>
      </c>
      <c r="AD58" s="409">
        <f t="shared" si="348"/>
        <v>0</v>
      </c>
      <c r="AE58" s="409">
        <f t="shared" si="348"/>
        <v>0</v>
      </c>
      <c r="AF58" s="409">
        <f t="shared" si="348"/>
        <v>0</v>
      </c>
      <c r="AG58" s="409">
        <f t="shared" si="344"/>
        <v>0</v>
      </c>
      <c r="AH58" s="409">
        <f t="shared" si="349"/>
        <v>0</v>
      </c>
      <c r="AI58" s="409">
        <f t="shared" si="349"/>
        <v>0</v>
      </c>
      <c r="AJ58" s="409">
        <f t="shared" si="349"/>
        <v>0</v>
      </c>
      <c r="AK58" s="409">
        <f t="shared" si="341"/>
        <v>0</v>
      </c>
      <c r="AL58" s="409">
        <f t="shared" si="350"/>
        <v>0</v>
      </c>
      <c r="AM58" s="469">
        <f t="shared" si="350"/>
        <v>0</v>
      </c>
      <c r="AN58" s="412">
        <f t="shared" si="350"/>
        <v>9884.25</v>
      </c>
      <c r="AO58" s="412">
        <f t="shared" si="350"/>
        <v>0</v>
      </c>
      <c r="AP58" s="412">
        <f t="shared" si="350"/>
        <v>0</v>
      </c>
      <c r="AQ58" s="412">
        <f t="shared" si="350"/>
        <v>0</v>
      </c>
      <c r="AR58" s="412">
        <f t="shared" si="350"/>
        <v>0</v>
      </c>
      <c r="AS58" s="412">
        <f t="shared" si="350"/>
        <v>0</v>
      </c>
      <c r="AT58" s="412">
        <f t="shared" si="350"/>
        <v>0</v>
      </c>
      <c r="AU58" s="412">
        <f t="shared" si="350"/>
        <v>0</v>
      </c>
      <c r="AV58" s="412"/>
      <c r="AW58" s="412"/>
      <c r="AX58" s="412">
        <f t="shared" si="351"/>
        <v>0</v>
      </c>
      <c r="AY58" s="412">
        <f t="shared" si="351"/>
        <v>0</v>
      </c>
      <c r="AZ58" s="412">
        <f t="shared" si="351"/>
        <v>0</v>
      </c>
      <c r="BA58" s="412">
        <f t="shared" si="351"/>
        <v>0</v>
      </c>
      <c r="BB58" s="412">
        <f t="shared" si="351"/>
        <v>0</v>
      </c>
      <c r="BC58" s="412">
        <f t="shared" si="351"/>
        <v>0</v>
      </c>
      <c r="BD58" s="412">
        <f t="shared" si="351"/>
        <v>0</v>
      </c>
      <c r="BE58" s="412">
        <f t="shared" si="351"/>
        <v>0</v>
      </c>
      <c r="BF58" s="412">
        <f t="shared" si="351"/>
        <v>0</v>
      </c>
      <c r="BG58" s="412">
        <f t="shared" si="351"/>
        <v>0</v>
      </c>
      <c r="BH58" s="412">
        <f t="shared" si="345"/>
        <v>0</v>
      </c>
      <c r="BI58" s="412">
        <f t="shared" si="345"/>
        <v>9884.25</v>
      </c>
      <c r="BJ58" s="412">
        <f t="shared" si="345"/>
        <v>0</v>
      </c>
      <c r="BK58" s="412">
        <f t="shared" si="345"/>
        <v>0</v>
      </c>
      <c r="BL58" s="412">
        <f t="shared" si="345"/>
        <v>0</v>
      </c>
      <c r="BM58" s="412">
        <f t="shared" si="345"/>
        <v>0</v>
      </c>
      <c r="BN58" s="412">
        <f t="shared" si="345"/>
        <v>0</v>
      </c>
      <c r="BO58" s="412">
        <f t="shared" si="315"/>
        <v>0</v>
      </c>
      <c r="BP58" s="412">
        <f t="shared" si="315"/>
        <v>0</v>
      </c>
      <c r="BQ58" s="412">
        <f t="shared" si="315"/>
        <v>0</v>
      </c>
      <c r="BR58" s="414">
        <f t="shared" si="20"/>
        <v>0</v>
      </c>
    </row>
    <row r="59" spans="1:70" s="288" customFormat="1" ht="15" customHeight="1" x14ac:dyDescent="0.25">
      <c r="A59" s="406" t="s">
        <v>134</v>
      </c>
      <c r="B59" s="468"/>
      <c r="C59" s="408"/>
      <c r="D59" s="409">
        <v>98800</v>
      </c>
      <c r="E59" s="408" t="s">
        <v>267</v>
      </c>
      <c r="F59" s="410"/>
      <c r="G59" s="410"/>
      <c r="H59" s="410"/>
      <c r="I59" s="410">
        <v>0</v>
      </c>
      <c r="J59" s="410">
        <v>0</v>
      </c>
      <c r="K59" s="410">
        <v>0</v>
      </c>
      <c r="L59" s="410">
        <v>0</v>
      </c>
      <c r="M59" s="410">
        <v>0</v>
      </c>
      <c r="N59" s="410">
        <v>0</v>
      </c>
      <c r="O59" s="410">
        <v>0</v>
      </c>
      <c r="P59" s="410">
        <v>0</v>
      </c>
      <c r="Q59" s="410">
        <v>0</v>
      </c>
      <c r="R59" s="467">
        <v>0</v>
      </c>
      <c r="S59" s="467">
        <v>0</v>
      </c>
      <c r="T59" s="467">
        <v>0</v>
      </c>
      <c r="U59" s="467">
        <v>0</v>
      </c>
      <c r="V59" s="467">
        <v>0</v>
      </c>
      <c r="W59" s="467">
        <v>1</v>
      </c>
      <c r="X59" s="464"/>
      <c r="Y59" s="464"/>
      <c r="Z59" s="411">
        <f t="shared" ref="Z59" si="356">SUM(F59:X59)</f>
        <v>1</v>
      </c>
      <c r="AA59" s="408"/>
      <c r="AB59" s="408"/>
      <c r="AC59" s="409">
        <f t="shared" ref="AC59" si="357">F59*$D59</f>
        <v>0</v>
      </c>
      <c r="AD59" s="409">
        <f t="shared" ref="AD59" si="358">G59*$D59</f>
        <v>0</v>
      </c>
      <c r="AE59" s="409">
        <f t="shared" ref="AE59" si="359">H59*$D59</f>
        <v>0</v>
      </c>
      <c r="AF59" s="409">
        <f t="shared" ref="AF59" si="360">I59*$D59</f>
        <v>0</v>
      </c>
      <c r="AG59" s="409">
        <f t="shared" ref="AG59" si="361">J59*$D59</f>
        <v>0</v>
      </c>
      <c r="AH59" s="409">
        <f t="shared" ref="AH59" si="362">K59*$D59</f>
        <v>0</v>
      </c>
      <c r="AI59" s="409">
        <f t="shared" ref="AI59" si="363">L59*$D59</f>
        <v>0</v>
      </c>
      <c r="AJ59" s="409">
        <f t="shared" ref="AJ59" si="364">M59*$D59</f>
        <v>0</v>
      </c>
      <c r="AK59" s="409">
        <f t="shared" ref="AK59" si="365">N59*$D59</f>
        <v>0</v>
      </c>
      <c r="AL59" s="409">
        <f t="shared" ref="AL59" si="366">O59*$D59</f>
        <v>0</v>
      </c>
      <c r="AM59" s="469">
        <f t="shared" ref="AM59" si="367">P59*$D59</f>
        <v>0</v>
      </c>
      <c r="AN59" s="412">
        <f t="shared" ref="AN59" si="368">Q59*$D59</f>
        <v>0</v>
      </c>
      <c r="AO59" s="412">
        <f t="shared" ref="AO59" si="369">R59*$D59</f>
        <v>0</v>
      </c>
      <c r="AP59" s="412">
        <f t="shared" ref="AP59" si="370">S59*$D59</f>
        <v>0</v>
      </c>
      <c r="AQ59" s="412">
        <f t="shared" ref="AQ59" si="371">T59*$D59</f>
        <v>0</v>
      </c>
      <c r="AR59" s="412">
        <f t="shared" ref="AR59" si="372">U59*$D59</f>
        <v>0</v>
      </c>
      <c r="AS59" s="412">
        <f t="shared" ref="AS59" si="373">V59*$D59</f>
        <v>0</v>
      </c>
      <c r="AT59" s="412">
        <f t="shared" ref="AT59" si="374">W59*$D59</f>
        <v>98800</v>
      </c>
      <c r="AU59" s="412">
        <f t="shared" ref="AU59" si="375">X59*$D59</f>
        <v>0</v>
      </c>
      <c r="AV59" s="412"/>
      <c r="AW59" s="412"/>
      <c r="AX59" s="412">
        <f t="shared" si="345"/>
        <v>0</v>
      </c>
      <c r="AY59" s="412">
        <f t="shared" si="345"/>
        <v>0</v>
      </c>
      <c r="AZ59" s="412">
        <f t="shared" si="345"/>
        <v>0</v>
      </c>
      <c r="BA59" s="412">
        <f t="shared" si="345"/>
        <v>0</v>
      </c>
      <c r="BB59" s="412">
        <f t="shared" si="345"/>
        <v>0</v>
      </c>
      <c r="BC59" s="412">
        <f t="shared" si="345"/>
        <v>0</v>
      </c>
      <c r="BD59" s="412">
        <f t="shared" si="345"/>
        <v>0</v>
      </c>
      <c r="BE59" s="412">
        <f t="shared" si="345"/>
        <v>0</v>
      </c>
      <c r="BF59" s="412">
        <f t="shared" si="345"/>
        <v>0</v>
      </c>
      <c r="BG59" s="412">
        <f t="shared" si="345"/>
        <v>0</v>
      </c>
      <c r="BH59" s="412">
        <f t="shared" si="345"/>
        <v>0</v>
      </c>
      <c r="BI59" s="412">
        <f t="shared" si="345"/>
        <v>0</v>
      </c>
      <c r="BJ59" s="412">
        <f t="shared" si="345"/>
        <v>0</v>
      </c>
      <c r="BK59" s="412">
        <f t="shared" si="345"/>
        <v>0</v>
      </c>
      <c r="BL59" s="412">
        <f t="shared" si="345"/>
        <v>0</v>
      </c>
      <c r="BM59" s="412">
        <f t="shared" si="345"/>
        <v>0</v>
      </c>
      <c r="BN59" s="412">
        <f t="shared" si="315"/>
        <v>0</v>
      </c>
      <c r="BO59" s="412">
        <f t="shared" si="315"/>
        <v>98800</v>
      </c>
      <c r="BP59" s="412">
        <f t="shared" si="315"/>
        <v>0</v>
      </c>
      <c r="BQ59" s="412">
        <f t="shared" si="315"/>
        <v>0</v>
      </c>
      <c r="BR59" s="414">
        <f t="shared" si="20"/>
        <v>0</v>
      </c>
    </row>
    <row r="60" spans="1:70" ht="15" customHeight="1" x14ac:dyDescent="0.25">
      <c r="A60" s="406" t="s">
        <v>135</v>
      </c>
      <c r="B60" s="468"/>
      <c r="C60" s="408"/>
      <c r="D60" s="409">
        <v>0</v>
      </c>
      <c r="E60" s="408" t="s">
        <v>258</v>
      </c>
      <c r="F60" s="464"/>
      <c r="G60" s="464"/>
      <c r="H60" s="464"/>
      <c r="I60" s="464"/>
      <c r="J60" s="410"/>
      <c r="K60" s="410">
        <v>0</v>
      </c>
      <c r="L60" s="410">
        <v>0</v>
      </c>
      <c r="M60" s="410">
        <v>0</v>
      </c>
      <c r="N60" s="410">
        <v>0</v>
      </c>
      <c r="O60" s="410">
        <v>0</v>
      </c>
      <c r="P60" s="410">
        <v>0</v>
      </c>
      <c r="Q60" s="410">
        <v>0</v>
      </c>
      <c r="R60" s="410">
        <v>0</v>
      </c>
      <c r="S60" s="467">
        <v>0</v>
      </c>
      <c r="T60" s="467">
        <v>0</v>
      </c>
      <c r="U60" s="467">
        <v>0</v>
      </c>
      <c r="V60" s="467">
        <v>0</v>
      </c>
      <c r="W60" s="467">
        <v>0</v>
      </c>
      <c r="X60" s="464"/>
      <c r="Y60" s="464"/>
      <c r="Z60" s="411">
        <f>SUM(F60:X60)</f>
        <v>0</v>
      </c>
      <c r="AA60" s="408"/>
      <c r="AB60" s="408"/>
      <c r="AC60" s="409">
        <f t="shared" ref="AC60:AC68" si="376">F60*$D60</f>
        <v>0</v>
      </c>
      <c r="AD60" s="409">
        <f t="shared" ref="AD60:AD68" si="377">G60*$D60</f>
        <v>0</v>
      </c>
      <c r="AE60" s="409">
        <f t="shared" ref="AE60:AE68" si="378">H60*$D60</f>
        <v>0</v>
      </c>
      <c r="AF60" s="409">
        <f t="shared" ref="AF60:AF68" si="379">I60*$D60</f>
        <v>0</v>
      </c>
      <c r="AG60" s="409">
        <f t="shared" ref="AG60:AG68" si="380">J60*$D60</f>
        <v>0</v>
      </c>
      <c r="AH60" s="409">
        <f t="shared" ref="AH60:AH68" si="381">K60*$D60</f>
        <v>0</v>
      </c>
      <c r="AI60" s="409">
        <f t="shared" ref="AI60:AI68" si="382">L60*$D60</f>
        <v>0</v>
      </c>
      <c r="AJ60" s="409">
        <f t="shared" ref="AJ60:AJ68" si="383">M60*$D60</f>
        <v>0</v>
      </c>
      <c r="AK60" s="409">
        <f t="shared" ref="AK60:AK68" si="384">N60*$D60</f>
        <v>0</v>
      </c>
      <c r="AL60" s="409">
        <f t="shared" ref="AL60:AL68" si="385">O60*$D60</f>
        <v>0</v>
      </c>
      <c r="AM60" s="469">
        <f t="shared" ref="AM60:AM68" si="386">P60*$D60</f>
        <v>0</v>
      </c>
      <c r="AN60" s="412">
        <f t="shared" ref="AN60:AN68" si="387">Q60*$D60</f>
        <v>0</v>
      </c>
      <c r="AO60" s="412">
        <f t="shared" ref="AO60:AO68" si="388">R60*$D60</f>
        <v>0</v>
      </c>
      <c r="AP60" s="412">
        <f t="shared" ref="AP60:AP68" si="389">S60*$D60</f>
        <v>0</v>
      </c>
      <c r="AQ60" s="412">
        <f t="shared" ref="AQ60:AQ68" si="390">T60*$D60</f>
        <v>0</v>
      </c>
      <c r="AR60" s="412">
        <f t="shared" ref="AR60:AR68" si="391">U60*$D60</f>
        <v>0</v>
      </c>
      <c r="AS60" s="412">
        <f t="shared" ref="AS60:AS68" si="392">V60*$D60</f>
        <v>0</v>
      </c>
      <c r="AT60" s="412">
        <f t="shared" ref="AT60:AT68" si="393">W60*$D60</f>
        <v>0</v>
      </c>
      <c r="AU60" s="412">
        <f t="shared" ref="AU60:AU68" si="394">X60*$D60</f>
        <v>0</v>
      </c>
      <c r="AV60" s="412"/>
      <c r="AW60" s="412"/>
      <c r="AX60" s="412">
        <f t="shared" ref="AX60:BQ60" si="395">IF(AX$3=$E60,$D60,0)</f>
        <v>0</v>
      </c>
      <c r="AY60" s="412">
        <f t="shared" si="395"/>
        <v>0</v>
      </c>
      <c r="AZ60" s="412">
        <f t="shared" si="395"/>
        <v>0</v>
      </c>
      <c r="BA60" s="412">
        <f t="shared" si="395"/>
        <v>0</v>
      </c>
      <c r="BB60" s="412">
        <f t="shared" si="395"/>
        <v>0</v>
      </c>
      <c r="BC60" s="412">
        <f t="shared" si="395"/>
        <v>0</v>
      </c>
      <c r="BD60" s="412">
        <f t="shared" si="395"/>
        <v>0</v>
      </c>
      <c r="BE60" s="412">
        <f t="shared" si="395"/>
        <v>0</v>
      </c>
      <c r="BF60" s="412">
        <f t="shared" si="395"/>
        <v>0</v>
      </c>
      <c r="BG60" s="412">
        <f t="shared" si="395"/>
        <v>0</v>
      </c>
      <c r="BH60" s="412">
        <f t="shared" si="395"/>
        <v>0</v>
      </c>
      <c r="BI60" s="412">
        <f t="shared" si="395"/>
        <v>0</v>
      </c>
      <c r="BJ60" s="412">
        <f t="shared" si="395"/>
        <v>0</v>
      </c>
      <c r="BK60" s="412">
        <f t="shared" si="395"/>
        <v>0</v>
      </c>
      <c r="BL60" s="412">
        <f t="shared" si="395"/>
        <v>0</v>
      </c>
      <c r="BM60" s="412">
        <f t="shared" si="395"/>
        <v>0</v>
      </c>
      <c r="BN60" s="412">
        <f t="shared" si="395"/>
        <v>0</v>
      </c>
      <c r="BO60" s="412">
        <f t="shared" si="395"/>
        <v>0</v>
      </c>
      <c r="BP60" s="412">
        <f t="shared" si="395"/>
        <v>0</v>
      </c>
      <c r="BQ60" s="412">
        <f t="shared" si="395"/>
        <v>0</v>
      </c>
      <c r="BR60" s="414">
        <f t="shared" si="20"/>
        <v>0</v>
      </c>
    </row>
    <row r="61" spans="1:70" ht="14.45" customHeight="1" x14ac:dyDescent="0.25">
      <c r="A61" s="382" t="s">
        <v>137</v>
      </c>
      <c r="B61" s="472"/>
      <c r="C61" s="473"/>
      <c r="D61" s="474">
        <v>8000</v>
      </c>
      <c r="E61" s="473" t="s">
        <v>165</v>
      </c>
      <c r="F61" s="475"/>
      <c r="G61" s="475"/>
      <c r="H61" s="475"/>
      <c r="I61" s="475">
        <v>0.5</v>
      </c>
      <c r="J61" s="475">
        <v>0.5</v>
      </c>
      <c r="K61" s="476"/>
      <c r="L61" s="476"/>
      <c r="M61" s="476"/>
      <c r="N61" s="476"/>
      <c r="O61" s="476"/>
      <c r="P61" s="476"/>
      <c r="Q61" s="475"/>
      <c r="R61" s="475"/>
      <c r="S61" s="475"/>
      <c r="T61" s="475"/>
      <c r="U61" s="475"/>
      <c r="V61" s="475"/>
      <c r="W61" s="475"/>
      <c r="X61" s="475"/>
      <c r="Y61" s="475"/>
      <c r="Z61" s="477">
        <f t="shared" ref="Z61:Z68" si="396">SUM(F61:X61)</f>
        <v>1</v>
      </c>
      <c r="AA61" s="473"/>
      <c r="AB61" s="473"/>
      <c r="AC61" s="379">
        <f t="shared" si="376"/>
        <v>0</v>
      </c>
      <c r="AD61" s="379">
        <f t="shared" si="377"/>
        <v>0</v>
      </c>
      <c r="AE61" s="379">
        <f t="shared" si="378"/>
        <v>0</v>
      </c>
      <c r="AF61" s="379">
        <f t="shared" si="379"/>
        <v>4000</v>
      </c>
      <c r="AG61" s="379">
        <f t="shared" si="380"/>
        <v>4000</v>
      </c>
      <c r="AH61" s="474">
        <f t="shared" si="381"/>
        <v>0</v>
      </c>
      <c r="AI61" s="379">
        <f t="shared" si="382"/>
        <v>0</v>
      </c>
      <c r="AJ61" s="474">
        <f t="shared" si="383"/>
        <v>0</v>
      </c>
      <c r="AK61" s="474">
        <f t="shared" si="384"/>
        <v>0</v>
      </c>
      <c r="AL61" s="379">
        <f t="shared" si="385"/>
        <v>0</v>
      </c>
      <c r="AM61" s="474">
        <f t="shared" si="386"/>
        <v>0</v>
      </c>
      <c r="AN61" s="379">
        <f t="shared" si="387"/>
        <v>0</v>
      </c>
      <c r="AO61" s="379">
        <f t="shared" si="388"/>
        <v>0</v>
      </c>
      <c r="AP61" s="379">
        <f t="shared" si="389"/>
        <v>0</v>
      </c>
      <c r="AQ61" s="379">
        <f t="shared" si="390"/>
        <v>0</v>
      </c>
      <c r="AR61" s="379">
        <f t="shared" si="391"/>
        <v>0</v>
      </c>
      <c r="AS61" s="379">
        <f t="shared" si="392"/>
        <v>0</v>
      </c>
      <c r="AT61" s="379">
        <f t="shared" si="393"/>
        <v>0</v>
      </c>
      <c r="AU61" s="379">
        <f t="shared" si="394"/>
        <v>0</v>
      </c>
      <c r="AV61" s="379"/>
      <c r="AW61" s="379"/>
      <c r="AX61" s="379">
        <f t="shared" ref="AX61:BG68" si="397">IF(AX$3=$E61,$D61,0)</f>
        <v>0</v>
      </c>
      <c r="AY61" s="379">
        <f t="shared" si="397"/>
        <v>0</v>
      </c>
      <c r="AZ61" s="379">
        <f t="shared" si="397"/>
        <v>8000</v>
      </c>
      <c r="BA61" s="379">
        <f t="shared" si="397"/>
        <v>0</v>
      </c>
      <c r="BB61" s="379">
        <f t="shared" si="397"/>
        <v>0</v>
      </c>
      <c r="BC61" s="379">
        <f t="shared" si="397"/>
        <v>0</v>
      </c>
      <c r="BD61" s="379">
        <f t="shared" si="397"/>
        <v>0</v>
      </c>
      <c r="BE61" s="379">
        <f t="shared" si="397"/>
        <v>0</v>
      </c>
      <c r="BF61" s="474">
        <f t="shared" si="397"/>
        <v>0</v>
      </c>
      <c r="BG61" s="379">
        <f t="shared" si="397"/>
        <v>0</v>
      </c>
      <c r="BH61" s="379">
        <f t="shared" ref="BH61:BQ68" si="398">IF(BH$3=$E61,$D61,0)</f>
        <v>0</v>
      </c>
      <c r="BI61" s="379">
        <f t="shared" si="398"/>
        <v>0</v>
      </c>
      <c r="BJ61" s="379">
        <f t="shared" si="398"/>
        <v>0</v>
      </c>
      <c r="BK61" s="379">
        <f t="shared" si="398"/>
        <v>0</v>
      </c>
      <c r="BL61" s="379">
        <f t="shared" si="398"/>
        <v>0</v>
      </c>
      <c r="BM61" s="379">
        <f t="shared" si="398"/>
        <v>0</v>
      </c>
      <c r="BN61" s="379">
        <f t="shared" si="398"/>
        <v>0</v>
      </c>
      <c r="BO61" s="379">
        <f t="shared" si="398"/>
        <v>0</v>
      </c>
      <c r="BP61" s="379">
        <f t="shared" si="398"/>
        <v>0</v>
      </c>
      <c r="BQ61" s="379">
        <f t="shared" si="398"/>
        <v>0</v>
      </c>
      <c r="BR61" s="404">
        <f t="shared" si="20"/>
        <v>0</v>
      </c>
    </row>
    <row r="62" spans="1:70" ht="14.45" customHeight="1" x14ac:dyDescent="0.25">
      <c r="A62" s="382" t="s">
        <v>137</v>
      </c>
      <c r="B62" s="472"/>
      <c r="C62" s="473"/>
      <c r="D62" s="474">
        <v>52000</v>
      </c>
      <c r="E62" s="473" t="s">
        <v>165</v>
      </c>
      <c r="F62" s="478"/>
      <c r="G62" s="478"/>
      <c r="H62" s="478"/>
      <c r="I62" s="478">
        <v>0.115384615384615</v>
      </c>
      <c r="J62" s="478">
        <v>0.115384615384615</v>
      </c>
      <c r="K62" s="478">
        <v>0.115384615384615</v>
      </c>
      <c r="L62" s="478">
        <v>0.115384615384615</v>
      </c>
      <c r="M62" s="478">
        <v>0.115384615384615</v>
      </c>
      <c r="N62" s="478">
        <v>0.115384615384615</v>
      </c>
      <c r="O62" s="478">
        <v>0.115384615384615</v>
      </c>
      <c r="P62" s="478">
        <v>0.115384615384615</v>
      </c>
      <c r="Q62" s="478">
        <f>1-(I62+J62+K62+L62+M62+N62+O62+P62)</f>
        <v>7.6923076923080091E-2</v>
      </c>
      <c r="R62" s="478">
        <v>0</v>
      </c>
      <c r="S62" s="478">
        <v>0</v>
      </c>
      <c r="T62" s="478">
        <v>0</v>
      </c>
      <c r="U62" s="478"/>
      <c r="V62" s="478"/>
      <c r="W62" s="478"/>
      <c r="X62" s="478"/>
      <c r="Y62" s="478"/>
      <c r="Z62" s="477">
        <f t="shared" si="396"/>
        <v>1</v>
      </c>
      <c r="AA62" s="473"/>
      <c r="AB62" s="473"/>
      <c r="AC62" s="379">
        <f t="shared" si="376"/>
        <v>0</v>
      </c>
      <c r="AD62" s="379">
        <f t="shared" si="377"/>
        <v>0</v>
      </c>
      <c r="AE62" s="379">
        <f t="shared" si="378"/>
        <v>0</v>
      </c>
      <c r="AF62" s="379">
        <f t="shared" si="379"/>
        <v>5999.99999999998</v>
      </c>
      <c r="AG62" s="379">
        <f t="shared" si="380"/>
        <v>5999.99999999998</v>
      </c>
      <c r="AH62" s="474">
        <f t="shared" si="381"/>
        <v>5999.99999999998</v>
      </c>
      <c r="AI62" s="379">
        <f t="shared" si="382"/>
        <v>5999.99999999998</v>
      </c>
      <c r="AJ62" s="474">
        <f t="shared" si="383"/>
        <v>5999.99999999998</v>
      </c>
      <c r="AK62" s="474">
        <f t="shared" si="384"/>
        <v>5999.99999999998</v>
      </c>
      <c r="AL62" s="379">
        <f t="shared" si="385"/>
        <v>5999.99999999998</v>
      </c>
      <c r="AM62" s="474">
        <f t="shared" si="386"/>
        <v>5999.99999999998</v>
      </c>
      <c r="AN62" s="379">
        <f t="shared" si="387"/>
        <v>4000.0000000001646</v>
      </c>
      <c r="AO62" s="379">
        <f t="shared" si="388"/>
        <v>0</v>
      </c>
      <c r="AP62" s="379">
        <f t="shared" si="389"/>
        <v>0</v>
      </c>
      <c r="AQ62" s="379">
        <f t="shared" si="390"/>
        <v>0</v>
      </c>
      <c r="AR62" s="379">
        <f t="shared" si="391"/>
        <v>0</v>
      </c>
      <c r="AS62" s="379">
        <f t="shared" si="392"/>
        <v>0</v>
      </c>
      <c r="AT62" s="379">
        <f t="shared" si="393"/>
        <v>0</v>
      </c>
      <c r="AU62" s="379">
        <f t="shared" si="394"/>
        <v>0</v>
      </c>
      <c r="AV62" s="379"/>
      <c r="AW62" s="379"/>
      <c r="AX62" s="379">
        <f t="shared" si="397"/>
        <v>0</v>
      </c>
      <c r="AY62" s="379">
        <f t="shared" si="397"/>
        <v>0</v>
      </c>
      <c r="AZ62" s="379">
        <f t="shared" si="397"/>
        <v>52000</v>
      </c>
      <c r="BA62" s="379">
        <f t="shared" si="397"/>
        <v>0</v>
      </c>
      <c r="BB62" s="379">
        <f t="shared" si="397"/>
        <v>0</v>
      </c>
      <c r="BC62" s="379">
        <f t="shared" si="397"/>
        <v>0</v>
      </c>
      <c r="BD62" s="379">
        <f t="shared" si="397"/>
        <v>0</v>
      </c>
      <c r="BE62" s="379">
        <f t="shared" si="397"/>
        <v>0</v>
      </c>
      <c r="BF62" s="474">
        <f t="shared" si="397"/>
        <v>0</v>
      </c>
      <c r="BG62" s="379">
        <f t="shared" si="397"/>
        <v>0</v>
      </c>
      <c r="BH62" s="379">
        <f t="shared" si="398"/>
        <v>0</v>
      </c>
      <c r="BI62" s="379">
        <f t="shared" si="398"/>
        <v>0</v>
      </c>
      <c r="BJ62" s="379">
        <f t="shared" si="398"/>
        <v>0</v>
      </c>
      <c r="BK62" s="379">
        <f t="shared" si="398"/>
        <v>0</v>
      </c>
      <c r="BL62" s="379">
        <f t="shared" si="398"/>
        <v>0</v>
      </c>
      <c r="BM62" s="379">
        <f t="shared" si="398"/>
        <v>0</v>
      </c>
      <c r="BN62" s="379">
        <f t="shared" si="398"/>
        <v>0</v>
      </c>
      <c r="BO62" s="379">
        <f t="shared" si="398"/>
        <v>0</v>
      </c>
      <c r="BP62" s="379">
        <f t="shared" si="398"/>
        <v>0</v>
      </c>
      <c r="BQ62" s="379">
        <f t="shared" si="398"/>
        <v>0</v>
      </c>
      <c r="BR62" s="404">
        <f t="shared" si="20"/>
        <v>0</v>
      </c>
    </row>
    <row r="63" spans="1:70" ht="15" customHeight="1" x14ac:dyDescent="0.25">
      <c r="A63" s="382" t="s">
        <v>137</v>
      </c>
      <c r="B63" s="472"/>
      <c r="C63" s="473"/>
      <c r="D63" s="474">
        <v>8100</v>
      </c>
      <c r="E63" s="473" t="s">
        <v>197</v>
      </c>
      <c r="F63" s="475"/>
      <c r="G63" s="475"/>
      <c r="H63" s="475"/>
      <c r="I63" s="475">
        <v>0</v>
      </c>
      <c r="J63" s="475">
        <v>0.41666666667000002</v>
      </c>
      <c r="K63" s="475">
        <v>0.58333333332999993</v>
      </c>
      <c r="L63" s="476"/>
      <c r="M63" s="476"/>
      <c r="N63" s="476"/>
      <c r="O63" s="476"/>
      <c r="P63" s="476"/>
      <c r="Q63" s="475"/>
      <c r="R63" s="475"/>
      <c r="S63" s="475"/>
      <c r="T63" s="475"/>
      <c r="U63" s="475"/>
      <c r="V63" s="475"/>
      <c r="W63" s="475"/>
      <c r="X63" s="475"/>
      <c r="Y63" s="475"/>
      <c r="Z63" s="477">
        <f t="shared" si="396"/>
        <v>1</v>
      </c>
      <c r="AA63" s="473"/>
      <c r="AB63" s="473"/>
      <c r="AC63" s="379">
        <f t="shared" si="376"/>
        <v>0</v>
      </c>
      <c r="AD63" s="379">
        <f t="shared" si="377"/>
        <v>0</v>
      </c>
      <c r="AE63" s="379">
        <f t="shared" si="378"/>
        <v>0</v>
      </c>
      <c r="AF63" s="379">
        <f t="shared" si="379"/>
        <v>0</v>
      </c>
      <c r="AG63" s="379">
        <f t="shared" si="380"/>
        <v>3375.0000000270002</v>
      </c>
      <c r="AH63" s="379">
        <f t="shared" si="381"/>
        <v>4724.9999999729998</v>
      </c>
      <c r="AI63" s="379">
        <f t="shared" si="382"/>
        <v>0</v>
      </c>
      <c r="AJ63" s="474">
        <f t="shared" si="383"/>
        <v>0</v>
      </c>
      <c r="AK63" s="474">
        <f t="shared" si="384"/>
        <v>0</v>
      </c>
      <c r="AL63" s="379">
        <f t="shared" si="385"/>
        <v>0</v>
      </c>
      <c r="AM63" s="474">
        <f t="shared" si="386"/>
        <v>0</v>
      </c>
      <c r="AN63" s="379">
        <f t="shared" si="387"/>
        <v>0</v>
      </c>
      <c r="AO63" s="379">
        <f t="shared" si="388"/>
        <v>0</v>
      </c>
      <c r="AP63" s="379">
        <f t="shared" si="389"/>
        <v>0</v>
      </c>
      <c r="AQ63" s="379">
        <f t="shared" si="390"/>
        <v>0</v>
      </c>
      <c r="AR63" s="379">
        <f t="shared" si="391"/>
        <v>0</v>
      </c>
      <c r="AS63" s="379">
        <f t="shared" si="392"/>
        <v>0</v>
      </c>
      <c r="AT63" s="379">
        <f t="shared" si="393"/>
        <v>0</v>
      </c>
      <c r="AU63" s="379">
        <f t="shared" si="394"/>
        <v>0</v>
      </c>
      <c r="AV63" s="379"/>
      <c r="AW63" s="379"/>
      <c r="AX63" s="379">
        <f t="shared" si="397"/>
        <v>0</v>
      </c>
      <c r="AY63" s="379">
        <f t="shared" si="397"/>
        <v>0</v>
      </c>
      <c r="AZ63" s="379">
        <f t="shared" si="397"/>
        <v>0</v>
      </c>
      <c r="BA63" s="379">
        <f t="shared" si="397"/>
        <v>8100</v>
      </c>
      <c r="BB63" s="379">
        <f t="shared" si="397"/>
        <v>0</v>
      </c>
      <c r="BC63" s="379">
        <f t="shared" si="397"/>
        <v>0</v>
      </c>
      <c r="BD63" s="379">
        <f t="shared" si="397"/>
        <v>0</v>
      </c>
      <c r="BE63" s="379">
        <f t="shared" si="397"/>
        <v>0</v>
      </c>
      <c r="BF63" s="474">
        <f t="shared" si="397"/>
        <v>0</v>
      </c>
      <c r="BG63" s="379">
        <f t="shared" si="397"/>
        <v>0</v>
      </c>
      <c r="BH63" s="379">
        <f t="shared" si="398"/>
        <v>0</v>
      </c>
      <c r="BI63" s="379">
        <f t="shared" si="398"/>
        <v>0</v>
      </c>
      <c r="BJ63" s="379">
        <f t="shared" si="398"/>
        <v>0</v>
      </c>
      <c r="BK63" s="379">
        <f t="shared" si="398"/>
        <v>0</v>
      </c>
      <c r="BL63" s="379">
        <f t="shared" si="398"/>
        <v>0</v>
      </c>
      <c r="BM63" s="379">
        <f t="shared" si="398"/>
        <v>0</v>
      </c>
      <c r="BN63" s="379">
        <f t="shared" si="398"/>
        <v>0</v>
      </c>
      <c r="BO63" s="379">
        <f t="shared" si="398"/>
        <v>0</v>
      </c>
      <c r="BP63" s="379">
        <f t="shared" si="398"/>
        <v>0</v>
      </c>
      <c r="BQ63" s="379">
        <f t="shared" si="398"/>
        <v>0</v>
      </c>
      <c r="BR63" s="404">
        <f t="shared" si="20"/>
        <v>0</v>
      </c>
    </row>
    <row r="64" spans="1:70" ht="15" customHeight="1" x14ac:dyDescent="0.25">
      <c r="A64" s="382" t="s">
        <v>137</v>
      </c>
      <c r="B64" s="472"/>
      <c r="C64" s="473"/>
      <c r="D64" s="474">
        <v>18700</v>
      </c>
      <c r="E64" s="473" t="s">
        <v>197</v>
      </c>
      <c r="F64" s="475"/>
      <c r="G64" s="475"/>
      <c r="H64" s="475"/>
      <c r="I64" s="475">
        <v>0</v>
      </c>
      <c r="J64" s="475">
        <v>0.36363636363599999</v>
      </c>
      <c r="K64" s="475">
        <v>0.63636363636399995</v>
      </c>
      <c r="L64" s="476"/>
      <c r="M64" s="476"/>
      <c r="N64" s="476"/>
      <c r="O64" s="476"/>
      <c r="P64" s="476"/>
      <c r="Q64" s="475"/>
      <c r="R64" s="475"/>
      <c r="S64" s="475"/>
      <c r="T64" s="475"/>
      <c r="U64" s="475"/>
      <c r="V64" s="475"/>
      <c r="W64" s="475"/>
      <c r="X64" s="475"/>
      <c r="Y64" s="475"/>
      <c r="Z64" s="477">
        <f t="shared" si="396"/>
        <v>1</v>
      </c>
      <c r="AA64" s="473"/>
      <c r="AB64" s="473"/>
      <c r="AC64" s="379">
        <f t="shared" si="376"/>
        <v>0</v>
      </c>
      <c r="AD64" s="379">
        <f t="shared" si="377"/>
        <v>0</v>
      </c>
      <c r="AE64" s="379">
        <f t="shared" si="378"/>
        <v>0</v>
      </c>
      <c r="AF64" s="379">
        <f t="shared" si="379"/>
        <v>0</v>
      </c>
      <c r="AG64" s="379">
        <f t="shared" si="380"/>
        <v>6799.9999999931997</v>
      </c>
      <c r="AH64" s="474">
        <f t="shared" si="381"/>
        <v>11900.000000006799</v>
      </c>
      <c r="AI64" s="379">
        <f t="shared" si="382"/>
        <v>0</v>
      </c>
      <c r="AJ64" s="474">
        <f t="shared" si="383"/>
        <v>0</v>
      </c>
      <c r="AK64" s="474">
        <f t="shared" si="384"/>
        <v>0</v>
      </c>
      <c r="AL64" s="379">
        <f t="shared" si="385"/>
        <v>0</v>
      </c>
      <c r="AM64" s="474">
        <f t="shared" si="386"/>
        <v>0</v>
      </c>
      <c r="AN64" s="379">
        <f t="shared" si="387"/>
        <v>0</v>
      </c>
      <c r="AO64" s="379">
        <f t="shared" si="388"/>
        <v>0</v>
      </c>
      <c r="AP64" s="379">
        <f t="shared" si="389"/>
        <v>0</v>
      </c>
      <c r="AQ64" s="379">
        <f t="shared" si="390"/>
        <v>0</v>
      </c>
      <c r="AR64" s="379">
        <f t="shared" si="391"/>
        <v>0</v>
      </c>
      <c r="AS64" s="379">
        <f t="shared" si="392"/>
        <v>0</v>
      </c>
      <c r="AT64" s="379">
        <f t="shared" si="393"/>
        <v>0</v>
      </c>
      <c r="AU64" s="379">
        <f t="shared" si="394"/>
        <v>0</v>
      </c>
      <c r="AV64" s="379"/>
      <c r="AW64" s="379"/>
      <c r="AX64" s="379">
        <f t="shared" si="397"/>
        <v>0</v>
      </c>
      <c r="AY64" s="379">
        <f t="shared" si="397"/>
        <v>0</v>
      </c>
      <c r="AZ64" s="379">
        <f t="shared" si="397"/>
        <v>0</v>
      </c>
      <c r="BA64" s="379">
        <f t="shared" si="397"/>
        <v>18700</v>
      </c>
      <c r="BB64" s="379">
        <f t="shared" si="397"/>
        <v>0</v>
      </c>
      <c r="BC64" s="379">
        <f t="shared" si="397"/>
        <v>0</v>
      </c>
      <c r="BD64" s="379">
        <f t="shared" si="397"/>
        <v>0</v>
      </c>
      <c r="BE64" s="379">
        <f t="shared" si="397"/>
        <v>0</v>
      </c>
      <c r="BF64" s="474">
        <f t="shared" si="397"/>
        <v>0</v>
      </c>
      <c r="BG64" s="379">
        <f t="shared" si="397"/>
        <v>0</v>
      </c>
      <c r="BH64" s="379">
        <f t="shared" si="398"/>
        <v>0</v>
      </c>
      <c r="BI64" s="379">
        <f t="shared" si="398"/>
        <v>0</v>
      </c>
      <c r="BJ64" s="379">
        <f t="shared" si="398"/>
        <v>0</v>
      </c>
      <c r="BK64" s="379">
        <f t="shared" si="398"/>
        <v>0</v>
      </c>
      <c r="BL64" s="379">
        <f t="shared" si="398"/>
        <v>0</v>
      </c>
      <c r="BM64" s="379">
        <f t="shared" si="398"/>
        <v>0</v>
      </c>
      <c r="BN64" s="379">
        <f t="shared" si="398"/>
        <v>0</v>
      </c>
      <c r="BO64" s="379">
        <f t="shared" si="398"/>
        <v>0</v>
      </c>
      <c r="BP64" s="379">
        <f t="shared" si="398"/>
        <v>0</v>
      </c>
      <c r="BQ64" s="379">
        <f t="shared" si="398"/>
        <v>0</v>
      </c>
      <c r="BR64" s="404">
        <f t="shared" si="20"/>
        <v>0</v>
      </c>
    </row>
    <row r="65" spans="1:70" ht="15" customHeight="1" x14ac:dyDescent="0.25">
      <c r="A65" s="382" t="s">
        <v>137</v>
      </c>
      <c r="B65" s="472"/>
      <c r="C65" s="473"/>
      <c r="D65" s="474">
        <v>13200</v>
      </c>
      <c r="E65" s="473" t="s">
        <v>194</v>
      </c>
      <c r="F65" s="475"/>
      <c r="G65" s="475"/>
      <c r="H65" s="475"/>
      <c r="I65" s="475"/>
      <c r="J65" s="475"/>
      <c r="K65" s="475">
        <v>1</v>
      </c>
      <c r="L65" s="475"/>
      <c r="M65" s="475"/>
      <c r="N65" s="475"/>
      <c r="O65" s="476"/>
      <c r="P65" s="476"/>
      <c r="Q65" s="476"/>
      <c r="R65" s="476"/>
      <c r="S65" s="476"/>
      <c r="T65" s="476"/>
      <c r="U65" s="476"/>
      <c r="V65" s="476"/>
      <c r="W65" s="476"/>
      <c r="X65" s="476"/>
      <c r="Y65" s="476"/>
      <c r="Z65" s="477">
        <f t="shared" si="396"/>
        <v>1</v>
      </c>
      <c r="AA65" s="473"/>
      <c r="AB65" s="473"/>
      <c r="AC65" s="379">
        <f t="shared" si="376"/>
        <v>0</v>
      </c>
      <c r="AD65" s="379">
        <f t="shared" si="377"/>
        <v>0</v>
      </c>
      <c r="AE65" s="379">
        <f t="shared" si="378"/>
        <v>0</v>
      </c>
      <c r="AF65" s="379">
        <f t="shared" si="379"/>
        <v>0</v>
      </c>
      <c r="AG65" s="379">
        <f t="shared" si="380"/>
        <v>0</v>
      </c>
      <c r="AH65" s="379">
        <f t="shared" si="381"/>
        <v>13200</v>
      </c>
      <c r="AI65" s="379">
        <f t="shared" si="382"/>
        <v>0</v>
      </c>
      <c r="AJ65" s="474">
        <f t="shared" si="383"/>
        <v>0</v>
      </c>
      <c r="AK65" s="379">
        <f t="shared" si="384"/>
        <v>0</v>
      </c>
      <c r="AL65" s="379">
        <f t="shared" si="385"/>
        <v>0</v>
      </c>
      <c r="AM65" s="379">
        <f t="shared" si="386"/>
        <v>0</v>
      </c>
      <c r="AN65" s="379">
        <f t="shared" si="387"/>
        <v>0</v>
      </c>
      <c r="AO65" s="379">
        <f t="shared" si="388"/>
        <v>0</v>
      </c>
      <c r="AP65" s="379">
        <f t="shared" si="389"/>
        <v>0</v>
      </c>
      <c r="AQ65" s="379">
        <f t="shared" si="390"/>
        <v>0</v>
      </c>
      <c r="AR65" s="379">
        <f t="shared" si="391"/>
        <v>0</v>
      </c>
      <c r="AS65" s="379">
        <f t="shared" si="392"/>
        <v>0</v>
      </c>
      <c r="AT65" s="379">
        <f t="shared" si="393"/>
        <v>0</v>
      </c>
      <c r="AU65" s="379">
        <f t="shared" si="394"/>
        <v>0</v>
      </c>
      <c r="AV65" s="379"/>
      <c r="AW65" s="379"/>
      <c r="AX65" s="379">
        <f t="shared" si="397"/>
        <v>0</v>
      </c>
      <c r="AY65" s="379">
        <f t="shared" si="397"/>
        <v>0</v>
      </c>
      <c r="AZ65" s="379">
        <f t="shared" si="397"/>
        <v>0</v>
      </c>
      <c r="BA65" s="379">
        <f t="shared" si="397"/>
        <v>0</v>
      </c>
      <c r="BB65" s="379">
        <f t="shared" si="397"/>
        <v>13200</v>
      </c>
      <c r="BC65" s="379">
        <f t="shared" si="397"/>
        <v>0</v>
      </c>
      <c r="BD65" s="379">
        <f t="shared" si="397"/>
        <v>0</v>
      </c>
      <c r="BE65" s="379">
        <f t="shared" si="397"/>
        <v>0</v>
      </c>
      <c r="BF65" s="379">
        <f t="shared" si="397"/>
        <v>0</v>
      </c>
      <c r="BG65" s="379">
        <f t="shared" si="397"/>
        <v>0</v>
      </c>
      <c r="BH65" s="379">
        <f t="shared" si="398"/>
        <v>0</v>
      </c>
      <c r="BI65" s="379">
        <f t="shared" si="398"/>
        <v>0</v>
      </c>
      <c r="BJ65" s="379">
        <f t="shared" si="398"/>
        <v>0</v>
      </c>
      <c r="BK65" s="379">
        <f t="shared" si="398"/>
        <v>0</v>
      </c>
      <c r="BL65" s="379">
        <f t="shared" si="398"/>
        <v>0</v>
      </c>
      <c r="BM65" s="379">
        <f t="shared" si="398"/>
        <v>0</v>
      </c>
      <c r="BN65" s="379">
        <f t="shared" si="398"/>
        <v>0</v>
      </c>
      <c r="BO65" s="379">
        <f t="shared" si="398"/>
        <v>0</v>
      </c>
      <c r="BP65" s="379">
        <f t="shared" si="398"/>
        <v>0</v>
      </c>
      <c r="BQ65" s="379">
        <f t="shared" si="398"/>
        <v>0</v>
      </c>
      <c r="BR65" s="404">
        <f t="shared" si="20"/>
        <v>0</v>
      </c>
    </row>
    <row r="66" spans="1:70" s="288" customFormat="1" ht="14.45" customHeight="1" x14ac:dyDescent="0.25">
      <c r="A66" s="382" t="s">
        <v>140</v>
      </c>
      <c r="B66" s="472"/>
      <c r="C66" s="473"/>
      <c r="D66" s="474">
        <v>640.16</v>
      </c>
      <c r="E66" s="473" t="s">
        <v>194</v>
      </c>
      <c r="F66" s="476"/>
      <c r="G66" s="476"/>
      <c r="H66" s="476"/>
      <c r="I66" s="476"/>
      <c r="J66" s="476"/>
      <c r="K66" s="475">
        <v>1</v>
      </c>
      <c r="L66" s="475"/>
      <c r="M66" s="476"/>
      <c r="N66" s="476"/>
      <c r="O66" s="476"/>
      <c r="P66" s="476"/>
      <c r="Q66" s="475">
        <v>0</v>
      </c>
      <c r="R66" s="475">
        <v>0</v>
      </c>
      <c r="S66" s="475">
        <v>0</v>
      </c>
      <c r="T66" s="475">
        <v>0</v>
      </c>
      <c r="U66" s="475"/>
      <c r="V66" s="475"/>
      <c r="W66" s="475"/>
      <c r="X66" s="475"/>
      <c r="Y66" s="475"/>
      <c r="Z66" s="477">
        <f t="shared" si="396"/>
        <v>1</v>
      </c>
      <c r="AA66" s="473"/>
      <c r="AB66" s="473"/>
      <c r="AC66" s="379">
        <f t="shared" si="376"/>
        <v>0</v>
      </c>
      <c r="AD66" s="379">
        <f t="shared" si="377"/>
        <v>0</v>
      </c>
      <c r="AE66" s="379">
        <f t="shared" si="378"/>
        <v>0</v>
      </c>
      <c r="AF66" s="379">
        <f t="shared" si="379"/>
        <v>0</v>
      </c>
      <c r="AG66" s="379">
        <f t="shared" si="380"/>
        <v>0</v>
      </c>
      <c r="AH66" s="474">
        <f t="shared" si="381"/>
        <v>640.16</v>
      </c>
      <c r="AI66" s="379">
        <f t="shared" si="382"/>
        <v>0</v>
      </c>
      <c r="AJ66" s="474">
        <f t="shared" si="383"/>
        <v>0</v>
      </c>
      <c r="AK66" s="379">
        <f t="shared" si="384"/>
        <v>0</v>
      </c>
      <c r="AL66" s="379">
        <f t="shared" si="385"/>
        <v>0</v>
      </c>
      <c r="AM66" s="474">
        <f t="shared" si="386"/>
        <v>0</v>
      </c>
      <c r="AN66" s="379">
        <f t="shared" si="387"/>
        <v>0</v>
      </c>
      <c r="AO66" s="379">
        <f t="shared" si="388"/>
        <v>0</v>
      </c>
      <c r="AP66" s="379">
        <f t="shared" si="389"/>
        <v>0</v>
      </c>
      <c r="AQ66" s="379">
        <f t="shared" si="390"/>
        <v>0</v>
      </c>
      <c r="AR66" s="379">
        <f t="shared" si="391"/>
        <v>0</v>
      </c>
      <c r="AS66" s="379">
        <f t="shared" si="392"/>
        <v>0</v>
      </c>
      <c r="AT66" s="379">
        <f t="shared" si="393"/>
        <v>0</v>
      </c>
      <c r="AU66" s="379">
        <f t="shared" si="394"/>
        <v>0</v>
      </c>
      <c r="AV66" s="379"/>
      <c r="AW66" s="379"/>
      <c r="AX66" s="379">
        <f t="shared" si="397"/>
        <v>0</v>
      </c>
      <c r="AY66" s="379">
        <f t="shared" si="397"/>
        <v>0</v>
      </c>
      <c r="AZ66" s="379">
        <f t="shared" si="397"/>
        <v>0</v>
      </c>
      <c r="BA66" s="379">
        <f t="shared" si="397"/>
        <v>0</v>
      </c>
      <c r="BB66" s="379">
        <f t="shared" si="397"/>
        <v>640.16</v>
      </c>
      <c r="BC66" s="474">
        <f t="shared" si="397"/>
        <v>0</v>
      </c>
      <c r="BD66" s="379">
        <f t="shared" si="397"/>
        <v>0</v>
      </c>
      <c r="BE66" s="379">
        <f t="shared" si="397"/>
        <v>0</v>
      </c>
      <c r="BF66" s="379">
        <f t="shared" si="397"/>
        <v>0</v>
      </c>
      <c r="BG66" s="379">
        <f t="shared" si="397"/>
        <v>0</v>
      </c>
      <c r="BH66" s="379">
        <f t="shared" si="398"/>
        <v>0</v>
      </c>
      <c r="BI66" s="379">
        <f t="shared" si="398"/>
        <v>0</v>
      </c>
      <c r="BJ66" s="379">
        <f t="shared" si="398"/>
        <v>0</v>
      </c>
      <c r="BK66" s="379">
        <f t="shared" si="398"/>
        <v>0</v>
      </c>
      <c r="BL66" s="379">
        <f t="shared" si="398"/>
        <v>0</v>
      </c>
      <c r="BM66" s="379">
        <f t="shared" si="398"/>
        <v>0</v>
      </c>
      <c r="BN66" s="379">
        <f t="shared" si="398"/>
        <v>0</v>
      </c>
      <c r="BO66" s="379">
        <f t="shared" si="398"/>
        <v>0</v>
      </c>
      <c r="BP66" s="379">
        <f t="shared" si="398"/>
        <v>0</v>
      </c>
      <c r="BQ66" s="379">
        <f t="shared" si="398"/>
        <v>0</v>
      </c>
      <c r="BR66" s="404">
        <f t="shared" si="20"/>
        <v>0</v>
      </c>
    </row>
    <row r="67" spans="1:70" s="288" customFormat="1" ht="14.45" customHeight="1" x14ac:dyDescent="0.25">
      <c r="A67" s="382" t="s">
        <v>140</v>
      </c>
      <c r="B67" s="472"/>
      <c r="C67" s="473"/>
      <c r="D67" s="474">
        <v>13864.72</v>
      </c>
      <c r="E67" s="473" t="s">
        <v>167</v>
      </c>
      <c r="F67" s="476"/>
      <c r="G67" s="476"/>
      <c r="H67" s="476"/>
      <c r="I67" s="476"/>
      <c r="J67" s="476"/>
      <c r="K67" s="475">
        <v>1</v>
      </c>
      <c r="L67" s="475"/>
      <c r="M67" s="476"/>
      <c r="N67" s="476"/>
      <c r="O67" s="476"/>
      <c r="P67" s="476"/>
      <c r="Q67" s="475">
        <v>0</v>
      </c>
      <c r="R67" s="475">
        <v>0</v>
      </c>
      <c r="S67" s="475">
        <v>0</v>
      </c>
      <c r="T67" s="475">
        <v>0</v>
      </c>
      <c r="U67" s="475"/>
      <c r="V67" s="475"/>
      <c r="W67" s="475"/>
      <c r="X67" s="475"/>
      <c r="Y67" s="475"/>
      <c r="Z67" s="477">
        <f t="shared" si="396"/>
        <v>1</v>
      </c>
      <c r="AA67" s="473"/>
      <c r="AB67" s="473"/>
      <c r="AC67" s="379">
        <f t="shared" si="376"/>
        <v>0</v>
      </c>
      <c r="AD67" s="379">
        <f t="shared" si="377"/>
        <v>0</v>
      </c>
      <c r="AE67" s="379">
        <f t="shared" si="378"/>
        <v>0</v>
      </c>
      <c r="AF67" s="379">
        <f t="shared" si="379"/>
        <v>0</v>
      </c>
      <c r="AG67" s="379">
        <f t="shared" si="380"/>
        <v>0</v>
      </c>
      <c r="AH67" s="474">
        <f t="shared" si="381"/>
        <v>13864.72</v>
      </c>
      <c r="AI67" s="379">
        <f t="shared" si="382"/>
        <v>0</v>
      </c>
      <c r="AJ67" s="474">
        <f t="shared" si="383"/>
        <v>0</v>
      </c>
      <c r="AK67" s="379">
        <f t="shared" si="384"/>
        <v>0</v>
      </c>
      <c r="AL67" s="379">
        <f t="shared" si="385"/>
        <v>0</v>
      </c>
      <c r="AM67" s="474">
        <f t="shared" si="386"/>
        <v>0</v>
      </c>
      <c r="AN67" s="379">
        <f t="shared" si="387"/>
        <v>0</v>
      </c>
      <c r="AO67" s="379">
        <f t="shared" si="388"/>
        <v>0</v>
      </c>
      <c r="AP67" s="379">
        <f t="shared" si="389"/>
        <v>0</v>
      </c>
      <c r="AQ67" s="379">
        <f t="shared" si="390"/>
        <v>0</v>
      </c>
      <c r="AR67" s="379">
        <f t="shared" si="391"/>
        <v>0</v>
      </c>
      <c r="AS67" s="379">
        <f t="shared" si="392"/>
        <v>0</v>
      </c>
      <c r="AT67" s="379">
        <f t="shared" si="393"/>
        <v>0</v>
      </c>
      <c r="AU67" s="379">
        <f t="shared" si="394"/>
        <v>0</v>
      </c>
      <c r="AV67" s="379"/>
      <c r="AW67" s="379"/>
      <c r="AX67" s="379">
        <f t="shared" si="397"/>
        <v>0</v>
      </c>
      <c r="AY67" s="379">
        <f t="shared" si="397"/>
        <v>0</v>
      </c>
      <c r="AZ67" s="379">
        <f t="shared" si="397"/>
        <v>0</v>
      </c>
      <c r="BA67" s="379">
        <f t="shared" si="397"/>
        <v>0</v>
      </c>
      <c r="BB67" s="379">
        <f t="shared" si="397"/>
        <v>0</v>
      </c>
      <c r="BC67" s="474">
        <f t="shared" si="397"/>
        <v>13864.72</v>
      </c>
      <c r="BD67" s="379">
        <f t="shared" si="397"/>
        <v>0</v>
      </c>
      <c r="BE67" s="379">
        <f t="shared" si="397"/>
        <v>0</v>
      </c>
      <c r="BF67" s="379">
        <f t="shared" si="397"/>
        <v>0</v>
      </c>
      <c r="BG67" s="379">
        <f t="shared" si="397"/>
        <v>0</v>
      </c>
      <c r="BH67" s="379">
        <f t="shared" si="398"/>
        <v>0</v>
      </c>
      <c r="BI67" s="379">
        <f t="shared" si="398"/>
        <v>0</v>
      </c>
      <c r="BJ67" s="379">
        <f t="shared" si="398"/>
        <v>0</v>
      </c>
      <c r="BK67" s="379">
        <f t="shared" si="398"/>
        <v>0</v>
      </c>
      <c r="BL67" s="379">
        <f t="shared" si="398"/>
        <v>0</v>
      </c>
      <c r="BM67" s="379">
        <f t="shared" si="398"/>
        <v>0</v>
      </c>
      <c r="BN67" s="379">
        <f t="shared" si="398"/>
        <v>0</v>
      </c>
      <c r="BO67" s="379">
        <f t="shared" si="398"/>
        <v>0</v>
      </c>
      <c r="BP67" s="379">
        <f t="shared" si="398"/>
        <v>0</v>
      </c>
      <c r="BQ67" s="379">
        <f t="shared" si="398"/>
        <v>0</v>
      </c>
      <c r="BR67" s="404">
        <f t="shared" si="20"/>
        <v>0</v>
      </c>
    </row>
    <row r="68" spans="1:70" s="288" customFormat="1" ht="14.45" customHeight="1" x14ac:dyDescent="0.25">
      <c r="A68" s="382" t="s">
        <v>140</v>
      </c>
      <c r="B68" s="472"/>
      <c r="C68" s="473"/>
      <c r="D68" s="474">
        <v>475.49</v>
      </c>
      <c r="E68" s="473" t="s">
        <v>179</v>
      </c>
      <c r="F68" s="476"/>
      <c r="G68" s="476"/>
      <c r="H68" s="476"/>
      <c r="I68" s="476"/>
      <c r="J68" s="476"/>
      <c r="K68" s="475"/>
      <c r="L68" s="475">
        <v>1</v>
      </c>
      <c r="M68" s="476"/>
      <c r="N68" s="476"/>
      <c r="O68" s="476"/>
      <c r="P68" s="476"/>
      <c r="Q68" s="475">
        <v>0</v>
      </c>
      <c r="R68" s="475">
        <v>0</v>
      </c>
      <c r="S68" s="475">
        <v>0</v>
      </c>
      <c r="T68" s="475">
        <v>0</v>
      </c>
      <c r="U68" s="475"/>
      <c r="V68" s="475"/>
      <c r="W68" s="475"/>
      <c r="X68" s="475"/>
      <c r="Y68" s="475"/>
      <c r="Z68" s="477">
        <f t="shared" si="396"/>
        <v>1</v>
      </c>
      <c r="AA68" s="473"/>
      <c r="AB68" s="473"/>
      <c r="AC68" s="379">
        <f t="shared" si="376"/>
        <v>0</v>
      </c>
      <c r="AD68" s="379">
        <f t="shared" si="377"/>
        <v>0</v>
      </c>
      <c r="AE68" s="379">
        <f t="shared" si="378"/>
        <v>0</v>
      </c>
      <c r="AF68" s="379">
        <f t="shared" si="379"/>
        <v>0</v>
      </c>
      <c r="AG68" s="379">
        <f t="shared" si="380"/>
        <v>0</v>
      </c>
      <c r="AH68" s="474">
        <f t="shared" si="381"/>
        <v>0</v>
      </c>
      <c r="AI68" s="379">
        <f t="shared" si="382"/>
        <v>475.49</v>
      </c>
      <c r="AJ68" s="474">
        <f t="shared" si="383"/>
        <v>0</v>
      </c>
      <c r="AK68" s="379">
        <f t="shared" si="384"/>
        <v>0</v>
      </c>
      <c r="AL68" s="379">
        <f t="shared" si="385"/>
        <v>0</v>
      </c>
      <c r="AM68" s="474">
        <f t="shared" si="386"/>
        <v>0</v>
      </c>
      <c r="AN68" s="379">
        <f t="shared" si="387"/>
        <v>0</v>
      </c>
      <c r="AO68" s="379">
        <f t="shared" si="388"/>
        <v>0</v>
      </c>
      <c r="AP68" s="379">
        <f t="shared" si="389"/>
        <v>0</v>
      </c>
      <c r="AQ68" s="379">
        <f t="shared" si="390"/>
        <v>0</v>
      </c>
      <c r="AR68" s="379">
        <f t="shared" si="391"/>
        <v>0</v>
      </c>
      <c r="AS68" s="379">
        <f t="shared" si="392"/>
        <v>0</v>
      </c>
      <c r="AT68" s="379">
        <f t="shared" si="393"/>
        <v>0</v>
      </c>
      <c r="AU68" s="379">
        <f t="shared" si="394"/>
        <v>0</v>
      </c>
      <c r="AV68" s="379"/>
      <c r="AW68" s="379"/>
      <c r="AX68" s="379">
        <f t="shared" si="397"/>
        <v>0</v>
      </c>
      <c r="AY68" s="379">
        <f t="shared" si="397"/>
        <v>0</v>
      </c>
      <c r="AZ68" s="379">
        <f t="shared" si="397"/>
        <v>0</v>
      </c>
      <c r="BA68" s="379">
        <f t="shared" si="397"/>
        <v>0</v>
      </c>
      <c r="BB68" s="379">
        <f t="shared" si="397"/>
        <v>0</v>
      </c>
      <c r="BC68" s="379">
        <f t="shared" si="397"/>
        <v>0</v>
      </c>
      <c r="BD68" s="379">
        <f t="shared" si="397"/>
        <v>475.49</v>
      </c>
      <c r="BE68" s="379">
        <f t="shared" si="397"/>
        <v>0</v>
      </c>
      <c r="BF68" s="379">
        <f t="shared" si="397"/>
        <v>0</v>
      </c>
      <c r="BG68" s="379">
        <f t="shared" si="397"/>
        <v>0</v>
      </c>
      <c r="BH68" s="379">
        <f t="shared" si="398"/>
        <v>0</v>
      </c>
      <c r="BI68" s="379">
        <f t="shared" si="398"/>
        <v>0</v>
      </c>
      <c r="BJ68" s="379">
        <f t="shared" si="398"/>
        <v>0</v>
      </c>
      <c r="BK68" s="379">
        <f t="shared" si="398"/>
        <v>0</v>
      </c>
      <c r="BL68" s="379">
        <f t="shared" si="398"/>
        <v>0</v>
      </c>
      <c r="BM68" s="379">
        <f t="shared" si="398"/>
        <v>0</v>
      </c>
      <c r="BN68" s="379">
        <f t="shared" si="398"/>
        <v>0</v>
      </c>
      <c r="BO68" s="379">
        <f t="shared" si="398"/>
        <v>0</v>
      </c>
      <c r="BP68" s="379">
        <f t="shared" si="398"/>
        <v>0</v>
      </c>
      <c r="BQ68" s="379">
        <f t="shared" si="398"/>
        <v>0</v>
      </c>
      <c r="BR68" s="404">
        <f t="shared" si="20"/>
        <v>0</v>
      </c>
    </row>
    <row r="69" spans="1:70" ht="15" customHeight="1" x14ac:dyDescent="0.25">
      <c r="A69" s="382" t="s">
        <v>137</v>
      </c>
      <c r="B69" s="472"/>
      <c r="C69" s="473"/>
      <c r="D69" s="474">
        <v>49165.090000000004</v>
      </c>
      <c r="E69" s="473" t="s">
        <v>179</v>
      </c>
      <c r="F69" s="476"/>
      <c r="G69" s="476"/>
      <c r="H69" s="476"/>
      <c r="I69" s="476"/>
      <c r="J69" s="476"/>
      <c r="K69" s="476"/>
      <c r="L69" s="475">
        <v>0</v>
      </c>
      <c r="M69" s="475">
        <v>0.88205655679670281</v>
      </c>
      <c r="N69" s="475">
        <v>0</v>
      </c>
      <c r="O69" s="475">
        <v>7.6316345602133545E-2</v>
      </c>
      <c r="P69" s="475">
        <v>4.1627097601163753E-2</v>
      </c>
      <c r="Q69" s="475"/>
      <c r="R69" s="475"/>
      <c r="S69" s="475"/>
      <c r="T69" s="475"/>
      <c r="U69" s="475"/>
      <c r="V69" s="475"/>
      <c r="W69" s="475"/>
      <c r="X69" s="475"/>
      <c r="Y69" s="475"/>
      <c r="Z69" s="477">
        <f t="shared" si="21"/>
        <v>1</v>
      </c>
      <c r="AA69" s="473"/>
      <c r="AB69" s="473"/>
      <c r="AC69" s="379">
        <f t="shared" si="0"/>
        <v>0</v>
      </c>
      <c r="AD69" s="379">
        <f t="shared" si="1"/>
        <v>0</v>
      </c>
      <c r="AE69" s="379">
        <f t="shared" si="2"/>
        <v>0</v>
      </c>
      <c r="AF69" s="379">
        <f t="shared" si="3"/>
        <v>0</v>
      </c>
      <c r="AG69" s="379">
        <f>J69*$D69</f>
        <v>0</v>
      </c>
      <c r="AH69" s="379">
        <f t="shared" si="22"/>
        <v>0</v>
      </c>
      <c r="AI69" s="379">
        <f t="shared" si="23"/>
        <v>0</v>
      </c>
      <c r="AJ69" s="474">
        <f t="shared" si="24"/>
        <v>43366.390000000007</v>
      </c>
      <c r="AK69" s="474">
        <f>N69*$D69</f>
        <v>0</v>
      </c>
      <c r="AL69" s="474">
        <f t="shared" si="19"/>
        <v>3752.1000000000004</v>
      </c>
      <c r="AM69" s="474">
        <f t="shared" si="8"/>
        <v>2046.6000000000001</v>
      </c>
      <c r="AN69" s="379">
        <f t="shared" si="9"/>
        <v>0</v>
      </c>
      <c r="AO69" s="379">
        <f t="shared" si="10"/>
        <v>0</v>
      </c>
      <c r="AP69" s="379">
        <f t="shared" si="11"/>
        <v>0</v>
      </c>
      <c r="AQ69" s="379">
        <f t="shared" si="12"/>
        <v>0</v>
      </c>
      <c r="AR69" s="379">
        <f t="shared" ref="AR69:AR122" si="399">U69*$D69</f>
        <v>0</v>
      </c>
      <c r="AS69" s="379">
        <f t="shared" si="14"/>
        <v>0</v>
      </c>
      <c r="AT69" s="379">
        <f t="shared" si="15"/>
        <v>0</v>
      </c>
      <c r="AU69" s="379">
        <f t="shared" si="16"/>
        <v>0</v>
      </c>
      <c r="AV69" s="379"/>
      <c r="AW69" s="379"/>
      <c r="AX69" s="379">
        <f t="shared" ref="AX69:BL103" si="400">IF(AX$3=$E69,$D69,0)</f>
        <v>0</v>
      </c>
      <c r="AY69" s="379">
        <f t="shared" si="400"/>
        <v>0</v>
      </c>
      <c r="AZ69" s="379">
        <f t="shared" si="400"/>
        <v>0</v>
      </c>
      <c r="BA69" s="379">
        <f t="shared" si="400"/>
        <v>0</v>
      </c>
      <c r="BB69" s="379">
        <f t="shared" si="400"/>
        <v>0</v>
      </c>
      <c r="BC69" s="379">
        <f t="shared" si="400"/>
        <v>0</v>
      </c>
      <c r="BD69" s="379">
        <f t="shared" si="400"/>
        <v>49165.090000000004</v>
      </c>
      <c r="BE69" s="379">
        <f t="shared" si="400"/>
        <v>0</v>
      </c>
      <c r="BF69" s="379">
        <f t="shared" si="400"/>
        <v>0</v>
      </c>
      <c r="BG69" s="379">
        <f t="shared" si="400"/>
        <v>0</v>
      </c>
      <c r="BH69" s="379">
        <f t="shared" si="400"/>
        <v>0</v>
      </c>
      <c r="BI69" s="379">
        <f t="shared" si="400"/>
        <v>0</v>
      </c>
      <c r="BJ69" s="379">
        <f t="shared" si="400"/>
        <v>0</v>
      </c>
      <c r="BK69" s="379">
        <f t="shared" si="400"/>
        <v>0</v>
      </c>
      <c r="BL69" s="379">
        <f t="shared" si="400"/>
        <v>0</v>
      </c>
      <c r="BM69" s="379">
        <f t="shared" si="345"/>
        <v>0</v>
      </c>
      <c r="BN69" s="379">
        <f t="shared" ref="BN69:BQ72" si="401">IF(BN$3=$E69,$D69,0)</f>
        <v>0</v>
      </c>
      <c r="BO69" s="379">
        <f t="shared" si="401"/>
        <v>0</v>
      </c>
      <c r="BP69" s="379">
        <f t="shared" si="401"/>
        <v>0</v>
      </c>
      <c r="BQ69" s="379">
        <f t="shared" si="401"/>
        <v>0</v>
      </c>
      <c r="BR69" s="404">
        <f t="shared" si="20"/>
        <v>0</v>
      </c>
    </row>
    <row r="70" spans="1:70" s="288" customFormat="1" ht="15" customHeight="1" x14ac:dyDescent="0.25">
      <c r="A70" s="382" t="s">
        <v>137</v>
      </c>
      <c r="B70" s="472"/>
      <c r="C70" s="473"/>
      <c r="D70" s="474">
        <f>45000-6498</f>
        <v>38502</v>
      </c>
      <c r="E70" s="473" t="s">
        <v>179</v>
      </c>
      <c r="F70" s="476"/>
      <c r="G70" s="476"/>
      <c r="H70" s="476"/>
      <c r="I70" s="476"/>
      <c r="J70" s="476"/>
      <c r="K70" s="476"/>
      <c r="L70" s="475">
        <v>0</v>
      </c>
      <c r="M70" s="475">
        <v>0.10950080515297907</v>
      </c>
      <c r="N70" s="475">
        <v>0.89049919484702089</v>
      </c>
      <c r="O70" s="475">
        <v>0</v>
      </c>
      <c r="P70" s="475">
        <f>1-(O70+N70+M70)</f>
        <v>0</v>
      </c>
      <c r="Q70" s="475"/>
      <c r="R70" s="475"/>
      <c r="S70" s="475"/>
      <c r="T70" s="475"/>
      <c r="U70" s="475"/>
      <c r="V70" s="475"/>
      <c r="W70" s="475"/>
      <c r="X70" s="475"/>
      <c r="Y70" s="475"/>
      <c r="Z70" s="477">
        <f t="shared" si="21"/>
        <v>1</v>
      </c>
      <c r="AA70" s="473"/>
      <c r="AB70" s="473"/>
      <c r="AC70" s="379">
        <f t="shared" ref="AC70:AC72" si="402">F70*$D70</f>
        <v>0</v>
      </c>
      <c r="AD70" s="379">
        <f t="shared" ref="AD70:AD72" si="403">G70*$D70</f>
        <v>0</v>
      </c>
      <c r="AE70" s="379">
        <f t="shared" ref="AE70:AE72" si="404">H70*$D70</f>
        <v>0</v>
      </c>
      <c r="AF70" s="379">
        <f t="shared" ref="AF70:AF72" si="405">I70*$D70</f>
        <v>0</v>
      </c>
      <c r="AG70" s="379">
        <f t="shared" ref="AG70:AG72" si="406">J70*$D70</f>
        <v>0</v>
      </c>
      <c r="AH70" s="379">
        <f t="shared" ref="AH70:AH72" si="407">K70*$D70</f>
        <v>0</v>
      </c>
      <c r="AI70" s="379">
        <f t="shared" ref="AI70:AI72" si="408">L70*$D70</f>
        <v>0</v>
      </c>
      <c r="AJ70" s="474">
        <f t="shared" ref="AJ70:AJ72" si="409">M70*$D70</f>
        <v>4216</v>
      </c>
      <c r="AK70" s="474">
        <f t="shared" ref="AK70:AK72" si="410">N70*$D70</f>
        <v>34286</v>
      </c>
      <c r="AL70" s="379">
        <f t="shared" ref="AL70:AL72" si="411">O70*$D70</f>
        <v>0</v>
      </c>
      <c r="AM70" s="474">
        <f t="shared" ref="AM70:AM72" si="412">P70*$D70</f>
        <v>0</v>
      </c>
      <c r="AN70" s="379">
        <f t="shared" ref="AN70:AN72" si="413">Q70*$D70</f>
        <v>0</v>
      </c>
      <c r="AO70" s="379">
        <f t="shared" ref="AO70:AO72" si="414">R70*$D70</f>
        <v>0</v>
      </c>
      <c r="AP70" s="379">
        <f t="shared" ref="AP70:AP72" si="415">S70*$D70</f>
        <v>0</v>
      </c>
      <c r="AQ70" s="379">
        <f t="shared" ref="AQ70:AQ72" si="416">T70*$D70</f>
        <v>0</v>
      </c>
      <c r="AR70" s="379">
        <f t="shared" si="399"/>
        <v>0</v>
      </c>
      <c r="AS70" s="379">
        <f t="shared" si="14"/>
        <v>0</v>
      </c>
      <c r="AT70" s="379">
        <f t="shared" si="15"/>
        <v>0</v>
      </c>
      <c r="AU70" s="379">
        <f t="shared" si="16"/>
        <v>0</v>
      </c>
      <c r="AV70" s="379"/>
      <c r="AW70" s="379"/>
      <c r="AX70" s="379">
        <f t="shared" si="400"/>
        <v>0</v>
      </c>
      <c r="AY70" s="379">
        <f t="shared" si="400"/>
        <v>0</v>
      </c>
      <c r="AZ70" s="379">
        <f t="shared" si="400"/>
        <v>0</v>
      </c>
      <c r="BA70" s="379">
        <f t="shared" si="400"/>
        <v>0</v>
      </c>
      <c r="BB70" s="379">
        <f t="shared" si="400"/>
        <v>0</v>
      </c>
      <c r="BC70" s="379">
        <f t="shared" si="400"/>
        <v>0</v>
      </c>
      <c r="BD70" s="379">
        <f t="shared" si="400"/>
        <v>38502</v>
      </c>
      <c r="BE70" s="379">
        <f t="shared" si="400"/>
        <v>0</v>
      </c>
      <c r="BF70" s="379">
        <f t="shared" si="400"/>
        <v>0</v>
      </c>
      <c r="BG70" s="379">
        <f t="shared" si="400"/>
        <v>0</v>
      </c>
      <c r="BH70" s="379">
        <f t="shared" si="400"/>
        <v>0</v>
      </c>
      <c r="BI70" s="379">
        <f t="shared" si="400"/>
        <v>0</v>
      </c>
      <c r="BJ70" s="379">
        <f t="shared" si="400"/>
        <v>0</v>
      </c>
      <c r="BK70" s="379">
        <f t="shared" si="400"/>
        <v>0</v>
      </c>
      <c r="BL70" s="379">
        <f t="shared" si="400"/>
        <v>0</v>
      </c>
      <c r="BM70" s="379">
        <f t="shared" si="345"/>
        <v>0</v>
      </c>
      <c r="BN70" s="379">
        <f t="shared" si="401"/>
        <v>0</v>
      </c>
      <c r="BO70" s="379">
        <f t="shared" si="401"/>
        <v>0</v>
      </c>
      <c r="BP70" s="379">
        <f t="shared" si="401"/>
        <v>0</v>
      </c>
      <c r="BQ70" s="379">
        <f t="shared" si="401"/>
        <v>0</v>
      </c>
      <c r="BR70" s="404">
        <f t="shared" si="20"/>
        <v>0</v>
      </c>
    </row>
    <row r="71" spans="1:70" s="288" customFormat="1" ht="15" customHeight="1" x14ac:dyDescent="0.25">
      <c r="A71" s="382" t="s">
        <v>137</v>
      </c>
      <c r="B71" s="472"/>
      <c r="C71" s="473"/>
      <c r="D71" s="474">
        <v>68334.489999999991</v>
      </c>
      <c r="E71" s="473" t="s">
        <v>218</v>
      </c>
      <c r="F71" s="476"/>
      <c r="G71" s="476"/>
      <c r="H71" s="476"/>
      <c r="I71" s="476"/>
      <c r="J71" s="476"/>
      <c r="K71" s="476"/>
      <c r="L71" s="475">
        <v>0</v>
      </c>
      <c r="M71" s="475">
        <v>0</v>
      </c>
      <c r="N71" s="475">
        <v>1</v>
      </c>
      <c r="O71" s="475">
        <v>0</v>
      </c>
      <c r="P71" s="475">
        <v>0</v>
      </c>
      <c r="Q71" s="475"/>
      <c r="R71" s="475"/>
      <c r="S71" s="475"/>
      <c r="T71" s="475"/>
      <c r="U71" s="475"/>
      <c r="V71" s="475"/>
      <c r="W71" s="475"/>
      <c r="X71" s="475"/>
      <c r="Y71" s="475"/>
      <c r="Z71" s="477">
        <f t="shared" si="21"/>
        <v>1</v>
      </c>
      <c r="AA71" s="473"/>
      <c r="AB71" s="473"/>
      <c r="AC71" s="379">
        <f t="shared" si="402"/>
        <v>0</v>
      </c>
      <c r="AD71" s="379">
        <f t="shared" si="403"/>
        <v>0</v>
      </c>
      <c r="AE71" s="379">
        <f t="shared" si="404"/>
        <v>0</v>
      </c>
      <c r="AF71" s="379">
        <f t="shared" si="405"/>
        <v>0</v>
      </c>
      <c r="AG71" s="379">
        <f t="shared" si="406"/>
        <v>0</v>
      </c>
      <c r="AH71" s="379">
        <f t="shared" si="407"/>
        <v>0</v>
      </c>
      <c r="AI71" s="379">
        <f t="shared" si="408"/>
        <v>0</v>
      </c>
      <c r="AJ71" s="474">
        <f t="shared" si="409"/>
        <v>0</v>
      </c>
      <c r="AK71" s="474">
        <f t="shared" si="410"/>
        <v>68334.489999999991</v>
      </c>
      <c r="AL71" s="379">
        <f t="shared" si="411"/>
        <v>0</v>
      </c>
      <c r="AM71" s="474">
        <f t="shared" si="412"/>
        <v>0</v>
      </c>
      <c r="AN71" s="379">
        <f t="shared" si="413"/>
        <v>0</v>
      </c>
      <c r="AO71" s="379">
        <f t="shared" si="414"/>
        <v>0</v>
      </c>
      <c r="AP71" s="379">
        <f t="shared" si="415"/>
        <v>0</v>
      </c>
      <c r="AQ71" s="379">
        <f t="shared" si="416"/>
        <v>0</v>
      </c>
      <c r="AR71" s="379">
        <f t="shared" si="399"/>
        <v>0</v>
      </c>
      <c r="AS71" s="379">
        <f t="shared" si="14"/>
        <v>0</v>
      </c>
      <c r="AT71" s="379">
        <f t="shared" si="15"/>
        <v>0</v>
      </c>
      <c r="AU71" s="379">
        <f t="shared" si="16"/>
        <v>0</v>
      </c>
      <c r="AV71" s="379"/>
      <c r="AW71" s="379"/>
      <c r="AX71" s="379">
        <f t="shared" ref="AX71:BN72" si="417">IF(AX$3=$E71,$D71,0)</f>
        <v>0</v>
      </c>
      <c r="AY71" s="379">
        <f t="shared" si="417"/>
        <v>0</v>
      </c>
      <c r="AZ71" s="379">
        <f t="shared" si="417"/>
        <v>0</v>
      </c>
      <c r="BA71" s="379">
        <f t="shared" si="417"/>
        <v>0</v>
      </c>
      <c r="BB71" s="379">
        <f t="shared" si="417"/>
        <v>0</v>
      </c>
      <c r="BC71" s="379">
        <f t="shared" si="417"/>
        <v>0</v>
      </c>
      <c r="BD71" s="379">
        <f t="shared" si="417"/>
        <v>0</v>
      </c>
      <c r="BE71" s="379">
        <f t="shared" si="417"/>
        <v>68334.489999999991</v>
      </c>
      <c r="BF71" s="474">
        <f t="shared" si="417"/>
        <v>0</v>
      </c>
      <c r="BG71" s="379">
        <f t="shared" si="417"/>
        <v>0</v>
      </c>
      <c r="BH71" s="379">
        <f t="shared" si="417"/>
        <v>0</v>
      </c>
      <c r="BI71" s="379">
        <f t="shared" si="417"/>
        <v>0</v>
      </c>
      <c r="BJ71" s="379">
        <f t="shared" si="417"/>
        <v>0</v>
      </c>
      <c r="BK71" s="379">
        <f t="shared" si="417"/>
        <v>0</v>
      </c>
      <c r="BL71" s="379">
        <f t="shared" si="417"/>
        <v>0</v>
      </c>
      <c r="BM71" s="379">
        <f t="shared" si="417"/>
        <v>0</v>
      </c>
      <c r="BN71" s="379">
        <f t="shared" si="417"/>
        <v>0</v>
      </c>
      <c r="BO71" s="379">
        <f t="shared" si="401"/>
        <v>0</v>
      </c>
      <c r="BP71" s="379">
        <f t="shared" si="401"/>
        <v>0</v>
      </c>
      <c r="BQ71" s="379">
        <f t="shared" si="401"/>
        <v>0</v>
      </c>
      <c r="BR71" s="404">
        <f t="shared" si="20"/>
        <v>0</v>
      </c>
    </row>
    <row r="72" spans="1:70" s="288" customFormat="1" ht="15" customHeight="1" x14ac:dyDescent="0.25">
      <c r="A72" s="382" t="s">
        <v>137</v>
      </c>
      <c r="B72" s="472"/>
      <c r="C72" s="473"/>
      <c r="D72" s="474">
        <v>7848.12</v>
      </c>
      <c r="E72" s="473" t="s">
        <v>218</v>
      </c>
      <c r="F72" s="476"/>
      <c r="G72" s="476"/>
      <c r="H72" s="476"/>
      <c r="I72" s="476"/>
      <c r="J72" s="476"/>
      <c r="K72" s="476"/>
      <c r="L72" s="475">
        <v>0</v>
      </c>
      <c r="M72" s="475">
        <v>0</v>
      </c>
      <c r="N72" s="475">
        <v>1</v>
      </c>
      <c r="O72" s="475">
        <v>0</v>
      </c>
      <c r="P72" s="475">
        <v>0</v>
      </c>
      <c r="Q72" s="475"/>
      <c r="R72" s="475"/>
      <c r="S72" s="475"/>
      <c r="T72" s="475"/>
      <c r="U72" s="475"/>
      <c r="V72" s="475"/>
      <c r="W72" s="475"/>
      <c r="X72" s="475"/>
      <c r="Y72" s="475"/>
      <c r="Z72" s="477">
        <f t="shared" si="21"/>
        <v>1</v>
      </c>
      <c r="AA72" s="473"/>
      <c r="AB72" s="473"/>
      <c r="AC72" s="379">
        <f t="shared" si="402"/>
        <v>0</v>
      </c>
      <c r="AD72" s="379">
        <f t="shared" si="403"/>
        <v>0</v>
      </c>
      <c r="AE72" s="379">
        <f t="shared" si="404"/>
        <v>0</v>
      </c>
      <c r="AF72" s="379">
        <f t="shared" si="405"/>
        <v>0</v>
      </c>
      <c r="AG72" s="379">
        <f t="shared" si="406"/>
        <v>0</v>
      </c>
      <c r="AH72" s="379">
        <f t="shared" si="407"/>
        <v>0</v>
      </c>
      <c r="AI72" s="379">
        <f t="shared" si="408"/>
        <v>0</v>
      </c>
      <c r="AJ72" s="474">
        <f t="shared" si="409"/>
        <v>0</v>
      </c>
      <c r="AK72" s="474">
        <f t="shared" si="410"/>
        <v>7848.12</v>
      </c>
      <c r="AL72" s="379">
        <f t="shared" si="411"/>
        <v>0</v>
      </c>
      <c r="AM72" s="474">
        <f t="shared" si="412"/>
        <v>0</v>
      </c>
      <c r="AN72" s="379">
        <f t="shared" si="413"/>
        <v>0</v>
      </c>
      <c r="AO72" s="379">
        <f t="shared" si="414"/>
        <v>0</v>
      </c>
      <c r="AP72" s="379">
        <f t="shared" si="415"/>
        <v>0</v>
      </c>
      <c r="AQ72" s="379">
        <f t="shared" si="416"/>
        <v>0</v>
      </c>
      <c r="AR72" s="379">
        <f t="shared" si="399"/>
        <v>0</v>
      </c>
      <c r="AS72" s="379">
        <f t="shared" si="14"/>
        <v>0</v>
      </c>
      <c r="AT72" s="379">
        <f t="shared" si="15"/>
        <v>0</v>
      </c>
      <c r="AU72" s="379">
        <f t="shared" si="16"/>
        <v>0</v>
      </c>
      <c r="AV72" s="379"/>
      <c r="AW72" s="379"/>
      <c r="AX72" s="379">
        <f t="shared" si="417"/>
        <v>0</v>
      </c>
      <c r="AY72" s="379">
        <f t="shared" si="417"/>
        <v>0</v>
      </c>
      <c r="AZ72" s="379">
        <f t="shared" si="417"/>
        <v>0</v>
      </c>
      <c r="BA72" s="379">
        <f t="shared" si="417"/>
        <v>0</v>
      </c>
      <c r="BB72" s="379">
        <f t="shared" si="417"/>
        <v>0</v>
      </c>
      <c r="BC72" s="379">
        <f t="shared" si="417"/>
        <v>0</v>
      </c>
      <c r="BD72" s="379">
        <f t="shared" si="417"/>
        <v>0</v>
      </c>
      <c r="BE72" s="474">
        <f t="shared" si="417"/>
        <v>7848.12</v>
      </c>
      <c r="BF72" s="474">
        <f t="shared" si="417"/>
        <v>0</v>
      </c>
      <c r="BG72" s="379">
        <f t="shared" si="417"/>
        <v>0</v>
      </c>
      <c r="BH72" s="379">
        <f t="shared" si="417"/>
        <v>0</v>
      </c>
      <c r="BI72" s="379">
        <f t="shared" si="417"/>
        <v>0</v>
      </c>
      <c r="BJ72" s="379">
        <f t="shared" si="417"/>
        <v>0</v>
      </c>
      <c r="BK72" s="379">
        <f t="shared" si="417"/>
        <v>0</v>
      </c>
      <c r="BL72" s="379">
        <f t="shared" si="417"/>
        <v>0</v>
      </c>
      <c r="BM72" s="379">
        <f t="shared" si="417"/>
        <v>0</v>
      </c>
      <c r="BN72" s="379">
        <f t="shared" si="401"/>
        <v>0</v>
      </c>
      <c r="BO72" s="379">
        <f t="shared" si="401"/>
        <v>0</v>
      </c>
      <c r="BP72" s="379">
        <f t="shared" si="401"/>
        <v>0</v>
      </c>
      <c r="BQ72" s="379">
        <f t="shared" si="401"/>
        <v>0</v>
      </c>
      <c r="BR72" s="404">
        <f t="shared" si="20"/>
        <v>0</v>
      </c>
    </row>
    <row r="73" spans="1:70" s="288" customFormat="1" ht="14.45" customHeight="1" x14ac:dyDescent="0.25">
      <c r="A73" s="382" t="s">
        <v>140</v>
      </c>
      <c r="B73" s="472"/>
      <c r="C73" s="473"/>
      <c r="D73" s="474">
        <v>203.63</v>
      </c>
      <c r="E73" s="473" t="s">
        <v>218</v>
      </c>
      <c r="F73" s="476"/>
      <c r="G73" s="476"/>
      <c r="H73" s="476"/>
      <c r="I73" s="476"/>
      <c r="J73" s="476"/>
      <c r="K73" s="475"/>
      <c r="L73" s="475">
        <v>0</v>
      </c>
      <c r="M73" s="475">
        <v>1</v>
      </c>
      <c r="N73" s="476"/>
      <c r="O73" s="476"/>
      <c r="P73" s="476"/>
      <c r="Q73" s="475">
        <v>0</v>
      </c>
      <c r="R73" s="475">
        <v>0</v>
      </c>
      <c r="S73" s="475">
        <v>0</v>
      </c>
      <c r="T73" s="475">
        <v>0</v>
      </c>
      <c r="U73" s="475"/>
      <c r="V73" s="475"/>
      <c r="W73" s="475"/>
      <c r="X73" s="475"/>
      <c r="Y73" s="475"/>
      <c r="Z73" s="477">
        <f>SUM(F73:X73)</f>
        <v>1</v>
      </c>
      <c r="AA73" s="473"/>
      <c r="AB73" s="473"/>
      <c r="AC73" s="379">
        <f t="shared" ref="AC73:AL80" si="418">F73*$D73</f>
        <v>0</v>
      </c>
      <c r="AD73" s="379">
        <f t="shared" si="418"/>
        <v>0</v>
      </c>
      <c r="AE73" s="379">
        <f t="shared" si="418"/>
        <v>0</v>
      </c>
      <c r="AF73" s="379">
        <f t="shared" si="418"/>
        <v>0</v>
      </c>
      <c r="AG73" s="379">
        <f t="shared" si="418"/>
        <v>0</v>
      </c>
      <c r="AH73" s="474">
        <f t="shared" si="418"/>
        <v>0</v>
      </c>
      <c r="AI73" s="379">
        <f t="shared" si="418"/>
        <v>0</v>
      </c>
      <c r="AJ73" s="474">
        <f t="shared" si="418"/>
        <v>203.63</v>
      </c>
      <c r="AK73" s="379">
        <f t="shared" si="418"/>
        <v>0</v>
      </c>
      <c r="AL73" s="379">
        <f t="shared" si="418"/>
        <v>0</v>
      </c>
      <c r="AM73" s="474">
        <f t="shared" ref="AM73:AU80" si="419">P73*$D73</f>
        <v>0</v>
      </c>
      <c r="AN73" s="379">
        <f t="shared" si="419"/>
        <v>0</v>
      </c>
      <c r="AO73" s="379">
        <f t="shared" si="419"/>
        <v>0</v>
      </c>
      <c r="AP73" s="379">
        <f t="shared" si="419"/>
        <v>0</v>
      </c>
      <c r="AQ73" s="379">
        <f t="shared" si="419"/>
        <v>0</v>
      </c>
      <c r="AR73" s="379">
        <f t="shared" si="419"/>
        <v>0</v>
      </c>
      <c r="AS73" s="379">
        <f t="shared" si="419"/>
        <v>0</v>
      </c>
      <c r="AT73" s="379">
        <f t="shared" si="419"/>
        <v>0</v>
      </c>
      <c r="AU73" s="379">
        <f t="shared" si="419"/>
        <v>0</v>
      </c>
      <c r="AV73" s="379"/>
      <c r="AW73" s="379"/>
      <c r="AX73" s="379">
        <f t="shared" ref="AX73:BG80" si="420">IF(AX$3=$E73,$D73,0)</f>
        <v>0</v>
      </c>
      <c r="AY73" s="379">
        <f t="shared" si="420"/>
        <v>0</v>
      </c>
      <c r="AZ73" s="379">
        <f t="shared" si="420"/>
        <v>0</v>
      </c>
      <c r="BA73" s="379">
        <f t="shared" si="420"/>
        <v>0</v>
      </c>
      <c r="BB73" s="379">
        <f t="shared" si="420"/>
        <v>0</v>
      </c>
      <c r="BC73" s="379">
        <f t="shared" si="420"/>
        <v>0</v>
      </c>
      <c r="BD73" s="379">
        <f t="shared" si="420"/>
        <v>0</v>
      </c>
      <c r="BE73" s="379">
        <f t="shared" si="420"/>
        <v>203.63</v>
      </c>
      <c r="BF73" s="379">
        <f t="shared" si="420"/>
        <v>0</v>
      </c>
      <c r="BG73" s="379">
        <f t="shared" si="420"/>
        <v>0</v>
      </c>
      <c r="BH73" s="379">
        <f t="shared" ref="BH73:BQ80" si="421">IF(BH$3=$E73,$D73,0)</f>
        <v>0</v>
      </c>
      <c r="BI73" s="379">
        <f t="shared" si="421"/>
        <v>0</v>
      </c>
      <c r="BJ73" s="379">
        <f t="shared" si="421"/>
        <v>0</v>
      </c>
      <c r="BK73" s="379">
        <f t="shared" si="421"/>
        <v>0</v>
      </c>
      <c r="BL73" s="379">
        <f t="shared" si="421"/>
        <v>0</v>
      </c>
      <c r="BM73" s="379">
        <f t="shared" si="421"/>
        <v>0</v>
      </c>
      <c r="BN73" s="379">
        <f t="shared" si="421"/>
        <v>0</v>
      </c>
      <c r="BO73" s="379">
        <f t="shared" si="421"/>
        <v>0</v>
      </c>
      <c r="BP73" s="379">
        <f t="shared" si="421"/>
        <v>0</v>
      </c>
      <c r="BQ73" s="379">
        <f t="shared" si="421"/>
        <v>0</v>
      </c>
      <c r="BR73" s="404">
        <f t="shared" si="20"/>
        <v>0</v>
      </c>
    </row>
    <row r="74" spans="1:70" s="288" customFormat="1" ht="14.45" customHeight="1" x14ac:dyDescent="0.25">
      <c r="A74" s="382" t="s">
        <v>140</v>
      </c>
      <c r="B74" s="472"/>
      <c r="C74" s="473"/>
      <c r="D74" s="474">
        <v>179.46</v>
      </c>
      <c r="E74" s="473" t="s">
        <v>218</v>
      </c>
      <c r="F74" s="476"/>
      <c r="G74" s="476"/>
      <c r="H74" s="476"/>
      <c r="I74" s="476"/>
      <c r="J74" s="476"/>
      <c r="K74" s="475"/>
      <c r="L74" s="475">
        <v>0</v>
      </c>
      <c r="M74" s="475">
        <v>1</v>
      </c>
      <c r="N74" s="476"/>
      <c r="O74" s="476"/>
      <c r="P74" s="476"/>
      <c r="Q74" s="475">
        <v>0</v>
      </c>
      <c r="R74" s="475">
        <v>0</v>
      </c>
      <c r="S74" s="475">
        <v>0</v>
      </c>
      <c r="T74" s="475">
        <v>0</v>
      </c>
      <c r="U74" s="475"/>
      <c r="V74" s="475"/>
      <c r="W74" s="475"/>
      <c r="X74" s="475"/>
      <c r="Y74" s="475"/>
      <c r="Z74" s="477">
        <f>SUM(F74:X74)</f>
        <v>1</v>
      </c>
      <c r="AA74" s="473"/>
      <c r="AB74" s="473"/>
      <c r="AC74" s="379">
        <f t="shared" si="418"/>
        <v>0</v>
      </c>
      <c r="AD74" s="379">
        <f t="shared" si="418"/>
        <v>0</v>
      </c>
      <c r="AE74" s="379">
        <f t="shared" si="418"/>
        <v>0</v>
      </c>
      <c r="AF74" s="379">
        <f t="shared" si="418"/>
        <v>0</v>
      </c>
      <c r="AG74" s="379">
        <f t="shared" si="418"/>
        <v>0</v>
      </c>
      <c r="AH74" s="474">
        <f t="shared" si="418"/>
        <v>0</v>
      </c>
      <c r="AI74" s="379">
        <f t="shared" si="418"/>
        <v>0</v>
      </c>
      <c r="AJ74" s="474">
        <f t="shared" si="418"/>
        <v>179.46</v>
      </c>
      <c r="AK74" s="379">
        <f t="shared" si="418"/>
        <v>0</v>
      </c>
      <c r="AL74" s="379">
        <f t="shared" si="418"/>
        <v>0</v>
      </c>
      <c r="AM74" s="474">
        <f t="shared" si="419"/>
        <v>0</v>
      </c>
      <c r="AN74" s="379">
        <f t="shared" si="419"/>
        <v>0</v>
      </c>
      <c r="AO74" s="379">
        <f t="shared" si="419"/>
        <v>0</v>
      </c>
      <c r="AP74" s="379">
        <f t="shared" si="419"/>
        <v>0</v>
      </c>
      <c r="AQ74" s="379">
        <f t="shared" si="419"/>
        <v>0</v>
      </c>
      <c r="AR74" s="379">
        <f t="shared" si="419"/>
        <v>0</v>
      </c>
      <c r="AS74" s="379">
        <f t="shared" si="419"/>
        <v>0</v>
      </c>
      <c r="AT74" s="379">
        <f t="shared" si="419"/>
        <v>0</v>
      </c>
      <c r="AU74" s="379">
        <f t="shared" si="419"/>
        <v>0</v>
      </c>
      <c r="AV74" s="379"/>
      <c r="AW74" s="379"/>
      <c r="AX74" s="379">
        <f t="shared" si="420"/>
        <v>0</v>
      </c>
      <c r="AY74" s="379">
        <f t="shared" si="420"/>
        <v>0</v>
      </c>
      <c r="AZ74" s="379">
        <f t="shared" si="420"/>
        <v>0</v>
      </c>
      <c r="BA74" s="379">
        <f t="shared" si="420"/>
        <v>0</v>
      </c>
      <c r="BB74" s="379">
        <f t="shared" si="420"/>
        <v>0</v>
      </c>
      <c r="BC74" s="379">
        <f t="shared" si="420"/>
        <v>0</v>
      </c>
      <c r="BD74" s="379">
        <f t="shared" si="420"/>
        <v>0</v>
      </c>
      <c r="BE74" s="379">
        <f t="shared" si="420"/>
        <v>179.46</v>
      </c>
      <c r="BF74" s="379">
        <f t="shared" si="420"/>
        <v>0</v>
      </c>
      <c r="BG74" s="379">
        <f t="shared" si="420"/>
        <v>0</v>
      </c>
      <c r="BH74" s="379">
        <f t="shared" si="421"/>
        <v>0</v>
      </c>
      <c r="BI74" s="379">
        <f t="shared" si="421"/>
        <v>0</v>
      </c>
      <c r="BJ74" s="379">
        <f t="shared" si="421"/>
        <v>0</v>
      </c>
      <c r="BK74" s="379">
        <f t="shared" si="421"/>
        <v>0</v>
      </c>
      <c r="BL74" s="379">
        <f t="shared" si="421"/>
        <v>0</v>
      </c>
      <c r="BM74" s="379">
        <f t="shared" si="421"/>
        <v>0</v>
      </c>
      <c r="BN74" s="379">
        <f t="shared" si="421"/>
        <v>0</v>
      </c>
      <c r="BO74" s="379">
        <f t="shared" si="421"/>
        <v>0</v>
      </c>
      <c r="BP74" s="379">
        <f t="shared" si="421"/>
        <v>0</v>
      </c>
      <c r="BQ74" s="379">
        <f t="shared" si="421"/>
        <v>0</v>
      </c>
      <c r="BR74" s="404">
        <f t="shared" ref="BR74:BR154" si="422">SUM(AC74:AV74)-SUM(AX74:BQ74)</f>
        <v>0</v>
      </c>
    </row>
    <row r="75" spans="1:70" ht="14.45" customHeight="1" x14ac:dyDescent="0.25">
      <c r="A75" s="382" t="s">
        <v>137</v>
      </c>
      <c r="B75" s="472"/>
      <c r="C75" s="473"/>
      <c r="D75" s="474">
        <v>28000</v>
      </c>
      <c r="E75" s="473" t="s">
        <v>240</v>
      </c>
      <c r="F75" s="476"/>
      <c r="G75" s="476"/>
      <c r="H75" s="476"/>
      <c r="I75" s="476"/>
      <c r="J75" s="476"/>
      <c r="K75" s="476"/>
      <c r="L75" s="475">
        <v>0</v>
      </c>
      <c r="M75" s="475">
        <v>0</v>
      </c>
      <c r="N75" s="475">
        <v>0</v>
      </c>
      <c r="O75" s="475">
        <v>0</v>
      </c>
      <c r="P75" s="475">
        <v>1</v>
      </c>
      <c r="Q75" s="476"/>
      <c r="R75" s="476"/>
      <c r="S75" s="476"/>
      <c r="T75" s="476"/>
      <c r="U75" s="476"/>
      <c r="V75" s="476"/>
      <c r="W75" s="476"/>
      <c r="X75" s="476"/>
      <c r="Y75" s="476"/>
      <c r="Z75" s="477">
        <f>SUM(F75:X75)</f>
        <v>1</v>
      </c>
      <c r="AA75" s="473"/>
      <c r="AB75" s="473"/>
      <c r="AC75" s="379">
        <f t="shared" si="418"/>
        <v>0</v>
      </c>
      <c r="AD75" s="379">
        <f t="shared" si="418"/>
        <v>0</v>
      </c>
      <c r="AE75" s="379">
        <f t="shared" si="418"/>
        <v>0</v>
      </c>
      <c r="AF75" s="379">
        <f t="shared" si="418"/>
        <v>0</v>
      </c>
      <c r="AG75" s="379">
        <f t="shared" si="418"/>
        <v>0</v>
      </c>
      <c r="AH75" s="474">
        <f t="shared" si="418"/>
        <v>0</v>
      </c>
      <c r="AI75" s="379">
        <f t="shared" si="418"/>
        <v>0</v>
      </c>
      <c r="AJ75" s="474">
        <f t="shared" si="418"/>
        <v>0</v>
      </c>
      <c r="AK75" s="474">
        <f t="shared" si="418"/>
        <v>0</v>
      </c>
      <c r="AL75" s="379">
        <f t="shared" si="418"/>
        <v>0</v>
      </c>
      <c r="AM75" s="474">
        <f t="shared" si="419"/>
        <v>28000</v>
      </c>
      <c r="AN75" s="379">
        <f t="shared" si="419"/>
        <v>0</v>
      </c>
      <c r="AO75" s="379">
        <f t="shared" si="419"/>
        <v>0</v>
      </c>
      <c r="AP75" s="379">
        <f t="shared" si="419"/>
        <v>0</v>
      </c>
      <c r="AQ75" s="379">
        <f t="shared" si="419"/>
        <v>0</v>
      </c>
      <c r="AR75" s="379">
        <f t="shared" si="419"/>
        <v>0</v>
      </c>
      <c r="AS75" s="379">
        <f t="shared" si="419"/>
        <v>0</v>
      </c>
      <c r="AT75" s="379">
        <f t="shared" si="419"/>
        <v>0</v>
      </c>
      <c r="AU75" s="379">
        <f t="shared" si="419"/>
        <v>0</v>
      </c>
      <c r="AV75" s="379"/>
      <c r="AW75" s="379"/>
      <c r="AX75" s="379">
        <f t="shared" si="420"/>
        <v>0</v>
      </c>
      <c r="AY75" s="379">
        <f t="shared" si="420"/>
        <v>0</v>
      </c>
      <c r="AZ75" s="379">
        <f t="shared" si="420"/>
        <v>0</v>
      </c>
      <c r="BA75" s="379">
        <f t="shared" si="420"/>
        <v>0</v>
      </c>
      <c r="BB75" s="379">
        <f t="shared" si="420"/>
        <v>0</v>
      </c>
      <c r="BC75" s="379">
        <f t="shared" si="420"/>
        <v>0</v>
      </c>
      <c r="BD75" s="379">
        <f t="shared" si="420"/>
        <v>0</v>
      </c>
      <c r="BE75" s="379">
        <f t="shared" si="420"/>
        <v>0</v>
      </c>
      <c r="BF75" s="474">
        <f t="shared" si="420"/>
        <v>28000</v>
      </c>
      <c r="BG75" s="379">
        <f t="shared" si="420"/>
        <v>0</v>
      </c>
      <c r="BH75" s="379">
        <f t="shared" si="421"/>
        <v>0</v>
      </c>
      <c r="BI75" s="379">
        <f t="shared" si="421"/>
        <v>0</v>
      </c>
      <c r="BJ75" s="379">
        <f t="shared" si="421"/>
        <v>0</v>
      </c>
      <c r="BK75" s="379">
        <f t="shared" si="421"/>
        <v>0</v>
      </c>
      <c r="BL75" s="379">
        <f t="shared" si="421"/>
        <v>0</v>
      </c>
      <c r="BM75" s="379">
        <f t="shared" si="421"/>
        <v>0</v>
      </c>
      <c r="BN75" s="379">
        <f t="shared" si="421"/>
        <v>0</v>
      </c>
      <c r="BO75" s="379">
        <f t="shared" si="421"/>
        <v>0</v>
      </c>
      <c r="BP75" s="379">
        <f t="shared" si="421"/>
        <v>0</v>
      </c>
      <c r="BQ75" s="379">
        <f t="shared" si="421"/>
        <v>0</v>
      </c>
      <c r="BR75" s="404">
        <f t="shared" si="422"/>
        <v>0</v>
      </c>
    </row>
    <row r="76" spans="1:70" s="288" customFormat="1" ht="14.45" customHeight="1" x14ac:dyDescent="0.25">
      <c r="A76" s="382" t="s">
        <v>140</v>
      </c>
      <c r="B76" s="472"/>
      <c r="C76" s="473"/>
      <c r="D76" s="474">
        <f>6000-3990.93</f>
        <v>2009.0700000000002</v>
      </c>
      <c r="E76" s="473" t="s">
        <v>240</v>
      </c>
      <c r="F76" s="476"/>
      <c r="G76" s="476"/>
      <c r="H76" s="476"/>
      <c r="I76" s="476"/>
      <c r="J76" s="476"/>
      <c r="K76" s="475"/>
      <c r="L76" s="475">
        <v>0</v>
      </c>
      <c r="M76" s="475">
        <v>0</v>
      </c>
      <c r="N76" s="475">
        <v>0.42582886609227155</v>
      </c>
      <c r="O76" s="475">
        <v>0.57417113390772845</v>
      </c>
      <c r="P76" s="475">
        <f>1-N76-O76</f>
        <v>0</v>
      </c>
      <c r="Q76" s="475"/>
      <c r="R76" s="475">
        <v>0</v>
      </c>
      <c r="S76" s="475">
        <v>0</v>
      </c>
      <c r="T76" s="475">
        <v>0</v>
      </c>
      <c r="U76" s="475"/>
      <c r="V76" s="475"/>
      <c r="W76" s="475"/>
      <c r="X76" s="475"/>
      <c r="Y76" s="475"/>
      <c r="Z76" s="477">
        <f t="shared" ref="Z76" si="423">SUM(F76:X76)</f>
        <v>1</v>
      </c>
      <c r="AA76" s="473"/>
      <c r="AB76" s="473"/>
      <c r="AC76" s="379">
        <f t="shared" si="418"/>
        <v>0</v>
      </c>
      <c r="AD76" s="379">
        <f t="shared" si="418"/>
        <v>0</v>
      </c>
      <c r="AE76" s="379">
        <f t="shared" si="418"/>
        <v>0</v>
      </c>
      <c r="AF76" s="379">
        <f t="shared" si="418"/>
        <v>0</v>
      </c>
      <c r="AG76" s="379">
        <f t="shared" si="418"/>
        <v>0</v>
      </c>
      <c r="AH76" s="474">
        <f t="shared" si="418"/>
        <v>0</v>
      </c>
      <c r="AI76" s="379">
        <f t="shared" si="418"/>
        <v>0</v>
      </c>
      <c r="AJ76" s="474">
        <f t="shared" si="418"/>
        <v>0</v>
      </c>
      <c r="AK76" s="474">
        <f t="shared" si="418"/>
        <v>855.5200000000001</v>
      </c>
      <c r="AL76" s="474">
        <f t="shared" si="418"/>
        <v>1153.5500000000002</v>
      </c>
      <c r="AM76" s="474">
        <f t="shared" si="419"/>
        <v>0</v>
      </c>
      <c r="AN76" s="379">
        <f t="shared" si="419"/>
        <v>0</v>
      </c>
      <c r="AO76" s="379">
        <f t="shared" si="419"/>
        <v>0</v>
      </c>
      <c r="AP76" s="379">
        <f t="shared" si="419"/>
        <v>0</v>
      </c>
      <c r="AQ76" s="379">
        <f t="shared" si="419"/>
        <v>0</v>
      </c>
      <c r="AR76" s="379">
        <f t="shared" si="419"/>
        <v>0</v>
      </c>
      <c r="AS76" s="379">
        <f t="shared" si="419"/>
        <v>0</v>
      </c>
      <c r="AT76" s="379">
        <f t="shared" si="419"/>
        <v>0</v>
      </c>
      <c r="AU76" s="379">
        <f t="shared" si="419"/>
        <v>0</v>
      </c>
      <c r="AV76" s="379"/>
      <c r="AW76" s="379"/>
      <c r="AX76" s="379">
        <f t="shared" si="420"/>
        <v>0</v>
      </c>
      <c r="AY76" s="379">
        <f t="shared" si="420"/>
        <v>0</v>
      </c>
      <c r="AZ76" s="379">
        <f t="shared" si="420"/>
        <v>0</v>
      </c>
      <c r="BA76" s="379">
        <f t="shared" si="420"/>
        <v>0</v>
      </c>
      <c r="BB76" s="379">
        <f t="shared" si="420"/>
        <v>0</v>
      </c>
      <c r="BC76" s="379">
        <f t="shared" si="420"/>
        <v>0</v>
      </c>
      <c r="BD76" s="379">
        <f t="shared" si="420"/>
        <v>0</v>
      </c>
      <c r="BE76" s="379">
        <f t="shared" si="420"/>
        <v>0</v>
      </c>
      <c r="BF76" s="379">
        <f t="shared" si="420"/>
        <v>2009.0700000000002</v>
      </c>
      <c r="BG76" s="379">
        <f t="shared" si="420"/>
        <v>0</v>
      </c>
      <c r="BH76" s="379">
        <f t="shared" si="421"/>
        <v>0</v>
      </c>
      <c r="BI76" s="379">
        <f t="shared" si="421"/>
        <v>0</v>
      </c>
      <c r="BJ76" s="379">
        <f t="shared" si="421"/>
        <v>0</v>
      </c>
      <c r="BK76" s="379">
        <f t="shared" si="421"/>
        <v>0</v>
      </c>
      <c r="BL76" s="379">
        <f t="shared" si="421"/>
        <v>0</v>
      </c>
      <c r="BM76" s="379">
        <f t="shared" si="421"/>
        <v>0</v>
      </c>
      <c r="BN76" s="379">
        <f t="shared" si="421"/>
        <v>0</v>
      </c>
      <c r="BO76" s="379">
        <f t="shared" si="421"/>
        <v>0</v>
      </c>
      <c r="BP76" s="379">
        <f t="shared" si="421"/>
        <v>0</v>
      </c>
      <c r="BQ76" s="379">
        <f t="shared" si="421"/>
        <v>0</v>
      </c>
      <c r="BR76" s="404">
        <f t="shared" si="422"/>
        <v>0</v>
      </c>
    </row>
    <row r="77" spans="1:70" s="288" customFormat="1" ht="14.45" customHeight="1" x14ac:dyDescent="0.25">
      <c r="A77" s="382" t="s">
        <v>140</v>
      </c>
      <c r="B77" s="472"/>
      <c r="C77" s="473"/>
      <c r="D77" s="474">
        <v>563.15</v>
      </c>
      <c r="E77" s="473" t="s">
        <v>240</v>
      </c>
      <c r="F77" s="476"/>
      <c r="G77" s="476"/>
      <c r="H77" s="476"/>
      <c r="I77" s="476"/>
      <c r="J77" s="476"/>
      <c r="K77" s="475"/>
      <c r="L77" s="475">
        <v>0</v>
      </c>
      <c r="M77" s="475">
        <v>0</v>
      </c>
      <c r="N77" s="475">
        <v>1</v>
      </c>
      <c r="O77" s="476"/>
      <c r="P77" s="476"/>
      <c r="Q77" s="475">
        <v>0</v>
      </c>
      <c r="R77" s="475">
        <v>0</v>
      </c>
      <c r="S77" s="475">
        <v>0</v>
      </c>
      <c r="T77" s="475">
        <v>0</v>
      </c>
      <c r="U77" s="475"/>
      <c r="V77" s="475"/>
      <c r="W77" s="475"/>
      <c r="X77" s="475"/>
      <c r="Y77" s="475"/>
      <c r="Z77" s="477">
        <f t="shared" ref="Z77" si="424">SUM(F77:X77)</f>
        <v>1</v>
      </c>
      <c r="AA77" s="473"/>
      <c r="AB77" s="473"/>
      <c r="AC77" s="379">
        <f t="shared" si="418"/>
        <v>0</v>
      </c>
      <c r="AD77" s="379">
        <f t="shared" si="418"/>
        <v>0</v>
      </c>
      <c r="AE77" s="379">
        <f t="shared" si="418"/>
        <v>0</v>
      </c>
      <c r="AF77" s="379">
        <f t="shared" si="418"/>
        <v>0</v>
      </c>
      <c r="AG77" s="379">
        <f t="shared" si="418"/>
        <v>0</v>
      </c>
      <c r="AH77" s="474">
        <f t="shared" si="418"/>
        <v>0</v>
      </c>
      <c r="AI77" s="379">
        <f t="shared" si="418"/>
        <v>0</v>
      </c>
      <c r="AJ77" s="474">
        <f t="shared" si="418"/>
        <v>0</v>
      </c>
      <c r="AK77" s="474">
        <f t="shared" si="418"/>
        <v>563.15</v>
      </c>
      <c r="AL77" s="379">
        <f t="shared" si="418"/>
        <v>0</v>
      </c>
      <c r="AM77" s="474">
        <f t="shared" si="419"/>
        <v>0</v>
      </c>
      <c r="AN77" s="379">
        <f t="shared" si="419"/>
        <v>0</v>
      </c>
      <c r="AO77" s="379">
        <f t="shared" si="419"/>
        <v>0</v>
      </c>
      <c r="AP77" s="379">
        <f t="shared" si="419"/>
        <v>0</v>
      </c>
      <c r="AQ77" s="379">
        <f t="shared" si="419"/>
        <v>0</v>
      </c>
      <c r="AR77" s="379">
        <f t="shared" si="419"/>
        <v>0</v>
      </c>
      <c r="AS77" s="379">
        <f t="shared" si="419"/>
        <v>0</v>
      </c>
      <c r="AT77" s="379">
        <f t="shared" si="419"/>
        <v>0</v>
      </c>
      <c r="AU77" s="379">
        <f t="shared" si="419"/>
        <v>0</v>
      </c>
      <c r="AV77" s="379"/>
      <c r="AW77" s="379"/>
      <c r="AX77" s="379">
        <f t="shared" si="420"/>
        <v>0</v>
      </c>
      <c r="AY77" s="379">
        <f t="shared" si="420"/>
        <v>0</v>
      </c>
      <c r="AZ77" s="379">
        <f t="shared" si="420"/>
        <v>0</v>
      </c>
      <c r="BA77" s="379">
        <f t="shared" si="420"/>
        <v>0</v>
      </c>
      <c r="BB77" s="379">
        <f t="shared" si="420"/>
        <v>0</v>
      </c>
      <c r="BC77" s="379">
        <f t="shared" si="420"/>
        <v>0</v>
      </c>
      <c r="BD77" s="379">
        <f t="shared" si="420"/>
        <v>0</v>
      </c>
      <c r="BE77" s="379">
        <f t="shared" si="420"/>
        <v>0</v>
      </c>
      <c r="BF77" s="474">
        <f t="shared" si="420"/>
        <v>563.15</v>
      </c>
      <c r="BG77" s="379">
        <f t="shared" si="420"/>
        <v>0</v>
      </c>
      <c r="BH77" s="379">
        <f t="shared" si="421"/>
        <v>0</v>
      </c>
      <c r="BI77" s="379">
        <f t="shared" si="421"/>
        <v>0</v>
      </c>
      <c r="BJ77" s="379">
        <f t="shared" si="421"/>
        <v>0</v>
      </c>
      <c r="BK77" s="379">
        <f t="shared" si="421"/>
        <v>0</v>
      </c>
      <c r="BL77" s="379">
        <f t="shared" si="421"/>
        <v>0</v>
      </c>
      <c r="BM77" s="379">
        <f t="shared" si="421"/>
        <v>0</v>
      </c>
      <c r="BN77" s="379">
        <f t="shared" si="421"/>
        <v>0</v>
      </c>
      <c r="BO77" s="379">
        <f t="shared" si="421"/>
        <v>0</v>
      </c>
      <c r="BP77" s="379">
        <f t="shared" si="421"/>
        <v>0</v>
      </c>
      <c r="BQ77" s="379">
        <f t="shared" si="421"/>
        <v>0</v>
      </c>
      <c r="BR77" s="404">
        <f t="shared" si="422"/>
        <v>0</v>
      </c>
    </row>
    <row r="78" spans="1:70" s="288" customFormat="1" ht="14.45" customHeight="1" x14ac:dyDescent="0.25">
      <c r="A78" s="382" t="s">
        <v>140</v>
      </c>
      <c r="B78" s="472"/>
      <c r="C78" s="473"/>
      <c r="D78" s="474">
        <v>2713.73</v>
      </c>
      <c r="E78" s="473" t="s">
        <v>239</v>
      </c>
      <c r="F78" s="476"/>
      <c r="G78" s="476"/>
      <c r="H78" s="476"/>
      <c r="I78" s="476"/>
      <c r="J78" s="476"/>
      <c r="K78" s="475"/>
      <c r="L78" s="475">
        <v>0</v>
      </c>
      <c r="M78" s="475">
        <v>0</v>
      </c>
      <c r="N78" s="475">
        <v>0</v>
      </c>
      <c r="O78" s="475">
        <v>1</v>
      </c>
      <c r="P78" s="476"/>
      <c r="Q78" s="475">
        <v>0</v>
      </c>
      <c r="R78" s="475">
        <v>0</v>
      </c>
      <c r="S78" s="475">
        <v>0</v>
      </c>
      <c r="T78" s="475">
        <v>0</v>
      </c>
      <c r="U78" s="475"/>
      <c r="V78" s="475"/>
      <c r="W78" s="475"/>
      <c r="X78" s="475"/>
      <c r="Y78" s="475"/>
      <c r="Z78" s="477">
        <f t="shared" ref="Z78" si="425">SUM(F78:X78)</f>
        <v>1</v>
      </c>
      <c r="AA78" s="473"/>
      <c r="AB78" s="473"/>
      <c r="AC78" s="379">
        <f t="shared" si="418"/>
        <v>0</v>
      </c>
      <c r="AD78" s="379">
        <f t="shared" si="418"/>
        <v>0</v>
      </c>
      <c r="AE78" s="379">
        <f t="shared" si="418"/>
        <v>0</v>
      </c>
      <c r="AF78" s="379">
        <f t="shared" si="418"/>
        <v>0</v>
      </c>
      <c r="AG78" s="379">
        <f t="shared" si="418"/>
        <v>0</v>
      </c>
      <c r="AH78" s="474">
        <f t="shared" si="418"/>
        <v>0</v>
      </c>
      <c r="AI78" s="379">
        <f t="shared" si="418"/>
        <v>0</v>
      </c>
      <c r="AJ78" s="474">
        <f t="shared" si="418"/>
        <v>0</v>
      </c>
      <c r="AK78" s="474">
        <f t="shared" si="418"/>
        <v>0</v>
      </c>
      <c r="AL78" s="379">
        <f t="shared" si="418"/>
        <v>2713.73</v>
      </c>
      <c r="AM78" s="474">
        <f t="shared" si="419"/>
        <v>0</v>
      </c>
      <c r="AN78" s="379">
        <f t="shared" si="419"/>
        <v>0</v>
      </c>
      <c r="AO78" s="379">
        <f t="shared" si="419"/>
        <v>0</v>
      </c>
      <c r="AP78" s="379">
        <f t="shared" si="419"/>
        <v>0</v>
      </c>
      <c r="AQ78" s="379">
        <f t="shared" si="419"/>
        <v>0</v>
      </c>
      <c r="AR78" s="379">
        <f t="shared" si="419"/>
        <v>0</v>
      </c>
      <c r="AS78" s="379">
        <f t="shared" si="419"/>
        <v>0</v>
      </c>
      <c r="AT78" s="379">
        <f t="shared" si="419"/>
        <v>0</v>
      </c>
      <c r="AU78" s="379">
        <f t="shared" si="419"/>
        <v>0</v>
      </c>
      <c r="AV78" s="379"/>
      <c r="AW78" s="379"/>
      <c r="AX78" s="379">
        <f t="shared" si="420"/>
        <v>0</v>
      </c>
      <c r="AY78" s="379">
        <f t="shared" si="420"/>
        <v>0</v>
      </c>
      <c r="AZ78" s="379">
        <f t="shared" si="420"/>
        <v>0</v>
      </c>
      <c r="BA78" s="379">
        <f t="shared" si="420"/>
        <v>0</v>
      </c>
      <c r="BB78" s="379">
        <f t="shared" si="420"/>
        <v>0</v>
      </c>
      <c r="BC78" s="379">
        <f t="shared" si="420"/>
        <v>0</v>
      </c>
      <c r="BD78" s="379">
        <f t="shared" si="420"/>
        <v>0</v>
      </c>
      <c r="BE78" s="379">
        <f t="shared" si="420"/>
        <v>0</v>
      </c>
      <c r="BF78" s="474">
        <f t="shared" si="420"/>
        <v>0</v>
      </c>
      <c r="BG78" s="379">
        <f t="shared" si="420"/>
        <v>2713.73</v>
      </c>
      <c r="BH78" s="379">
        <f t="shared" si="421"/>
        <v>0</v>
      </c>
      <c r="BI78" s="379">
        <f t="shared" si="421"/>
        <v>0</v>
      </c>
      <c r="BJ78" s="379">
        <f t="shared" si="421"/>
        <v>0</v>
      </c>
      <c r="BK78" s="379">
        <f t="shared" si="421"/>
        <v>0</v>
      </c>
      <c r="BL78" s="379">
        <f t="shared" si="421"/>
        <v>0</v>
      </c>
      <c r="BM78" s="379">
        <f t="shared" si="421"/>
        <v>0</v>
      </c>
      <c r="BN78" s="379">
        <f t="shared" si="421"/>
        <v>0</v>
      </c>
      <c r="BO78" s="379">
        <f t="shared" si="421"/>
        <v>0</v>
      </c>
      <c r="BP78" s="379">
        <f t="shared" si="421"/>
        <v>0</v>
      </c>
      <c r="BQ78" s="379">
        <f t="shared" si="421"/>
        <v>0</v>
      </c>
      <c r="BR78" s="404">
        <f t="shared" si="422"/>
        <v>0</v>
      </c>
    </row>
    <row r="79" spans="1:70" s="288" customFormat="1" ht="14.45" customHeight="1" x14ac:dyDescent="0.25">
      <c r="A79" s="382" t="s">
        <v>137</v>
      </c>
      <c r="B79" s="472"/>
      <c r="C79" s="473"/>
      <c r="D79" s="474">
        <v>50000</v>
      </c>
      <c r="E79" s="473" t="s">
        <v>257</v>
      </c>
      <c r="F79" s="476"/>
      <c r="G79" s="476"/>
      <c r="H79" s="476"/>
      <c r="I79" s="476"/>
      <c r="J79" s="476"/>
      <c r="K79" s="475"/>
      <c r="L79" s="475">
        <v>0</v>
      </c>
      <c r="M79" s="475">
        <v>0</v>
      </c>
      <c r="N79" s="475">
        <v>0</v>
      </c>
      <c r="O79" s="475">
        <v>0</v>
      </c>
      <c r="P79" s="475">
        <v>0</v>
      </c>
      <c r="Q79" s="475">
        <v>0.222552</v>
      </c>
      <c r="R79" s="475">
        <v>0</v>
      </c>
      <c r="S79" s="475">
        <v>0.2170502</v>
      </c>
      <c r="T79" s="475">
        <v>0.03</v>
      </c>
      <c r="U79" s="475">
        <v>0.53039780000000003</v>
      </c>
      <c r="V79" s="475">
        <f>1-(Q79+R79+S79+T79+U79)</f>
        <v>0</v>
      </c>
      <c r="W79" s="475"/>
      <c r="X79" s="475"/>
      <c r="Y79" s="475"/>
      <c r="Z79" s="477">
        <f t="shared" ref="Z79" si="426">SUM(F79:X79)</f>
        <v>1</v>
      </c>
      <c r="AA79" s="473"/>
      <c r="AB79" s="473"/>
      <c r="AC79" s="379">
        <f t="shared" si="418"/>
        <v>0</v>
      </c>
      <c r="AD79" s="379">
        <f t="shared" si="418"/>
        <v>0</v>
      </c>
      <c r="AE79" s="379">
        <f t="shared" si="418"/>
        <v>0</v>
      </c>
      <c r="AF79" s="379">
        <f t="shared" si="418"/>
        <v>0</v>
      </c>
      <c r="AG79" s="379">
        <f t="shared" si="418"/>
        <v>0</v>
      </c>
      <c r="AH79" s="474">
        <f t="shared" si="418"/>
        <v>0</v>
      </c>
      <c r="AI79" s="379">
        <f t="shared" si="418"/>
        <v>0</v>
      </c>
      <c r="AJ79" s="474">
        <f t="shared" si="418"/>
        <v>0</v>
      </c>
      <c r="AK79" s="379">
        <f t="shared" si="418"/>
        <v>0</v>
      </c>
      <c r="AL79" s="379">
        <f t="shared" si="418"/>
        <v>0</v>
      </c>
      <c r="AM79" s="474">
        <f t="shared" si="419"/>
        <v>0</v>
      </c>
      <c r="AN79" s="479">
        <f t="shared" si="419"/>
        <v>11127.6</v>
      </c>
      <c r="AO79" s="379">
        <f t="shared" si="419"/>
        <v>0</v>
      </c>
      <c r="AP79" s="479">
        <f t="shared" si="419"/>
        <v>10852.51</v>
      </c>
      <c r="AQ79" s="379">
        <f t="shared" si="419"/>
        <v>1500</v>
      </c>
      <c r="AR79" s="379">
        <f t="shared" si="419"/>
        <v>26519.890000000003</v>
      </c>
      <c r="AS79" s="379">
        <f t="shared" si="419"/>
        <v>0</v>
      </c>
      <c r="AT79" s="379">
        <f t="shared" si="419"/>
        <v>0</v>
      </c>
      <c r="AU79" s="379">
        <f t="shared" si="419"/>
        <v>0</v>
      </c>
      <c r="AV79" s="379"/>
      <c r="AW79" s="379"/>
      <c r="AX79" s="379">
        <f t="shared" si="420"/>
        <v>0</v>
      </c>
      <c r="AY79" s="379">
        <f t="shared" si="420"/>
        <v>0</v>
      </c>
      <c r="AZ79" s="379">
        <f t="shared" si="420"/>
        <v>0</v>
      </c>
      <c r="BA79" s="379">
        <f t="shared" si="420"/>
        <v>0</v>
      </c>
      <c r="BB79" s="379">
        <f t="shared" si="420"/>
        <v>0</v>
      </c>
      <c r="BC79" s="379">
        <f t="shared" si="420"/>
        <v>0</v>
      </c>
      <c r="BD79" s="379">
        <f t="shared" si="420"/>
        <v>0</v>
      </c>
      <c r="BE79" s="379">
        <f t="shared" si="420"/>
        <v>0</v>
      </c>
      <c r="BF79" s="379">
        <f t="shared" si="420"/>
        <v>0</v>
      </c>
      <c r="BG79" s="379">
        <f t="shared" si="420"/>
        <v>0</v>
      </c>
      <c r="BH79" s="379">
        <f t="shared" si="421"/>
        <v>50000</v>
      </c>
      <c r="BI79" s="379">
        <f t="shared" si="421"/>
        <v>0</v>
      </c>
      <c r="BJ79" s="379">
        <f t="shared" si="421"/>
        <v>0</v>
      </c>
      <c r="BK79" s="379">
        <f t="shared" si="421"/>
        <v>0</v>
      </c>
      <c r="BL79" s="379">
        <f t="shared" si="421"/>
        <v>0</v>
      </c>
      <c r="BM79" s="379">
        <f t="shared" si="421"/>
        <v>0</v>
      </c>
      <c r="BN79" s="379">
        <f t="shared" si="421"/>
        <v>0</v>
      </c>
      <c r="BO79" s="379">
        <f t="shared" si="421"/>
        <v>0</v>
      </c>
      <c r="BP79" s="379">
        <f t="shared" si="421"/>
        <v>0</v>
      </c>
      <c r="BQ79" s="379">
        <f t="shared" si="421"/>
        <v>0</v>
      </c>
      <c r="BR79" s="404">
        <f t="shared" si="422"/>
        <v>0</v>
      </c>
    </row>
    <row r="80" spans="1:70" s="288" customFormat="1" ht="14.25" customHeight="1" x14ac:dyDescent="0.25">
      <c r="A80" s="382" t="s">
        <v>137</v>
      </c>
      <c r="B80" s="472"/>
      <c r="C80" s="473"/>
      <c r="D80" s="474">
        <v>80000</v>
      </c>
      <c r="E80" s="473" t="s">
        <v>257</v>
      </c>
      <c r="F80" s="476"/>
      <c r="G80" s="476"/>
      <c r="H80" s="476"/>
      <c r="I80" s="476"/>
      <c r="J80" s="476"/>
      <c r="K80" s="475"/>
      <c r="L80" s="475">
        <v>0</v>
      </c>
      <c r="M80" s="475">
        <v>0</v>
      </c>
      <c r="N80" s="475">
        <v>0</v>
      </c>
      <c r="O80" s="475">
        <v>0</v>
      </c>
      <c r="P80" s="475">
        <v>0</v>
      </c>
      <c r="Q80" s="475">
        <v>0.154189875</v>
      </c>
      <c r="R80" s="475">
        <v>0</v>
      </c>
      <c r="S80" s="475">
        <v>0</v>
      </c>
      <c r="T80" s="475">
        <v>0</v>
      </c>
      <c r="U80" s="475">
        <v>0</v>
      </c>
      <c r="V80" s="475">
        <v>0</v>
      </c>
      <c r="W80" s="475">
        <v>0</v>
      </c>
      <c r="X80" s="475">
        <v>0.84581012499999997</v>
      </c>
      <c r="Y80" s="475"/>
      <c r="Z80" s="477">
        <f t="shared" ref="Z80" si="427">SUM(F80:X80)</f>
        <v>1</v>
      </c>
      <c r="AA80" s="473"/>
      <c r="AB80" s="473"/>
      <c r="AC80" s="379">
        <f t="shared" si="418"/>
        <v>0</v>
      </c>
      <c r="AD80" s="379">
        <f t="shared" si="418"/>
        <v>0</v>
      </c>
      <c r="AE80" s="379">
        <f t="shared" si="418"/>
        <v>0</v>
      </c>
      <c r="AF80" s="379">
        <f t="shared" si="418"/>
        <v>0</v>
      </c>
      <c r="AG80" s="379">
        <f t="shared" si="418"/>
        <v>0</v>
      </c>
      <c r="AH80" s="474">
        <f t="shared" si="418"/>
        <v>0</v>
      </c>
      <c r="AI80" s="379">
        <f t="shared" si="418"/>
        <v>0</v>
      </c>
      <c r="AJ80" s="474">
        <f t="shared" si="418"/>
        <v>0</v>
      </c>
      <c r="AK80" s="379">
        <f t="shared" si="418"/>
        <v>0</v>
      </c>
      <c r="AL80" s="379">
        <f t="shared" si="418"/>
        <v>0</v>
      </c>
      <c r="AM80" s="474">
        <f t="shared" si="419"/>
        <v>0</v>
      </c>
      <c r="AN80" s="479">
        <f t="shared" si="419"/>
        <v>12335.19</v>
      </c>
      <c r="AO80" s="379">
        <f t="shared" si="419"/>
        <v>0</v>
      </c>
      <c r="AP80" s="379">
        <f t="shared" si="419"/>
        <v>0</v>
      </c>
      <c r="AQ80" s="379">
        <f t="shared" si="419"/>
        <v>0</v>
      </c>
      <c r="AR80" s="379">
        <f t="shared" si="419"/>
        <v>0</v>
      </c>
      <c r="AS80" s="379">
        <f t="shared" si="419"/>
        <v>0</v>
      </c>
      <c r="AT80" s="379">
        <f t="shared" si="419"/>
        <v>0</v>
      </c>
      <c r="AU80" s="479">
        <f t="shared" si="419"/>
        <v>67664.81</v>
      </c>
      <c r="AV80" s="379"/>
      <c r="AW80" s="379"/>
      <c r="AX80" s="379">
        <f t="shared" si="420"/>
        <v>0</v>
      </c>
      <c r="AY80" s="379">
        <f t="shared" si="420"/>
        <v>0</v>
      </c>
      <c r="AZ80" s="379">
        <f t="shared" si="420"/>
        <v>0</v>
      </c>
      <c r="BA80" s="379">
        <f t="shared" si="420"/>
        <v>0</v>
      </c>
      <c r="BB80" s="379">
        <f t="shared" si="420"/>
        <v>0</v>
      </c>
      <c r="BC80" s="379">
        <f t="shared" si="420"/>
        <v>0</v>
      </c>
      <c r="BD80" s="379">
        <f t="shared" si="420"/>
        <v>0</v>
      </c>
      <c r="BE80" s="379">
        <f t="shared" si="420"/>
        <v>0</v>
      </c>
      <c r="BF80" s="379">
        <f t="shared" si="420"/>
        <v>0</v>
      </c>
      <c r="BG80" s="379">
        <f t="shared" si="420"/>
        <v>0</v>
      </c>
      <c r="BH80" s="379">
        <f t="shared" si="421"/>
        <v>80000</v>
      </c>
      <c r="BI80" s="379">
        <f t="shared" si="421"/>
        <v>0</v>
      </c>
      <c r="BJ80" s="379">
        <f t="shared" si="421"/>
        <v>0</v>
      </c>
      <c r="BK80" s="379">
        <f t="shared" si="421"/>
        <v>0</v>
      </c>
      <c r="BL80" s="379">
        <f t="shared" si="421"/>
        <v>0</v>
      </c>
      <c r="BM80" s="379">
        <f t="shared" si="421"/>
        <v>0</v>
      </c>
      <c r="BN80" s="379">
        <f t="shared" si="421"/>
        <v>0</v>
      </c>
      <c r="BO80" s="379">
        <f t="shared" si="421"/>
        <v>0</v>
      </c>
      <c r="BP80" s="379">
        <f t="shared" si="421"/>
        <v>0</v>
      </c>
      <c r="BQ80" s="379">
        <f t="shared" si="421"/>
        <v>0</v>
      </c>
      <c r="BR80" s="404">
        <f t="shared" si="422"/>
        <v>0</v>
      </c>
    </row>
    <row r="81" spans="1:70" s="288" customFormat="1" ht="14.45" customHeight="1" x14ac:dyDescent="0.25">
      <c r="A81" s="382" t="s">
        <v>137</v>
      </c>
      <c r="B81" s="472"/>
      <c r="C81" s="473"/>
      <c r="D81" s="474">
        <v>34717.120000000003</v>
      </c>
      <c r="E81" s="473" t="s">
        <v>259</v>
      </c>
      <c r="F81" s="478"/>
      <c r="G81" s="478"/>
      <c r="H81" s="478"/>
      <c r="I81" s="478">
        <v>0</v>
      </c>
      <c r="J81" s="478">
        <v>0</v>
      </c>
      <c r="K81" s="478">
        <v>0</v>
      </c>
      <c r="L81" s="478">
        <v>0</v>
      </c>
      <c r="M81" s="478">
        <v>0</v>
      </c>
      <c r="N81" s="478">
        <v>0</v>
      </c>
      <c r="O81" s="478">
        <v>0</v>
      </c>
      <c r="P81" s="478">
        <v>0</v>
      </c>
      <c r="Q81" s="478">
        <v>0</v>
      </c>
      <c r="R81" s="478">
        <v>0</v>
      </c>
      <c r="S81" s="478">
        <v>0.17145200984413453</v>
      </c>
      <c r="T81" s="478">
        <v>0.18047579983593109</v>
      </c>
      <c r="U81" s="478">
        <v>0.17358525</v>
      </c>
      <c r="V81" s="478">
        <v>0.17358525</v>
      </c>
      <c r="W81" s="478">
        <v>0.17358525</v>
      </c>
      <c r="X81" s="478">
        <f>1-(S81+T81+U81+V81+W81)</f>
        <v>0.12731644031993428</v>
      </c>
      <c r="Y81" s="478"/>
      <c r="Z81" s="477">
        <f t="shared" ref="Z81" si="428">SUM(F81:X81)</f>
        <v>1</v>
      </c>
      <c r="AA81" s="473"/>
      <c r="AB81" s="473"/>
      <c r="AC81" s="379">
        <f t="shared" ref="AC81" si="429">F81*$D81</f>
        <v>0</v>
      </c>
      <c r="AD81" s="379">
        <f t="shared" ref="AD81" si="430">G81*$D81</f>
        <v>0</v>
      </c>
      <c r="AE81" s="379">
        <f t="shared" ref="AE81" si="431">H81*$D81</f>
        <v>0</v>
      </c>
      <c r="AF81" s="379">
        <f t="shared" ref="AF81" si="432">I81*$D81</f>
        <v>0</v>
      </c>
      <c r="AG81" s="379">
        <f t="shared" ref="AG81" si="433">J81*$D81</f>
        <v>0</v>
      </c>
      <c r="AH81" s="474">
        <f t="shared" ref="AH81" si="434">K81*$D81</f>
        <v>0</v>
      </c>
      <c r="AI81" s="379">
        <f t="shared" ref="AI81" si="435">L81*$D81</f>
        <v>0</v>
      </c>
      <c r="AJ81" s="474">
        <f t="shared" ref="AJ81" si="436">M81*$D81</f>
        <v>0</v>
      </c>
      <c r="AK81" s="474">
        <f t="shared" ref="AK81" si="437">N81*$D81</f>
        <v>0</v>
      </c>
      <c r="AL81" s="379">
        <f t="shared" ref="AL81" si="438">O81*$D81</f>
        <v>0</v>
      </c>
      <c r="AM81" s="474">
        <f t="shared" ref="AM81" si="439">P81*$D81</f>
        <v>0</v>
      </c>
      <c r="AN81" s="479">
        <f t="shared" ref="AN81" si="440">Q81*$D81</f>
        <v>0</v>
      </c>
      <c r="AO81" s="479">
        <f t="shared" ref="AO81" si="441">R81*$D81</f>
        <v>0</v>
      </c>
      <c r="AP81" s="379">
        <f t="shared" ref="AP81" si="442">S81*$D81</f>
        <v>5952.3200000000006</v>
      </c>
      <c r="AQ81" s="479">
        <f t="shared" ref="AQ81" si="443">T81*$D81</f>
        <v>6265.6</v>
      </c>
      <c r="AR81" s="479">
        <f t="shared" ref="AR81" si="444">U81*$D81</f>
        <v>6026.3799544800004</v>
      </c>
      <c r="AS81" s="479">
        <f t="shared" ref="AS81" si="445">V81*$D81</f>
        <v>6026.3799544800004</v>
      </c>
      <c r="AT81" s="479">
        <f t="shared" ref="AT81" si="446">W81*$D81</f>
        <v>6026.3799544800004</v>
      </c>
      <c r="AU81" s="479">
        <f t="shared" ref="AU81" si="447">X81*$D81</f>
        <v>4420.0601365599969</v>
      </c>
      <c r="AV81" s="379"/>
      <c r="AW81" s="379"/>
      <c r="AX81" s="379">
        <f t="shared" ref="AX81:BK81" si="448">IF(AX$3=$E81,$D81,0)</f>
        <v>0</v>
      </c>
      <c r="AY81" s="379">
        <f t="shared" si="448"/>
        <v>0</v>
      </c>
      <c r="AZ81" s="379">
        <f t="shared" si="448"/>
        <v>0</v>
      </c>
      <c r="BA81" s="379">
        <f t="shared" si="448"/>
        <v>0</v>
      </c>
      <c r="BB81" s="379">
        <f t="shared" si="448"/>
        <v>0</v>
      </c>
      <c r="BC81" s="379">
        <f t="shared" si="448"/>
        <v>0</v>
      </c>
      <c r="BD81" s="379">
        <f t="shared" si="448"/>
        <v>0</v>
      </c>
      <c r="BE81" s="379">
        <f t="shared" si="448"/>
        <v>0</v>
      </c>
      <c r="BF81" s="474">
        <f t="shared" si="448"/>
        <v>0</v>
      </c>
      <c r="BG81" s="379">
        <f t="shared" si="448"/>
        <v>0</v>
      </c>
      <c r="BH81" s="379">
        <f t="shared" si="448"/>
        <v>0</v>
      </c>
      <c r="BI81" s="379">
        <f t="shared" si="448"/>
        <v>0</v>
      </c>
      <c r="BJ81" s="379">
        <f t="shared" si="448"/>
        <v>34717.120000000003</v>
      </c>
      <c r="BK81" s="379">
        <f t="shared" si="448"/>
        <v>0</v>
      </c>
      <c r="BL81" s="379">
        <f t="shared" ref="BL81:BQ121" si="449">IF(BL$3=$E81,$D81,0)</f>
        <v>0</v>
      </c>
      <c r="BM81" s="379">
        <f t="shared" si="449"/>
        <v>0</v>
      </c>
      <c r="BN81" s="379">
        <f t="shared" si="449"/>
        <v>0</v>
      </c>
      <c r="BO81" s="379">
        <f t="shared" si="449"/>
        <v>0</v>
      </c>
      <c r="BP81" s="379">
        <f t="shared" si="449"/>
        <v>0</v>
      </c>
      <c r="BQ81" s="379">
        <f t="shared" si="449"/>
        <v>0</v>
      </c>
      <c r="BR81" s="404">
        <f t="shared" si="422"/>
        <v>0</v>
      </c>
    </row>
    <row r="82" spans="1:70" s="288" customFormat="1" ht="14.45" customHeight="1" x14ac:dyDescent="0.25">
      <c r="A82" s="382" t="s">
        <v>137</v>
      </c>
      <c r="B82" s="472"/>
      <c r="C82" s="473"/>
      <c r="D82" s="474">
        <v>31800</v>
      </c>
      <c r="E82" s="473" t="s">
        <v>258</v>
      </c>
      <c r="F82" s="476"/>
      <c r="G82" s="476"/>
      <c r="H82" s="476"/>
      <c r="I82" s="476"/>
      <c r="J82" s="476"/>
      <c r="K82" s="476"/>
      <c r="L82" s="475">
        <v>0</v>
      </c>
      <c r="M82" s="475">
        <v>0</v>
      </c>
      <c r="N82" s="475">
        <v>0</v>
      </c>
      <c r="O82" s="475">
        <v>0</v>
      </c>
      <c r="P82" s="475">
        <v>0</v>
      </c>
      <c r="Q82" s="475">
        <v>0</v>
      </c>
      <c r="R82" s="475">
        <v>0</v>
      </c>
      <c r="S82" s="475">
        <v>0</v>
      </c>
      <c r="T82" s="475">
        <v>0.7</v>
      </c>
      <c r="U82" s="475">
        <v>0.3</v>
      </c>
      <c r="V82" s="475"/>
      <c r="W82" s="475"/>
      <c r="X82" s="475"/>
      <c r="Y82" s="475"/>
      <c r="Z82" s="477">
        <f>SUM(F82:Y82)</f>
        <v>1</v>
      </c>
      <c r="AA82" s="473"/>
      <c r="AB82" s="473"/>
      <c r="AC82" s="379">
        <f t="shared" ref="AC82" si="450">F82*$D82</f>
        <v>0</v>
      </c>
      <c r="AD82" s="379">
        <f t="shared" ref="AD82" si="451">G82*$D82</f>
        <v>0</v>
      </c>
      <c r="AE82" s="379">
        <f t="shared" ref="AE82" si="452">H82*$D82</f>
        <v>0</v>
      </c>
      <c r="AF82" s="379">
        <f t="shared" ref="AF82" si="453">I82*$D82</f>
        <v>0</v>
      </c>
      <c r="AG82" s="379">
        <f t="shared" ref="AG82" si="454">J82*$D82</f>
        <v>0</v>
      </c>
      <c r="AH82" s="474">
        <f t="shared" ref="AH82" si="455">K82*$D82</f>
        <v>0</v>
      </c>
      <c r="AI82" s="379">
        <f t="shared" ref="AI82" si="456">L82*$D82</f>
        <v>0</v>
      </c>
      <c r="AJ82" s="474">
        <f t="shared" ref="AJ82" si="457">M82*$D82</f>
        <v>0</v>
      </c>
      <c r="AK82" s="474">
        <f t="shared" ref="AK82" si="458">N82*$D82</f>
        <v>0</v>
      </c>
      <c r="AL82" s="379">
        <f t="shared" ref="AL82" si="459">O82*$D82</f>
        <v>0</v>
      </c>
      <c r="AM82" s="474">
        <f t="shared" ref="AM82" si="460">P82*$D82</f>
        <v>0</v>
      </c>
      <c r="AN82" s="479">
        <f t="shared" ref="AN82" si="461">Q82*$D82</f>
        <v>0</v>
      </c>
      <c r="AO82" s="479">
        <f t="shared" ref="AO82" si="462">R82*$D82</f>
        <v>0</v>
      </c>
      <c r="AP82" s="379">
        <f t="shared" ref="AP82" si="463">S82*$D82</f>
        <v>0</v>
      </c>
      <c r="AQ82" s="479">
        <f t="shared" ref="AQ82" si="464">T82*$D82</f>
        <v>22260</v>
      </c>
      <c r="AR82" s="479">
        <f t="shared" ref="AR82" si="465">U82*$D82</f>
        <v>9540</v>
      </c>
      <c r="AS82" s="479">
        <f t="shared" ref="AS82" si="466">V82*$D82</f>
        <v>0</v>
      </c>
      <c r="AT82" s="479">
        <f t="shared" ref="AT82" si="467">W82*$D82</f>
        <v>0</v>
      </c>
      <c r="AU82" s="479">
        <f t="shared" ref="AU82" si="468">X82*$D82</f>
        <v>0</v>
      </c>
      <c r="AV82" s="379"/>
      <c r="AW82" s="379"/>
      <c r="AX82" s="379">
        <f t="shared" ref="AX82:BK82" si="469">IF(AX$3=$E82,$D82,0)</f>
        <v>0</v>
      </c>
      <c r="AY82" s="379">
        <f t="shared" si="469"/>
        <v>0</v>
      </c>
      <c r="AZ82" s="379">
        <f t="shared" si="469"/>
        <v>0</v>
      </c>
      <c r="BA82" s="379">
        <f t="shared" si="469"/>
        <v>0</v>
      </c>
      <c r="BB82" s="379">
        <f t="shared" si="469"/>
        <v>0</v>
      </c>
      <c r="BC82" s="379">
        <f t="shared" si="469"/>
        <v>0</v>
      </c>
      <c r="BD82" s="379">
        <f t="shared" si="469"/>
        <v>0</v>
      </c>
      <c r="BE82" s="379">
        <f t="shared" si="469"/>
        <v>0</v>
      </c>
      <c r="BF82" s="379">
        <f t="shared" si="469"/>
        <v>0</v>
      </c>
      <c r="BG82" s="379">
        <f t="shared" si="469"/>
        <v>0</v>
      </c>
      <c r="BH82" s="379">
        <f t="shared" si="469"/>
        <v>0</v>
      </c>
      <c r="BI82" s="379">
        <f t="shared" si="469"/>
        <v>0</v>
      </c>
      <c r="BJ82" s="379">
        <f t="shared" si="469"/>
        <v>0</v>
      </c>
      <c r="BK82" s="479">
        <f t="shared" si="469"/>
        <v>31800</v>
      </c>
      <c r="BL82" s="379">
        <f t="shared" si="449"/>
        <v>0</v>
      </c>
      <c r="BM82" s="379">
        <f t="shared" si="449"/>
        <v>0</v>
      </c>
      <c r="BN82" s="379">
        <f t="shared" si="449"/>
        <v>0</v>
      </c>
      <c r="BO82" s="379">
        <f t="shared" si="449"/>
        <v>0</v>
      </c>
      <c r="BP82" s="379">
        <f t="shared" si="449"/>
        <v>0</v>
      </c>
      <c r="BQ82" s="379">
        <f t="shared" si="449"/>
        <v>0</v>
      </c>
      <c r="BR82" s="404">
        <f t="shared" si="422"/>
        <v>0</v>
      </c>
    </row>
    <row r="83" spans="1:70" s="288" customFormat="1" ht="14.45" customHeight="1" x14ac:dyDescent="0.25">
      <c r="A83" s="382" t="s">
        <v>140</v>
      </c>
      <c r="B83" s="472"/>
      <c r="C83" s="473"/>
      <c r="D83" s="474">
        <v>20000</v>
      </c>
      <c r="E83" s="473" t="s">
        <v>259</v>
      </c>
      <c r="F83" s="476"/>
      <c r="G83" s="476"/>
      <c r="H83" s="476"/>
      <c r="I83" s="476"/>
      <c r="J83" s="476"/>
      <c r="K83" s="475"/>
      <c r="L83" s="475">
        <v>0</v>
      </c>
      <c r="M83" s="475">
        <v>0</v>
      </c>
      <c r="N83" s="475">
        <v>0</v>
      </c>
      <c r="O83" s="475">
        <v>0</v>
      </c>
      <c r="P83" s="475">
        <v>0</v>
      </c>
      <c r="Q83" s="475">
        <v>0</v>
      </c>
      <c r="R83" s="475">
        <v>0</v>
      </c>
      <c r="S83" s="475">
        <v>0.20483750000000001</v>
      </c>
      <c r="T83" s="475">
        <v>0.2</v>
      </c>
      <c r="U83" s="475">
        <v>0.4</v>
      </c>
      <c r="V83" s="475">
        <f>1-(S83+T83+U83)</f>
        <v>0.19516249999999991</v>
      </c>
      <c r="W83" s="475">
        <v>0</v>
      </c>
      <c r="X83" s="475"/>
      <c r="Y83" s="475"/>
      <c r="Z83" s="477">
        <f t="shared" ref="Z83:Z85" si="470">SUM(F83:X83)</f>
        <v>1</v>
      </c>
      <c r="AA83" s="473"/>
      <c r="AB83" s="473"/>
      <c r="AC83" s="379">
        <f t="shared" ref="AC83:AC85" si="471">F83*$D83</f>
        <v>0</v>
      </c>
      <c r="AD83" s="379">
        <f t="shared" ref="AD83:AD85" si="472">G83*$D83</f>
        <v>0</v>
      </c>
      <c r="AE83" s="379">
        <f t="shared" ref="AE83:AE85" si="473">H83*$D83</f>
        <v>0</v>
      </c>
      <c r="AF83" s="379">
        <f t="shared" ref="AF83:AF85" si="474">I83*$D83</f>
        <v>0</v>
      </c>
      <c r="AG83" s="379">
        <f t="shared" ref="AG83:AG85" si="475">J83*$D83</f>
        <v>0</v>
      </c>
      <c r="AH83" s="474">
        <f t="shared" ref="AH83:AH85" si="476">K83*$D83</f>
        <v>0</v>
      </c>
      <c r="AI83" s="379">
        <f t="shared" ref="AI83:AI85" si="477">L83*$D83</f>
        <v>0</v>
      </c>
      <c r="AJ83" s="474">
        <f t="shared" ref="AJ83:AJ85" si="478">M83*$D83</f>
        <v>0</v>
      </c>
      <c r="AK83" s="379">
        <f t="shared" ref="AK83:AK85" si="479">N83*$D83</f>
        <v>0</v>
      </c>
      <c r="AL83" s="379">
        <f t="shared" ref="AL83:AL85" si="480">O83*$D83</f>
        <v>0</v>
      </c>
      <c r="AM83" s="479">
        <f t="shared" ref="AM83:AM85" si="481">P83*$D83</f>
        <v>0</v>
      </c>
      <c r="AN83" s="479">
        <f t="shared" ref="AN83:AN85" si="482">Q83*$D83</f>
        <v>0</v>
      </c>
      <c r="AO83" s="479">
        <f t="shared" ref="AO83:AO85" si="483">R83*$D83</f>
        <v>0</v>
      </c>
      <c r="AP83" s="379">
        <f t="shared" ref="AP83:AP85" si="484">S83*$D83</f>
        <v>4096.75</v>
      </c>
      <c r="AQ83" s="479">
        <f t="shared" ref="AQ83:AQ85" si="485">T83*$D83</f>
        <v>4000</v>
      </c>
      <c r="AR83" s="479">
        <f t="shared" ref="AR83:AR85" si="486">U83*$D83</f>
        <v>8000</v>
      </c>
      <c r="AS83" s="479">
        <f t="shared" ref="AS83:AS85" si="487">V83*$D83</f>
        <v>3903.2499999999982</v>
      </c>
      <c r="AT83" s="479">
        <f t="shared" ref="AT83:AT85" si="488">W83*$D83</f>
        <v>0</v>
      </c>
      <c r="AU83" s="479">
        <f t="shared" ref="AU83:AU85" si="489">X83*$D83</f>
        <v>0</v>
      </c>
      <c r="AV83" s="379"/>
      <c r="AW83" s="379"/>
      <c r="AX83" s="379">
        <f t="shared" ref="AX83:BN101" si="490">IF(AX$3=$E83,$D83,0)</f>
        <v>0</v>
      </c>
      <c r="AY83" s="379">
        <f t="shared" si="490"/>
        <v>0</v>
      </c>
      <c r="AZ83" s="379">
        <f t="shared" si="490"/>
        <v>0</v>
      </c>
      <c r="BA83" s="379">
        <f t="shared" si="490"/>
        <v>0</v>
      </c>
      <c r="BB83" s="379">
        <f t="shared" si="490"/>
        <v>0</v>
      </c>
      <c r="BC83" s="379">
        <f t="shared" si="490"/>
        <v>0</v>
      </c>
      <c r="BD83" s="379">
        <f t="shared" si="490"/>
        <v>0</v>
      </c>
      <c r="BE83" s="379">
        <f t="shared" si="490"/>
        <v>0</v>
      </c>
      <c r="BF83" s="379">
        <f t="shared" si="490"/>
        <v>0</v>
      </c>
      <c r="BG83" s="379">
        <f t="shared" si="490"/>
        <v>0</v>
      </c>
      <c r="BH83" s="379">
        <f t="shared" si="490"/>
        <v>0</v>
      </c>
      <c r="BI83" s="379">
        <f t="shared" si="490"/>
        <v>0</v>
      </c>
      <c r="BJ83" s="379">
        <f t="shared" si="490"/>
        <v>20000</v>
      </c>
      <c r="BK83" s="479">
        <f t="shared" si="490"/>
        <v>0</v>
      </c>
      <c r="BL83" s="379">
        <f t="shared" si="490"/>
        <v>0</v>
      </c>
      <c r="BM83" s="379">
        <f t="shared" si="490"/>
        <v>0</v>
      </c>
      <c r="BN83" s="379">
        <f t="shared" si="490"/>
        <v>0</v>
      </c>
      <c r="BO83" s="379">
        <f t="shared" si="449"/>
        <v>0</v>
      </c>
      <c r="BP83" s="379">
        <f t="shared" si="449"/>
        <v>0</v>
      </c>
      <c r="BQ83" s="379">
        <f t="shared" si="449"/>
        <v>0</v>
      </c>
      <c r="BR83" s="404">
        <f t="shared" si="422"/>
        <v>0</v>
      </c>
    </row>
    <row r="84" spans="1:70" s="288" customFormat="1" ht="14.45" customHeight="1" x14ac:dyDescent="0.25">
      <c r="A84" s="382" t="s">
        <v>140</v>
      </c>
      <c r="B84" s="472"/>
      <c r="C84" s="473"/>
      <c r="D84" s="474">
        <v>40000</v>
      </c>
      <c r="E84" s="473" t="s">
        <v>266</v>
      </c>
      <c r="F84" s="476"/>
      <c r="G84" s="476"/>
      <c r="H84" s="476"/>
      <c r="I84" s="476"/>
      <c r="J84" s="476"/>
      <c r="K84" s="475"/>
      <c r="L84" s="475">
        <v>0</v>
      </c>
      <c r="M84" s="475">
        <v>0</v>
      </c>
      <c r="N84" s="475">
        <v>0</v>
      </c>
      <c r="O84" s="475">
        <v>0</v>
      </c>
      <c r="P84" s="475">
        <v>0</v>
      </c>
      <c r="Q84" s="475">
        <v>0</v>
      </c>
      <c r="R84" s="475">
        <v>0</v>
      </c>
      <c r="S84" s="475">
        <v>0</v>
      </c>
      <c r="T84" s="475">
        <v>0</v>
      </c>
      <c r="U84" s="475">
        <v>0</v>
      </c>
      <c r="V84" s="475">
        <v>0.25</v>
      </c>
      <c r="W84" s="475">
        <v>0.25</v>
      </c>
      <c r="X84" s="475">
        <v>0.5</v>
      </c>
      <c r="Y84" s="475"/>
      <c r="Z84" s="477">
        <f t="shared" ref="Z84" si="491">SUM(F84:X84)</f>
        <v>1</v>
      </c>
      <c r="AA84" s="473"/>
      <c r="AB84" s="473"/>
      <c r="AC84" s="379">
        <f t="shared" ref="AC84" si="492">F84*$D84</f>
        <v>0</v>
      </c>
      <c r="AD84" s="379">
        <f t="shared" ref="AD84" si="493">G84*$D84</f>
        <v>0</v>
      </c>
      <c r="AE84" s="379">
        <f t="shared" ref="AE84" si="494">H84*$D84</f>
        <v>0</v>
      </c>
      <c r="AF84" s="379">
        <f t="shared" ref="AF84" si="495">I84*$D84</f>
        <v>0</v>
      </c>
      <c r="AG84" s="379">
        <f t="shared" ref="AG84" si="496">J84*$D84</f>
        <v>0</v>
      </c>
      <c r="AH84" s="474">
        <f t="shared" ref="AH84" si="497">K84*$D84</f>
        <v>0</v>
      </c>
      <c r="AI84" s="379">
        <f t="shared" ref="AI84" si="498">L84*$D84</f>
        <v>0</v>
      </c>
      <c r="AJ84" s="474">
        <f t="shared" ref="AJ84" si="499">M84*$D84</f>
        <v>0</v>
      </c>
      <c r="AK84" s="379">
        <f t="shared" ref="AK84" si="500">N84*$D84</f>
        <v>0</v>
      </c>
      <c r="AL84" s="379">
        <f t="shared" ref="AL84" si="501">O84*$D84</f>
        <v>0</v>
      </c>
      <c r="AM84" s="479">
        <f t="shared" ref="AM84" si="502">P84*$D84</f>
        <v>0</v>
      </c>
      <c r="AN84" s="479">
        <f t="shared" ref="AN84" si="503">Q84*$D84</f>
        <v>0</v>
      </c>
      <c r="AO84" s="479">
        <f t="shared" ref="AO84" si="504">R84*$D84</f>
        <v>0</v>
      </c>
      <c r="AP84" s="379">
        <f t="shared" ref="AP84" si="505">S84*$D84</f>
        <v>0</v>
      </c>
      <c r="AQ84" s="479">
        <f t="shared" ref="AQ84" si="506">T84*$D84</f>
        <v>0</v>
      </c>
      <c r="AR84" s="479">
        <f t="shared" ref="AR84" si="507">U84*$D84</f>
        <v>0</v>
      </c>
      <c r="AS84" s="479">
        <f t="shared" ref="AS84" si="508">V84*$D84</f>
        <v>10000</v>
      </c>
      <c r="AT84" s="479">
        <f t="shared" ref="AT84" si="509">W84*$D84</f>
        <v>10000</v>
      </c>
      <c r="AU84" s="479">
        <f t="shared" ref="AU84" si="510">X84*$D84</f>
        <v>20000</v>
      </c>
      <c r="AV84" s="379"/>
      <c r="AW84" s="379"/>
      <c r="AX84" s="379">
        <f t="shared" si="490"/>
        <v>0</v>
      </c>
      <c r="AY84" s="379">
        <f t="shared" si="490"/>
        <v>0</v>
      </c>
      <c r="AZ84" s="379">
        <f t="shared" si="490"/>
        <v>0</v>
      </c>
      <c r="BA84" s="379">
        <f t="shared" si="490"/>
        <v>0</v>
      </c>
      <c r="BB84" s="379">
        <f t="shared" si="490"/>
        <v>0</v>
      </c>
      <c r="BC84" s="379">
        <f t="shared" si="490"/>
        <v>0</v>
      </c>
      <c r="BD84" s="379">
        <f t="shared" si="490"/>
        <v>0</v>
      </c>
      <c r="BE84" s="379">
        <f t="shared" si="490"/>
        <v>0</v>
      </c>
      <c r="BF84" s="379">
        <f t="shared" si="490"/>
        <v>0</v>
      </c>
      <c r="BG84" s="379">
        <f t="shared" si="490"/>
        <v>0</v>
      </c>
      <c r="BH84" s="379">
        <f t="shared" si="490"/>
        <v>0</v>
      </c>
      <c r="BI84" s="379">
        <f t="shared" si="490"/>
        <v>0</v>
      </c>
      <c r="BJ84" s="379">
        <f t="shared" si="490"/>
        <v>0</v>
      </c>
      <c r="BK84" s="479">
        <f t="shared" si="490"/>
        <v>0</v>
      </c>
      <c r="BL84" s="379">
        <f t="shared" si="490"/>
        <v>0</v>
      </c>
      <c r="BM84" s="379">
        <f t="shared" si="490"/>
        <v>0</v>
      </c>
      <c r="BN84" s="379">
        <f t="shared" si="490"/>
        <v>40000</v>
      </c>
      <c r="BO84" s="379">
        <f t="shared" si="449"/>
        <v>0</v>
      </c>
      <c r="BP84" s="379">
        <f t="shared" si="449"/>
        <v>0</v>
      </c>
      <c r="BQ84" s="379">
        <f t="shared" si="449"/>
        <v>0</v>
      </c>
      <c r="BR84" s="404">
        <f t="shared" ref="BR84" si="511">SUM(AC84:AV84)-SUM(AX84:BQ84)</f>
        <v>0</v>
      </c>
    </row>
    <row r="85" spans="1:70" s="288" customFormat="1" ht="14.45" customHeight="1" x14ac:dyDescent="0.25">
      <c r="A85" s="382" t="s">
        <v>140</v>
      </c>
      <c r="B85" s="472"/>
      <c r="C85" s="473"/>
      <c r="D85" s="474">
        <v>5000</v>
      </c>
      <c r="E85" s="473" t="s">
        <v>210</v>
      </c>
      <c r="F85" s="476"/>
      <c r="G85" s="476"/>
      <c r="H85" s="476"/>
      <c r="I85" s="476"/>
      <c r="J85" s="476"/>
      <c r="K85" s="475"/>
      <c r="L85" s="475">
        <v>0</v>
      </c>
      <c r="M85" s="475">
        <v>0</v>
      </c>
      <c r="N85" s="475">
        <v>0</v>
      </c>
      <c r="O85" s="475">
        <v>0</v>
      </c>
      <c r="P85" s="475">
        <v>0</v>
      </c>
      <c r="Q85" s="475">
        <v>0</v>
      </c>
      <c r="R85" s="475">
        <v>0</v>
      </c>
      <c r="S85" s="475">
        <v>0</v>
      </c>
      <c r="T85" s="475">
        <v>0</v>
      </c>
      <c r="U85" s="475">
        <v>0</v>
      </c>
      <c r="V85" s="475">
        <v>0</v>
      </c>
      <c r="W85" s="475">
        <v>0</v>
      </c>
      <c r="X85" s="475">
        <v>1</v>
      </c>
      <c r="Y85" s="475"/>
      <c r="Z85" s="477">
        <f t="shared" si="470"/>
        <v>1</v>
      </c>
      <c r="AA85" s="473"/>
      <c r="AB85" s="473"/>
      <c r="AC85" s="379">
        <f t="shared" si="471"/>
        <v>0</v>
      </c>
      <c r="AD85" s="379">
        <f t="shared" si="472"/>
        <v>0</v>
      </c>
      <c r="AE85" s="379">
        <f t="shared" si="473"/>
        <v>0</v>
      </c>
      <c r="AF85" s="379">
        <f t="shared" si="474"/>
        <v>0</v>
      </c>
      <c r="AG85" s="379">
        <f t="shared" si="475"/>
        <v>0</v>
      </c>
      <c r="AH85" s="474">
        <f t="shared" si="476"/>
        <v>0</v>
      </c>
      <c r="AI85" s="379">
        <f t="shared" si="477"/>
        <v>0</v>
      </c>
      <c r="AJ85" s="474">
        <f t="shared" si="478"/>
        <v>0</v>
      </c>
      <c r="AK85" s="379">
        <f t="shared" si="479"/>
        <v>0</v>
      </c>
      <c r="AL85" s="379">
        <f t="shared" si="480"/>
        <v>0</v>
      </c>
      <c r="AM85" s="479">
        <f t="shared" si="481"/>
        <v>0</v>
      </c>
      <c r="AN85" s="479">
        <f t="shared" si="482"/>
        <v>0</v>
      </c>
      <c r="AO85" s="479">
        <f t="shared" si="483"/>
        <v>0</v>
      </c>
      <c r="AP85" s="379">
        <f t="shared" si="484"/>
        <v>0</v>
      </c>
      <c r="AQ85" s="479">
        <f t="shared" si="485"/>
        <v>0</v>
      </c>
      <c r="AR85" s="479">
        <f t="shared" si="486"/>
        <v>0</v>
      </c>
      <c r="AS85" s="479">
        <f t="shared" si="487"/>
        <v>0</v>
      </c>
      <c r="AT85" s="479">
        <f t="shared" si="488"/>
        <v>0</v>
      </c>
      <c r="AU85" s="479">
        <f t="shared" si="489"/>
        <v>5000</v>
      </c>
      <c r="AV85" s="379"/>
      <c r="AW85" s="379"/>
      <c r="AX85" s="379">
        <f t="shared" si="490"/>
        <v>0</v>
      </c>
      <c r="AY85" s="379">
        <f t="shared" si="490"/>
        <v>0</v>
      </c>
      <c r="AZ85" s="379">
        <f t="shared" si="490"/>
        <v>0</v>
      </c>
      <c r="BA85" s="379">
        <f t="shared" si="490"/>
        <v>0</v>
      </c>
      <c r="BB85" s="379">
        <f t="shared" si="490"/>
        <v>0</v>
      </c>
      <c r="BC85" s="379">
        <f t="shared" si="490"/>
        <v>0</v>
      </c>
      <c r="BD85" s="379">
        <f t="shared" si="490"/>
        <v>0</v>
      </c>
      <c r="BE85" s="379">
        <f t="shared" si="490"/>
        <v>0</v>
      </c>
      <c r="BF85" s="379">
        <f t="shared" si="490"/>
        <v>0</v>
      </c>
      <c r="BG85" s="379">
        <f t="shared" si="490"/>
        <v>0</v>
      </c>
      <c r="BH85" s="379">
        <f t="shared" si="490"/>
        <v>0</v>
      </c>
      <c r="BI85" s="379">
        <f t="shared" si="490"/>
        <v>0</v>
      </c>
      <c r="BJ85" s="379">
        <f t="shared" si="490"/>
        <v>0</v>
      </c>
      <c r="BK85" s="479">
        <f t="shared" si="490"/>
        <v>0</v>
      </c>
      <c r="BL85" s="379">
        <f t="shared" si="490"/>
        <v>5000</v>
      </c>
      <c r="BM85" s="379">
        <f t="shared" si="490"/>
        <v>0</v>
      </c>
      <c r="BN85" s="379">
        <f t="shared" si="490"/>
        <v>0</v>
      </c>
      <c r="BO85" s="379">
        <f t="shared" si="449"/>
        <v>0</v>
      </c>
      <c r="BP85" s="379">
        <f t="shared" si="449"/>
        <v>0</v>
      </c>
      <c r="BQ85" s="379">
        <f t="shared" si="449"/>
        <v>0</v>
      </c>
      <c r="BR85" s="404">
        <f t="shared" si="422"/>
        <v>0</v>
      </c>
    </row>
    <row r="86" spans="1:70" s="288" customFormat="1" ht="14.45" customHeight="1" x14ac:dyDescent="0.25">
      <c r="A86" s="382" t="s">
        <v>140</v>
      </c>
      <c r="B86" s="472"/>
      <c r="C86" s="473"/>
      <c r="D86" s="474">
        <v>2000</v>
      </c>
      <c r="E86" s="473" t="s">
        <v>210</v>
      </c>
      <c r="F86" s="476"/>
      <c r="G86" s="476"/>
      <c r="H86" s="476"/>
      <c r="I86" s="476"/>
      <c r="J86" s="476"/>
      <c r="K86" s="475"/>
      <c r="L86" s="475">
        <v>0</v>
      </c>
      <c r="M86" s="475">
        <v>0</v>
      </c>
      <c r="N86" s="475">
        <v>0</v>
      </c>
      <c r="O86" s="475">
        <v>0</v>
      </c>
      <c r="P86" s="475">
        <v>0</v>
      </c>
      <c r="Q86" s="475">
        <v>0</v>
      </c>
      <c r="R86" s="475">
        <v>0</v>
      </c>
      <c r="S86" s="475">
        <v>0</v>
      </c>
      <c r="T86" s="475">
        <v>1</v>
      </c>
      <c r="U86" s="475"/>
      <c r="V86" s="475"/>
      <c r="W86" s="475"/>
      <c r="X86" s="475"/>
      <c r="Y86" s="475"/>
      <c r="Z86" s="477">
        <f t="shared" ref="Z86" si="512">SUM(F86:X86)</f>
        <v>1</v>
      </c>
      <c r="AA86" s="473"/>
      <c r="AB86" s="473"/>
      <c r="AC86" s="379">
        <f t="shared" ref="AC86" si="513">F86*$D86</f>
        <v>0</v>
      </c>
      <c r="AD86" s="379">
        <f t="shared" ref="AD86" si="514">G86*$D86</f>
        <v>0</v>
      </c>
      <c r="AE86" s="379">
        <f t="shared" ref="AE86" si="515">H86*$D86</f>
        <v>0</v>
      </c>
      <c r="AF86" s="379">
        <f t="shared" ref="AF86" si="516">I86*$D86</f>
        <v>0</v>
      </c>
      <c r="AG86" s="379">
        <f t="shared" ref="AG86" si="517">J86*$D86</f>
        <v>0</v>
      </c>
      <c r="AH86" s="474">
        <f t="shared" ref="AH86" si="518">K86*$D86</f>
        <v>0</v>
      </c>
      <c r="AI86" s="379">
        <f t="shared" ref="AI86" si="519">L86*$D86</f>
        <v>0</v>
      </c>
      <c r="AJ86" s="474">
        <f t="shared" ref="AJ86" si="520">M86*$D86</f>
        <v>0</v>
      </c>
      <c r="AK86" s="379">
        <f t="shared" ref="AK86" si="521">N86*$D86</f>
        <v>0</v>
      </c>
      <c r="AL86" s="379">
        <f t="shared" ref="AL86" si="522">O86*$D86</f>
        <v>0</v>
      </c>
      <c r="AM86" s="479">
        <f t="shared" ref="AM86" si="523">P86*$D86</f>
        <v>0</v>
      </c>
      <c r="AN86" s="479">
        <f t="shared" ref="AN86" si="524">Q86*$D86</f>
        <v>0</v>
      </c>
      <c r="AO86" s="479">
        <f t="shared" ref="AO86" si="525">R86*$D86</f>
        <v>0</v>
      </c>
      <c r="AP86" s="379">
        <f t="shared" ref="AP86" si="526">S86*$D86</f>
        <v>0</v>
      </c>
      <c r="AQ86" s="479">
        <f t="shared" ref="AQ86" si="527">T86*$D86</f>
        <v>2000</v>
      </c>
      <c r="AR86" s="479">
        <f t="shared" ref="AR86" si="528">U86*$D86</f>
        <v>0</v>
      </c>
      <c r="AS86" s="479">
        <f t="shared" ref="AS86" si="529">V86*$D86</f>
        <v>0</v>
      </c>
      <c r="AT86" s="479">
        <f t="shared" ref="AT86" si="530">W86*$D86</f>
        <v>0</v>
      </c>
      <c r="AU86" s="479">
        <f t="shared" ref="AU86" si="531">X86*$D86</f>
        <v>0</v>
      </c>
      <c r="AV86" s="379"/>
      <c r="AW86" s="379"/>
      <c r="AX86" s="379">
        <f t="shared" si="490"/>
        <v>0</v>
      </c>
      <c r="AY86" s="379">
        <f t="shared" si="490"/>
        <v>0</v>
      </c>
      <c r="AZ86" s="379">
        <f t="shared" si="490"/>
        <v>0</v>
      </c>
      <c r="BA86" s="379">
        <f t="shared" si="490"/>
        <v>0</v>
      </c>
      <c r="BB86" s="379">
        <f t="shared" si="490"/>
        <v>0</v>
      </c>
      <c r="BC86" s="379">
        <f t="shared" si="490"/>
        <v>0</v>
      </c>
      <c r="BD86" s="379">
        <f t="shared" si="490"/>
        <v>0</v>
      </c>
      <c r="BE86" s="379">
        <f t="shared" si="490"/>
        <v>0</v>
      </c>
      <c r="BF86" s="379">
        <f t="shared" si="490"/>
        <v>0</v>
      </c>
      <c r="BG86" s="379">
        <f t="shared" si="490"/>
        <v>0</v>
      </c>
      <c r="BH86" s="379">
        <f t="shared" si="490"/>
        <v>0</v>
      </c>
      <c r="BI86" s="379">
        <f t="shared" si="490"/>
        <v>0</v>
      </c>
      <c r="BJ86" s="379">
        <f t="shared" si="490"/>
        <v>0</v>
      </c>
      <c r="BK86" s="479">
        <f t="shared" si="490"/>
        <v>0</v>
      </c>
      <c r="BL86" s="379">
        <f t="shared" si="490"/>
        <v>2000</v>
      </c>
      <c r="BM86" s="379">
        <f t="shared" si="490"/>
        <v>0</v>
      </c>
      <c r="BN86" s="379">
        <f t="shared" si="490"/>
        <v>0</v>
      </c>
      <c r="BO86" s="379">
        <f t="shared" si="449"/>
        <v>0</v>
      </c>
      <c r="BP86" s="379">
        <f t="shared" si="449"/>
        <v>0</v>
      </c>
      <c r="BQ86" s="379">
        <f t="shared" si="449"/>
        <v>0</v>
      </c>
      <c r="BR86" s="404">
        <f t="shared" si="422"/>
        <v>0</v>
      </c>
    </row>
    <row r="87" spans="1:70" s="288" customFormat="1" ht="14.45" customHeight="1" x14ac:dyDescent="0.25">
      <c r="A87" s="382" t="s">
        <v>140</v>
      </c>
      <c r="B87" s="472"/>
      <c r="C87" s="473"/>
      <c r="D87" s="474">
        <v>80000</v>
      </c>
      <c r="E87" s="473" t="s">
        <v>282</v>
      </c>
      <c r="F87" s="476"/>
      <c r="G87" s="476"/>
      <c r="H87" s="476"/>
      <c r="I87" s="476"/>
      <c r="J87" s="476"/>
      <c r="K87" s="475"/>
      <c r="L87" s="475">
        <v>0</v>
      </c>
      <c r="M87" s="475">
        <v>0</v>
      </c>
      <c r="N87" s="475">
        <v>0</v>
      </c>
      <c r="O87" s="475">
        <v>0</v>
      </c>
      <c r="P87" s="475">
        <v>0</v>
      </c>
      <c r="Q87" s="475">
        <v>0</v>
      </c>
      <c r="R87" s="475">
        <v>0</v>
      </c>
      <c r="S87" s="475">
        <v>0</v>
      </c>
      <c r="T87" s="475">
        <v>0</v>
      </c>
      <c r="U87" s="475">
        <v>0.5</v>
      </c>
      <c r="V87" s="475">
        <v>0.5</v>
      </c>
      <c r="W87" s="475"/>
      <c r="X87" s="475"/>
      <c r="Y87" s="475"/>
      <c r="Z87" s="477">
        <f t="shared" si="21"/>
        <v>1</v>
      </c>
      <c r="AA87" s="473"/>
      <c r="AB87" s="473"/>
      <c r="AC87" s="379">
        <f t="shared" ref="AC87" si="532">F87*$D87</f>
        <v>0</v>
      </c>
      <c r="AD87" s="379">
        <f t="shared" ref="AD87" si="533">G87*$D87</f>
        <v>0</v>
      </c>
      <c r="AE87" s="379">
        <f t="shared" ref="AE87" si="534">H87*$D87</f>
        <v>0</v>
      </c>
      <c r="AF87" s="379">
        <f t="shared" ref="AF87" si="535">I87*$D87</f>
        <v>0</v>
      </c>
      <c r="AG87" s="379">
        <f t="shared" ref="AG87" si="536">J87*$D87</f>
        <v>0</v>
      </c>
      <c r="AH87" s="474">
        <f t="shared" ref="AH87" si="537">K87*$D87</f>
        <v>0</v>
      </c>
      <c r="AI87" s="379">
        <f t="shared" ref="AI87" si="538">L87*$D87</f>
        <v>0</v>
      </c>
      <c r="AJ87" s="474">
        <f t="shared" ref="AJ87" si="539">M87*$D87</f>
        <v>0</v>
      </c>
      <c r="AK87" s="379">
        <f t="shared" ref="AK87" si="540">N87*$D87</f>
        <v>0</v>
      </c>
      <c r="AL87" s="379">
        <f t="shared" ref="AL87" si="541">O87*$D87</f>
        <v>0</v>
      </c>
      <c r="AM87" s="474">
        <f t="shared" ref="AM87" si="542">P87*$D87</f>
        <v>0</v>
      </c>
      <c r="AN87" s="479">
        <f t="shared" ref="AN87" si="543">Q87*$D87</f>
        <v>0</v>
      </c>
      <c r="AO87" s="479">
        <f t="shared" ref="AO87" si="544">R87*$D87</f>
        <v>0</v>
      </c>
      <c r="AP87" s="379">
        <f t="shared" ref="AP87" si="545">S87*$D87</f>
        <v>0</v>
      </c>
      <c r="AQ87" s="479">
        <f t="shared" ref="AQ87" si="546">T87*$D87</f>
        <v>0</v>
      </c>
      <c r="AR87" s="479">
        <f t="shared" ref="AR87" si="547">U87*$D87</f>
        <v>40000</v>
      </c>
      <c r="AS87" s="479">
        <f t="shared" ref="AS87" si="548">V87*$D87</f>
        <v>40000</v>
      </c>
      <c r="AT87" s="479">
        <f t="shared" ref="AT87" si="549">W87*$D87</f>
        <v>0</v>
      </c>
      <c r="AU87" s="479">
        <f t="shared" ref="AU87" si="550">X87*$D87</f>
        <v>0</v>
      </c>
      <c r="AV87" s="379"/>
      <c r="AW87" s="379"/>
      <c r="AX87" s="379">
        <f t="shared" si="490"/>
        <v>0</v>
      </c>
      <c r="AY87" s="379">
        <f t="shared" si="490"/>
        <v>0</v>
      </c>
      <c r="AZ87" s="379">
        <f t="shared" si="490"/>
        <v>0</v>
      </c>
      <c r="BA87" s="379">
        <f t="shared" si="490"/>
        <v>0</v>
      </c>
      <c r="BB87" s="379">
        <f t="shared" si="490"/>
        <v>0</v>
      </c>
      <c r="BC87" s="379">
        <f t="shared" si="490"/>
        <v>0</v>
      </c>
      <c r="BD87" s="379">
        <f t="shared" si="490"/>
        <v>0</v>
      </c>
      <c r="BE87" s="379">
        <f t="shared" si="490"/>
        <v>0</v>
      </c>
      <c r="BF87" s="379">
        <f t="shared" si="490"/>
        <v>0</v>
      </c>
      <c r="BG87" s="379">
        <f t="shared" si="490"/>
        <v>0</v>
      </c>
      <c r="BH87" s="379">
        <f t="shared" si="490"/>
        <v>0</v>
      </c>
      <c r="BI87" s="379">
        <f t="shared" si="490"/>
        <v>0</v>
      </c>
      <c r="BJ87" s="379">
        <f t="shared" si="490"/>
        <v>0</v>
      </c>
      <c r="BK87" s="479">
        <f t="shared" si="490"/>
        <v>0</v>
      </c>
      <c r="BL87" s="379">
        <f t="shared" si="490"/>
        <v>0</v>
      </c>
      <c r="BM87" s="379">
        <f t="shared" si="490"/>
        <v>80000</v>
      </c>
      <c r="BN87" s="379">
        <f t="shared" si="449"/>
        <v>0</v>
      </c>
      <c r="BO87" s="379">
        <f t="shared" si="449"/>
        <v>0</v>
      </c>
      <c r="BP87" s="379">
        <f t="shared" si="449"/>
        <v>0</v>
      </c>
      <c r="BQ87" s="379">
        <f t="shared" si="449"/>
        <v>0</v>
      </c>
      <c r="BR87" s="404">
        <f t="shared" si="422"/>
        <v>0</v>
      </c>
    </row>
    <row r="88" spans="1:70" s="288" customFormat="1" ht="14.45" customHeight="1" x14ac:dyDescent="0.25">
      <c r="A88" s="382" t="s">
        <v>140</v>
      </c>
      <c r="B88" s="472"/>
      <c r="C88" s="473"/>
      <c r="D88" s="474">
        <v>250000</v>
      </c>
      <c r="E88" s="473" t="s">
        <v>210</v>
      </c>
      <c r="F88" s="476"/>
      <c r="G88" s="476"/>
      <c r="H88" s="476"/>
      <c r="I88" s="476"/>
      <c r="J88" s="476"/>
      <c r="K88" s="475"/>
      <c r="L88" s="475">
        <v>0</v>
      </c>
      <c r="M88" s="475">
        <v>0</v>
      </c>
      <c r="N88" s="475">
        <v>0</v>
      </c>
      <c r="O88" s="475">
        <v>0</v>
      </c>
      <c r="P88" s="475">
        <v>0</v>
      </c>
      <c r="Q88" s="475">
        <v>0</v>
      </c>
      <c r="R88" s="475">
        <v>0</v>
      </c>
      <c r="S88" s="475">
        <v>0</v>
      </c>
      <c r="T88" s="475">
        <v>0</v>
      </c>
      <c r="U88" s="475">
        <v>0.4</v>
      </c>
      <c r="V88" s="475">
        <v>0.6</v>
      </c>
      <c r="W88" s="475"/>
      <c r="X88" s="475"/>
      <c r="Y88" s="475"/>
      <c r="Z88" s="477">
        <f t="shared" ref="Z88:Z101" si="551">SUM(F88:X88)</f>
        <v>1</v>
      </c>
      <c r="AA88" s="473"/>
      <c r="AB88" s="473"/>
      <c r="AC88" s="379">
        <f t="shared" ref="AC88:AC101" si="552">F88*$D88</f>
        <v>0</v>
      </c>
      <c r="AD88" s="379">
        <f t="shared" ref="AD88:AD101" si="553">G88*$D88</f>
        <v>0</v>
      </c>
      <c r="AE88" s="379">
        <f t="shared" ref="AE88:AE101" si="554">H88*$D88</f>
        <v>0</v>
      </c>
      <c r="AF88" s="379">
        <f t="shared" ref="AF88:AF101" si="555">I88*$D88</f>
        <v>0</v>
      </c>
      <c r="AG88" s="379">
        <f t="shared" ref="AG88:AG101" si="556">J88*$D88</f>
        <v>0</v>
      </c>
      <c r="AH88" s="474">
        <f t="shared" ref="AH88:AH101" si="557">K88*$D88</f>
        <v>0</v>
      </c>
      <c r="AI88" s="379">
        <f t="shared" ref="AI88:AI101" si="558">L88*$D88</f>
        <v>0</v>
      </c>
      <c r="AJ88" s="474">
        <f t="shared" ref="AJ88:AJ101" si="559">M88*$D88</f>
        <v>0</v>
      </c>
      <c r="AK88" s="379">
        <f t="shared" ref="AK88:AK101" si="560">N88*$D88</f>
        <v>0</v>
      </c>
      <c r="AL88" s="379">
        <f t="shared" ref="AL88:AL101" si="561">O88*$D88</f>
        <v>0</v>
      </c>
      <c r="AM88" s="474">
        <f t="shared" ref="AM88:AM101" si="562">P88*$D88</f>
        <v>0</v>
      </c>
      <c r="AN88" s="479">
        <f t="shared" ref="AN88:AN101" si="563">Q88*$D88</f>
        <v>0</v>
      </c>
      <c r="AO88" s="479">
        <f t="shared" ref="AO88:AO101" si="564">R88*$D88</f>
        <v>0</v>
      </c>
      <c r="AP88" s="379">
        <f t="shared" ref="AP88:AP101" si="565">S88*$D88</f>
        <v>0</v>
      </c>
      <c r="AQ88" s="479">
        <f t="shared" ref="AQ88:AQ101" si="566">T88*$D88</f>
        <v>0</v>
      </c>
      <c r="AR88" s="479">
        <f t="shared" ref="AR88:AR101" si="567">U88*$D88</f>
        <v>100000</v>
      </c>
      <c r="AS88" s="479">
        <f t="shared" ref="AS88:AS101" si="568">V88*$D88</f>
        <v>150000</v>
      </c>
      <c r="AT88" s="479">
        <f t="shared" ref="AT88:AT101" si="569">W88*$D88</f>
        <v>0</v>
      </c>
      <c r="AU88" s="479">
        <f t="shared" ref="AU88:AU101" si="570">X88*$D88</f>
        <v>0</v>
      </c>
      <c r="AV88" s="379"/>
      <c r="AW88" s="379"/>
      <c r="AX88" s="379">
        <f t="shared" si="490"/>
        <v>0</v>
      </c>
      <c r="AY88" s="379">
        <f t="shared" si="490"/>
        <v>0</v>
      </c>
      <c r="AZ88" s="379">
        <f t="shared" si="490"/>
        <v>0</v>
      </c>
      <c r="BA88" s="379">
        <f t="shared" si="490"/>
        <v>0</v>
      </c>
      <c r="BB88" s="379">
        <f t="shared" si="490"/>
        <v>0</v>
      </c>
      <c r="BC88" s="379">
        <f t="shared" si="490"/>
        <v>0</v>
      </c>
      <c r="BD88" s="379">
        <f t="shared" si="490"/>
        <v>0</v>
      </c>
      <c r="BE88" s="379">
        <f t="shared" si="490"/>
        <v>0</v>
      </c>
      <c r="BF88" s="379">
        <f t="shared" si="490"/>
        <v>0</v>
      </c>
      <c r="BG88" s="379">
        <f t="shared" si="490"/>
        <v>0</v>
      </c>
      <c r="BH88" s="379">
        <f t="shared" si="490"/>
        <v>0</v>
      </c>
      <c r="BI88" s="379">
        <f t="shared" si="490"/>
        <v>0</v>
      </c>
      <c r="BJ88" s="379">
        <f t="shared" si="490"/>
        <v>0</v>
      </c>
      <c r="BK88" s="479">
        <f t="shared" si="490"/>
        <v>0</v>
      </c>
      <c r="BL88" s="379">
        <f t="shared" si="490"/>
        <v>250000</v>
      </c>
      <c r="BM88" s="379">
        <f t="shared" si="490"/>
        <v>0</v>
      </c>
      <c r="BN88" s="379">
        <f t="shared" si="449"/>
        <v>0</v>
      </c>
      <c r="BO88" s="379">
        <f t="shared" si="449"/>
        <v>0</v>
      </c>
      <c r="BP88" s="379">
        <f t="shared" si="449"/>
        <v>0</v>
      </c>
      <c r="BQ88" s="379">
        <f t="shared" si="449"/>
        <v>0</v>
      </c>
      <c r="BR88" s="404">
        <f t="shared" si="422"/>
        <v>0</v>
      </c>
    </row>
    <row r="89" spans="1:70" s="288" customFormat="1" ht="14.45" customHeight="1" x14ac:dyDescent="0.25">
      <c r="A89" s="382" t="s">
        <v>140</v>
      </c>
      <c r="B89" s="472"/>
      <c r="C89" s="473"/>
      <c r="D89" s="474">
        <v>30000</v>
      </c>
      <c r="E89" s="473" t="s">
        <v>272</v>
      </c>
      <c r="F89" s="476"/>
      <c r="G89" s="476"/>
      <c r="H89" s="476"/>
      <c r="I89" s="476"/>
      <c r="J89" s="476"/>
      <c r="K89" s="475"/>
      <c r="L89" s="475">
        <v>0</v>
      </c>
      <c r="M89" s="475">
        <v>0</v>
      </c>
      <c r="N89" s="475">
        <v>0</v>
      </c>
      <c r="O89" s="475">
        <v>0</v>
      </c>
      <c r="P89" s="475">
        <v>0</v>
      </c>
      <c r="Q89" s="475">
        <v>0</v>
      </c>
      <c r="R89" s="475">
        <v>0</v>
      </c>
      <c r="S89" s="475">
        <v>0</v>
      </c>
      <c r="T89" s="475">
        <v>0</v>
      </c>
      <c r="U89" s="475"/>
      <c r="V89" s="475"/>
      <c r="W89" s="475"/>
      <c r="X89" s="475">
        <v>1</v>
      </c>
      <c r="Y89" s="475">
        <v>0</v>
      </c>
      <c r="Z89" s="477">
        <f>SUM(F89:Y89)</f>
        <v>1</v>
      </c>
      <c r="AA89" s="473"/>
      <c r="AB89" s="473"/>
      <c r="AC89" s="379">
        <f t="shared" ref="AC89" si="571">F89*$D89</f>
        <v>0</v>
      </c>
      <c r="AD89" s="379">
        <f t="shared" ref="AD89" si="572">G89*$D89</f>
        <v>0</v>
      </c>
      <c r="AE89" s="379">
        <f t="shared" ref="AE89" si="573">H89*$D89</f>
        <v>0</v>
      </c>
      <c r="AF89" s="379">
        <f t="shared" ref="AF89" si="574">I89*$D89</f>
        <v>0</v>
      </c>
      <c r="AG89" s="379">
        <f t="shared" ref="AG89" si="575">J89*$D89</f>
        <v>0</v>
      </c>
      <c r="AH89" s="474">
        <f t="shared" ref="AH89" si="576">K89*$D89</f>
        <v>0</v>
      </c>
      <c r="AI89" s="379">
        <f t="shared" ref="AI89" si="577">L89*$D89</f>
        <v>0</v>
      </c>
      <c r="AJ89" s="474">
        <f t="shared" ref="AJ89" si="578">M89*$D89</f>
        <v>0</v>
      </c>
      <c r="AK89" s="379">
        <f t="shared" ref="AK89" si="579">N89*$D89</f>
        <v>0</v>
      </c>
      <c r="AL89" s="379">
        <f t="shared" ref="AL89" si="580">O89*$D89</f>
        <v>0</v>
      </c>
      <c r="AM89" s="474">
        <f t="shared" ref="AM89" si="581">P89*$D89</f>
        <v>0</v>
      </c>
      <c r="AN89" s="479">
        <f t="shared" ref="AN89" si="582">Q89*$D89</f>
        <v>0</v>
      </c>
      <c r="AO89" s="479">
        <f t="shared" ref="AO89" si="583">R89*$D89</f>
        <v>0</v>
      </c>
      <c r="AP89" s="379">
        <f t="shared" ref="AP89" si="584">S89*$D89</f>
        <v>0</v>
      </c>
      <c r="AQ89" s="479">
        <f t="shared" ref="AQ89" si="585">T89*$D89</f>
        <v>0</v>
      </c>
      <c r="AR89" s="479">
        <f t="shared" ref="AR89" si="586">U89*$D89</f>
        <v>0</v>
      </c>
      <c r="AS89" s="479">
        <f t="shared" ref="AS89" si="587">V89*$D89</f>
        <v>0</v>
      </c>
      <c r="AT89" s="479">
        <f t="shared" ref="AT89" si="588">W89*$D89</f>
        <v>0</v>
      </c>
      <c r="AU89" s="479">
        <f t="shared" ref="AU89" si="589">X89*$D89</f>
        <v>30000</v>
      </c>
      <c r="AV89" s="379"/>
      <c r="AW89" s="379"/>
      <c r="AX89" s="379">
        <f t="shared" si="490"/>
        <v>0</v>
      </c>
      <c r="AY89" s="379">
        <f t="shared" si="490"/>
        <v>0</v>
      </c>
      <c r="AZ89" s="379">
        <f t="shared" si="490"/>
        <v>0</v>
      </c>
      <c r="BA89" s="379">
        <f t="shared" si="490"/>
        <v>0</v>
      </c>
      <c r="BB89" s="379">
        <f t="shared" si="490"/>
        <v>0</v>
      </c>
      <c r="BC89" s="379">
        <f t="shared" si="490"/>
        <v>0</v>
      </c>
      <c r="BD89" s="379">
        <f t="shared" si="490"/>
        <v>0</v>
      </c>
      <c r="BE89" s="379">
        <f t="shared" si="490"/>
        <v>0</v>
      </c>
      <c r="BF89" s="379">
        <f t="shared" si="490"/>
        <v>0</v>
      </c>
      <c r="BG89" s="379">
        <f t="shared" si="490"/>
        <v>0</v>
      </c>
      <c r="BH89" s="379">
        <f t="shared" ref="BH89:BM89" si="590">IF(BH$3=$E89,$D89,0)</f>
        <v>0</v>
      </c>
      <c r="BI89" s="379">
        <f t="shared" si="590"/>
        <v>0</v>
      </c>
      <c r="BJ89" s="379">
        <f t="shared" si="590"/>
        <v>0</v>
      </c>
      <c r="BK89" s="479">
        <f t="shared" si="590"/>
        <v>0</v>
      </c>
      <c r="BL89" s="379">
        <f t="shared" si="590"/>
        <v>0</v>
      </c>
      <c r="BM89" s="379">
        <f t="shared" si="590"/>
        <v>0</v>
      </c>
      <c r="BN89" s="379">
        <f t="shared" si="449"/>
        <v>0</v>
      </c>
      <c r="BO89" s="379">
        <f t="shared" si="449"/>
        <v>0</v>
      </c>
      <c r="BP89" s="379">
        <f t="shared" si="449"/>
        <v>30000</v>
      </c>
      <c r="BQ89" s="379">
        <f t="shared" si="449"/>
        <v>0</v>
      </c>
      <c r="BR89" s="404">
        <f t="shared" ref="BR89" si="591">SUM(AC89:AV89)-SUM(AX89:BQ89)</f>
        <v>0</v>
      </c>
    </row>
    <row r="90" spans="1:70" s="288" customFormat="1" ht="14.45" customHeight="1" x14ac:dyDescent="0.25">
      <c r="A90" s="382" t="s">
        <v>140</v>
      </c>
      <c r="B90" s="472"/>
      <c r="C90" s="473"/>
      <c r="D90" s="474">
        <v>100000</v>
      </c>
      <c r="E90" s="473" t="s">
        <v>266</v>
      </c>
      <c r="F90" s="476"/>
      <c r="G90" s="476"/>
      <c r="H90" s="476"/>
      <c r="I90" s="476"/>
      <c r="J90" s="476"/>
      <c r="K90" s="475"/>
      <c r="L90" s="475">
        <v>0</v>
      </c>
      <c r="M90" s="475">
        <v>0</v>
      </c>
      <c r="N90" s="475">
        <v>0</v>
      </c>
      <c r="O90" s="475">
        <v>0</v>
      </c>
      <c r="P90" s="475">
        <v>0</v>
      </c>
      <c r="Q90" s="475">
        <v>0</v>
      </c>
      <c r="R90" s="475">
        <v>0</v>
      </c>
      <c r="S90" s="475">
        <v>0</v>
      </c>
      <c r="T90" s="475">
        <v>0</v>
      </c>
      <c r="U90" s="475">
        <v>0</v>
      </c>
      <c r="V90" s="475">
        <v>0.6</v>
      </c>
      <c r="W90" s="475">
        <v>0.4</v>
      </c>
      <c r="X90" s="475"/>
      <c r="Y90" s="475"/>
      <c r="Z90" s="477">
        <f t="shared" si="551"/>
        <v>1</v>
      </c>
      <c r="AA90" s="473"/>
      <c r="AB90" s="473"/>
      <c r="AC90" s="379">
        <f t="shared" si="552"/>
        <v>0</v>
      </c>
      <c r="AD90" s="379">
        <f t="shared" si="553"/>
        <v>0</v>
      </c>
      <c r="AE90" s="379">
        <f t="shared" si="554"/>
        <v>0</v>
      </c>
      <c r="AF90" s="379">
        <f t="shared" si="555"/>
        <v>0</v>
      </c>
      <c r="AG90" s="379">
        <f t="shared" si="556"/>
        <v>0</v>
      </c>
      <c r="AH90" s="474">
        <f t="shared" si="557"/>
        <v>0</v>
      </c>
      <c r="AI90" s="379">
        <f t="shared" si="558"/>
        <v>0</v>
      </c>
      <c r="AJ90" s="474">
        <f t="shared" si="559"/>
        <v>0</v>
      </c>
      <c r="AK90" s="379">
        <f t="shared" si="560"/>
        <v>0</v>
      </c>
      <c r="AL90" s="379">
        <f t="shared" si="561"/>
        <v>0</v>
      </c>
      <c r="AM90" s="474">
        <f t="shared" si="562"/>
        <v>0</v>
      </c>
      <c r="AN90" s="479">
        <f t="shared" si="563"/>
        <v>0</v>
      </c>
      <c r="AO90" s="479">
        <f t="shared" si="564"/>
        <v>0</v>
      </c>
      <c r="AP90" s="379">
        <f t="shared" si="565"/>
        <v>0</v>
      </c>
      <c r="AQ90" s="479">
        <f t="shared" si="566"/>
        <v>0</v>
      </c>
      <c r="AR90" s="479">
        <f t="shared" si="567"/>
        <v>0</v>
      </c>
      <c r="AS90" s="479">
        <f t="shared" si="568"/>
        <v>60000</v>
      </c>
      <c r="AT90" s="479">
        <f t="shared" si="569"/>
        <v>40000</v>
      </c>
      <c r="AU90" s="479">
        <f t="shared" si="570"/>
        <v>0</v>
      </c>
      <c r="AV90" s="379"/>
      <c r="AW90" s="379"/>
      <c r="AX90" s="379">
        <f t="shared" si="490"/>
        <v>0</v>
      </c>
      <c r="AY90" s="379">
        <f t="shared" si="490"/>
        <v>0</v>
      </c>
      <c r="AZ90" s="379">
        <f t="shared" si="490"/>
        <v>0</v>
      </c>
      <c r="BA90" s="379">
        <f t="shared" si="490"/>
        <v>0</v>
      </c>
      <c r="BB90" s="379">
        <f t="shared" si="490"/>
        <v>0</v>
      </c>
      <c r="BC90" s="379">
        <f t="shared" si="490"/>
        <v>0</v>
      </c>
      <c r="BD90" s="379">
        <f t="shared" si="490"/>
        <v>0</v>
      </c>
      <c r="BE90" s="379">
        <f t="shared" si="490"/>
        <v>0</v>
      </c>
      <c r="BF90" s="379">
        <f t="shared" si="490"/>
        <v>0</v>
      </c>
      <c r="BG90" s="379">
        <f t="shared" si="490"/>
        <v>0</v>
      </c>
      <c r="BH90" s="379">
        <f t="shared" si="490"/>
        <v>0</v>
      </c>
      <c r="BI90" s="379">
        <f t="shared" si="490"/>
        <v>0</v>
      </c>
      <c r="BJ90" s="379">
        <f t="shared" si="490"/>
        <v>0</v>
      </c>
      <c r="BK90" s="479">
        <f t="shared" si="490"/>
        <v>0</v>
      </c>
      <c r="BL90" s="379">
        <f t="shared" si="490"/>
        <v>0</v>
      </c>
      <c r="BM90" s="379">
        <f t="shared" si="490"/>
        <v>0</v>
      </c>
      <c r="BN90" s="379">
        <f t="shared" si="449"/>
        <v>100000</v>
      </c>
      <c r="BO90" s="379">
        <f t="shared" si="449"/>
        <v>0</v>
      </c>
      <c r="BP90" s="379">
        <f t="shared" si="449"/>
        <v>0</v>
      </c>
      <c r="BQ90" s="379">
        <f t="shared" si="449"/>
        <v>0</v>
      </c>
      <c r="BR90" s="404">
        <f t="shared" si="422"/>
        <v>0</v>
      </c>
    </row>
    <row r="91" spans="1:70" s="288" customFormat="1" ht="14.25" customHeight="1" x14ac:dyDescent="0.25">
      <c r="A91" s="382" t="s">
        <v>140</v>
      </c>
      <c r="B91" s="472"/>
      <c r="C91" s="473"/>
      <c r="D91" s="474">
        <v>214.45</v>
      </c>
      <c r="E91" s="473" t="s">
        <v>230</v>
      </c>
      <c r="F91" s="476"/>
      <c r="G91" s="476"/>
      <c r="H91" s="476"/>
      <c r="I91" s="476"/>
      <c r="J91" s="476"/>
      <c r="K91" s="475"/>
      <c r="L91" s="475">
        <v>0</v>
      </c>
      <c r="M91" s="475">
        <v>0</v>
      </c>
      <c r="N91" s="475">
        <v>0</v>
      </c>
      <c r="O91" s="475">
        <v>0</v>
      </c>
      <c r="P91" s="475">
        <v>0</v>
      </c>
      <c r="Q91" s="475">
        <v>1</v>
      </c>
      <c r="R91" s="475">
        <v>0</v>
      </c>
      <c r="S91" s="475">
        <v>0</v>
      </c>
      <c r="T91" s="475">
        <v>0</v>
      </c>
      <c r="U91" s="475"/>
      <c r="V91" s="475"/>
      <c r="W91" s="475"/>
      <c r="X91" s="475"/>
      <c r="Y91" s="475"/>
      <c r="Z91" s="477">
        <f t="shared" ref="Z91:Z100" si="592">SUM(F91:X91)</f>
        <v>1</v>
      </c>
      <c r="AA91" s="473"/>
      <c r="AB91" s="473"/>
      <c r="AC91" s="379">
        <f t="shared" ref="AC91:AC100" si="593">F91*$D91</f>
        <v>0</v>
      </c>
      <c r="AD91" s="379">
        <f t="shared" ref="AD91:AD100" si="594">G91*$D91</f>
        <v>0</v>
      </c>
      <c r="AE91" s="379">
        <f t="shared" ref="AE91:AE100" si="595">H91*$D91</f>
        <v>0</v>
      </c>
      <c r="AF91" s="379">
        <f t="shared" ref="AF91:AF100" si="596">I91*$D91</f>
        <v>0</v>
      </c>
      <c r="AG91" s="379">
        <f t="shared" ref="AG91:AG100" si="597">J91*$D91</f>
        <v>0</v>
      </c>
      <c r="AH91" s="474">
        <f t="shared" ref="AH91:AH100" si="598">K91*$D91</f>
        <v>0</v>
      </c>
      <c r="AI91" s="379">
        <f t="shared" ref="AI91:AI100" si="599">L91*$D91</f>
        <v>0</v>
      </c>
      <c r="AJ91" s="474">
        <f t="shared" ref="AJ91:AJ100" si="600">M91*$D91</f>
        <v>0</v>
      </c>
      <c r="AK91" s="379">
        <f t="shared" ref="AK91:AK100" si="601">N91*$D91</f>
        <v>0</v>
      </c>
      <c r="AL91" s="379">
        <f t="shared" ref="AL91:AL100" si="602">O91*$D91</f>
        <v>0</v>
      </c>
      <c r="AM91" s="474">
        <f t="shared" ref="AM91:AM100" si="603">P91*$D91</f>
        <v>0</v>
      </c>
      <c r="AN91" s="479">
        <f t="shared" ref="AN91:AN100" si="604">Q91*$D91</f>
        <v>214.45</v>
      </c>
      <c r="AO91" s="479">
        <f t="shared" ref="AO91:AO100" si="605">R91*$D91</f>
        <v>0</v>
      </c>
      <c r="AP91" s="379">
        <f t="shared" ref="AP91:AQ100" si="606">S91*$D91</f>
        <v>0</v>
      </c>
      <c r="AQ91" s="479">
        <f t="shared" si="606"/>
        <v>0</v>
      </c>
      <c r="AR91" s="479">
        <f t="shared" ref="AR91:AR100" si="607">U91*$D91</f>
        <v>0</v>
      </c>
      <c r="AS91" s="479">
        <f t="shared" ref="AS91:AS100" si="608">V91*$D91</f>
        <v>0</v>
      </c>
      <c r="AT91" s="479">
        <f t="shared" ref="AT91:AT100" si="609">W91*$D91</f>
        <v>0</v>
      </c>
      <c r="AU91" s="479">
        <f t="shared" ref="AU91:AU100" si="610">X91*$D91</f>
        <v>0</v>
      </c>
      <c r="AV91" s="379"/>
      <c r="AW91" s="379"/>
      <c r="AX91" s="379">
        <f t="shared" si="490"/>
        <v>0</v>
      </c>
      <c r="AY91" s="379">
        <f t="shared" si="490"/>
        <v>0</v>
      </c>
      <c r="AZ91" s="379">
        <f t="shared" si="490"/>
        <v>0</v>
      </c>
      <c r="BA91" s="379">
        <f t="shared" si="490"/>
        <v>0</v>
      </c>
      <c r="BB91" s="379">
        <f t="shared" si="490"/>
        <v>0</v>
      </c>
      <c r="BC91" s="379">
        <f t="shared" si="490"/>
        <v>0</v>
      </c>
      <c r="BD91" s="379">
        <f t="shared" si="490"/>
        <v>0</v>
      </c>
      <c r="BE91" s="379">
        <f t="shared" si="490"/>
        <v>0</v>
      </c>
      <c r="BF91" s="379">
        <f t="shared" si="490"/>
        <v>0</v>
      </c>
      <c r="BG91" s="379">
        <f t="shared" si="490"/>
        <v>0</v>
      </c>
      <c r="BH91" s="379">
        <f t="shared" si="490"/>
        <v>0</v>
      </c>
      <c r="BI91" s="379">
        <f t="shared" si="490"/>
        <v>214.45</v>
      </c>
      <c r="BJ91" s="379">
        <f t="shared" si="490"/>
        <v>0</v>
      </c>
      <c r="BK91" s="479">
        <f t="shared" si="490"/>
        <v>0</v>
      </c>
      <c r="BL91" s="379">
        <f t="shared" si="490"/>
        <v>0</v>
      </c>
      <c r="BM91" s="379">
        <f t="shared" si="490"/>
        <v>0</v>
      </c>
      <c r="BN91" s="379">
        <f t="shared" si="449"/>
        <v>0</v>
      </c>
      <c r="BO91" s="379">
        <f t="shared" si="449"/>
        <v>0</v>
      </c>
      <c r="BP91" s="379">
        <f t="shared" si="449"/>
        <v>0</v>
      </c>
      <c r="BQ91" s="379">
        <f t="shared" si="449"/>
        <v>0</v>
      </c>
      <c r="BR91" s="404">
        <f t="shared" ref="BR91:BR99" si="611">SUM(AC91:AV91)-SUM(AX91:BQ91)</f>
        <v>0</v>
      </c>
    </row>
    <row r="92" spans="1:70" s="288" customFormat="1" ht="14.25" customHeight="1" x14ac:dyDescent="0.25">
      <c r="A92" s="382" t="s">
        <v>140</v>
      </c>
      <c r="B92" s="472"/>
      <c r="C92" s="473"/>
      <c r="D92" s="474">
        <v>24000</v>
      </c>
      <c r="E92" s="473" t="s">
        <v>282</v>
      </c>
      <c r="F92" s="476"/>
      <c r="G92" s="476"/>
      <c r="H92" s="476"/>
      <c r="I92" s="476"/>
      <c r="J92" s="476"/>
      <c r="K92" s="475"/>
      <c r="L92" s="475">
        <v>0</v>
      </c>
      <c r="M92" s="475">
        <v>0</v>
      </c>
      <c r="N92" s="475">
        <v>0</v>
      </c>
      <c r="O92" s="475">
        <v>0</v>
      </c>
      <c r="P92" s="475">
        <v>0</v>
      </c>
      <c r="Q92" s="475">
        <v>0</v>
      </c>
      <c r="R92" s="475">
        <v>0</v>
      </c>
      <c r="S92" s="475">
        <v>0</v>
      </c>
      <c r="T92" s="475">
        <v>0</v>
      </c>
      <c r="U92" s="475">
        <v>1</v>
      </c>
      <c r="V92" s="475"/>
      <c r="W92" s="475"/>
      <c r="X92" s="475"/>
      <c r="Y92" s="475"/>
      <c r="Z92" s="477">
        <f t="shared" ref="Z92" si="612">SUM(F92:X92)</f>
        <v>1</v>
      </c>
      <c r="AA92" s="473"/>
      <c r="AB92" s="473"/>
      <c r="AC92" s="379">
        <f t="shared" ref="AC92" si="613">F92*$D92</f>
        <v>0</v>
      </c>
      <c r="AD92" s="379">
        <f t="shared" ref="AD92" si="614">G92*$D92</f>
        <v>0</v>
      </c>
      <c r="AE92" s="379">
        <f t="shared" ref="AE92" si="615">H92*$D92</f>
        <v>0</v>
      </c>
      <c r="AF92" s="379">
        <f t="shared" ref="AF92" si="616">I92*$D92</f>
        <v>0</v>
      </c>
      <c r="AG92" s="379">
        <f t="shared" ref="AG92" si="617">J92*$D92</f>
        <v>0</v>
      </c>
      <c r="AH92" s="474">
        <f t="shared" ref="AH92" si="618">K92*$D92</f>
        <v>0</v>
      </c>
      <c r="AI92" s="379">
        <f t="shared" ref="AI92" si="619">L92*$D92</f>
        <v>0</v>
      </c>
      <c r="AJ92" s="474">
        <f t="shared" ref="AJ92" si="620">M92*$D92</f>
        <v>0</v>
      </c>
      <c r="AK92" s="379">
        <f t="shared" ref="AK92" si="621">N92*$D92</f>
        <v>0</v>
      </c>
      <c r="AL92" s="379">
        <f t="shared" ref="AL92" si="622">O92*$D92</f>
        <v>0</v>
      </c>
      <c r="AM92" s="474">
        <f t="shared" ref="AM92" si="623">P92*$D92</f>
        <v>0</v>
      </c>
      <c r="AN92" s="479">
        <f t="shared" ref="AN92" si="624">Q92*$D92</f>
        <v>0</v>
      </c>
      <c r="AO92" s="479">
        <f t="shared" ref="AO92" si="625">R92*$D92</f>
        <v>0</v>
      </c>
      <c r="AP92" s="379">
        <f t="shared" ref="AP92" si="626">S92*$D92</f>
        <v>0</v>
      </c>
      <c r="AQ92" s="479">
        <f t="shared" ref="AQ92" si="627">T92*$D92</f>
        <v>0</v>
      </c>
      <c r="AR92" s="479">
        <f t="shared" ref="AR92" si="628">U92*$D92</f>
        <v>24000</v>
      </c>
      <c r="AS92" s="479">
        <f t="shared" ref="AS92" si="629">V92*$D92</f>
        <v>0</v>
      </c>
      <c r="AT92" s="479">
        <f t="shared" ref="AT92" si="630">W92*$D92</f>
        <v>0</v>
      </c>
      <c r="AU92" s="479">
        <f t="shared" ref="AU92" si="631">X92*$D92</f>
        <v>0</v>
      </c>
      <c r="AV92" s="379"/>
      <c r="AW92" s="379"/>
      <c r="AX92" s="379">
        <f t="shared" ref="AX92:BM92" si="632">IF(AX$3=$E92,$D92,0)</f>
        <v>0</v>
      </c>
      <c r="AY92" s="379">
        <f t="shared" si="632"/>
        <v>0</v>
      </c>
      <c r="AZ92" s="379">
        <f t="shared" si="632"/>
        <v>0</v>
      </c>
      <c r="BA92" s="379">
        <f t="shared" si="632"/>
        <v>0</v>
      </c>
      <c r="BB92" s="379">
        <f t="shared" si="632"/>
        <v>0</v>
      </c>
      <c r="BC92" s="379">
        <f t="shared" si="632"/>
        <v>0</v>
      </c>
      <c r="BD92" s="379">
        <f t="shared" si="632"/>
        <v>0</v>
      </c>
      <c r="BE92" s="379">
        <f t="shared" si="632"/>
        <v>0</v>
      </c>
      <c r="BF92" s="379">
        <f t="shared" si="632"/>
        <v>0</v>
      </c>
      <c r="BG92" s="379">
        <f t="shared" si="632"/>
        <v>0</v>
      </c>
      <c r="BH92" s="379">
        <f t="shared" si="632"/>
        <v>0</v>
      </c>
      <c r="BI92" s="379">
        <f t="shared" si="632"/>
        <v>0</v>
      </c>
      <c r="BJ92" s="379">
        <f t="shared" si="632"/>
        <v>0</v>
      </c>
      <c r="BK92" s="479">
        <f t="shared" si="632"/>
        <v>0</v>
      </c>
      <c r="BL92" s="379">
        <f t="shared" si="632"/>
        <v>0</v>
      </c>
      <c r="BM92" s="379">
        <f t="shared" si="632"/>
        <v>24000</v>
      </c>
      <c r="BN92" s="379">
        <f t="shared" si="449"/>
        <v>0</v>
      </c>
      <c r="BO92" s="379">
        <f t="shared" si="449"/>
        <v>0</v>
      </c>
      <c r="BP92" s="379">
        <f t="shared" si="449"/>
        <v>0</v>
      </c>
      <c r="BQ92" s="379">
        <f t="shared" si="449"/>
        <v>0</v>
      </c>
      <c r="BR92" s="404">
        <f t="shared" ref="BR92" si="633">SUM(AC92:AV92)-SUM(AX92:BQ92)</f>
        <v>0</v>
      </c>
    </row>
    <row r="93" spans="1:70" s="288" customFormat="1" ht="15" customHeight="1" x14ac:dyDescent="0.25">
      <c r="A93" s="382" t="s">
        <v>137</v>
      </c>
      <c r="B93" s="472"/>
      <c r="C93" s="473"/>
      <c r="D93" s="474">
        <v>33000</v>
      </c>
      <c r="E93" s="473" t="s">
        <v>210</v>
      </c>
      <c r="F93" s="475"/>
      <c r="G93" s="475"/>
      <c r="H93" s="475"/>
      <c r="I93" s="475">
        <v>0</v>
      </c>
      <c r="J93" s="475">
        <v>0</v>
      </c>
      <c r="K93" s="475">
        <v>0</v>
      </c>
      <c r="L93" s="476">
        <v>0</v>
      </c>
      <c r="M93" s="476">
        <v>0</v>
      </c>
      <c r="N93" s="476">
        <v>0</v>
      </c>
      <c r="O93" s="476">
        <v>0</v>
      </c>
      <c r="P93" s="476">
        <v>0</v>
      </c>
      <c r="Q93" s="475">
        <v>0</v>
      </c>
      <c r="R93" s="475">
        <v>0</v>
      </c>
      <c r="S93" s="475">
        <v>0</v>
      </c>
      <c r="T93" s="475">
        <v>0.2</v>
      </c>
      <c r="U93" s="475">
        <v>0.16666666666666669</v>
      </c>
      <c r="V93" s="475">
        <v>0.17</v>
      </c>
      <c r="W93" s="475">
        <f>1-(U93+V93+T93)</f>
        <v>0.46333333333333337</v>
      </c>
      <c r="X93" s="475"/>
      <c r="Y93" s="475"/>
      <c r="Z93" s="477">
        <f>SUM(F93:Y93)</f>
        <v>1</v>
      </c>
      <c r="AA93" s="473"/>
      <c r="AB93" s="473"/>
      <c r="AC93" s="379">
        <f t="shared" si="593"/>
        <v>0</v>
      </c>
      <c r="AD93" s="379">
        <f t="shared" si="594"/>
        <v>0</v>
      </c>
      <c r="AE93" s="379">
        <f t="shared" si="595"/>
        <v>0</v>
      </c>
      <c r="AF93" s="379">
        <f t="shared" si="596"/>
        <v>0</v>
      </c>
      <c r="AG93" s="379">
        <f t="shared" si="597"/>
        <v>0</v>
      </c>
      <c r="AH93" s="474">
        <f t="shared" si="598"/>
        <v>0</v>
      </c>
      <c r="AI93" s="379">
        <f t="shared" si="599"/>
        <v>0</v>
      </c>
      <c r="AJ93" s="474">
        <f t="shared" si="600"/>
        <v>0</v>
      </c>
      <c r="AK93" s="474">
        <f t="shared" si="601"/>
        <v>0</v>
      </c>
      <c r="AL93" s="379">
        <f t="shared" si="602"/>
        <v>0</v>
      </c>
      <c r="AM93" s="474">
        <f t="shared" si="603"/>
        <v>0</v>
      </c>
      <c r="AN93" s="479">
        <f t="shared" si="604"/>
        <v>0</v>
      </c>
      <c r="AO93" s="479">
        <f t="shared" si="605"/>
        <v>0</v>
      </c>
      <c r="AP93" s="379">
        <f t="shared" si="606"/>
        <v>0</v>
      </c>
      <c r="AQ93" s="479">
        <f t="shared" si="606"/>
        <v>6600</v>
      </c>
      <c r="AR93" s="479">
        <f t="shared" si="607"/>
        <v>5500.0000000000009</v>
      </c>
      <c r="AS93" s="479">
        <f t="shared" si="608"/>
        <v>5610</v>
      </c>
      <c r="AT93" s="479">
        <f t="shared" si="609"/>
        <v>15290.000000000002</v>
      </c>
      <c r="AU93" s="479">
        <f t="shared" si="610"/>
        <v>0</v>
      </c>
      <c r="AV93" s="379"/>
      <c r="AW93" s="379"/>
      <c r="AX93" s="379">
        <f t="shared" si="490"/>
        <v>0</v>
      </c>
      <c r="AY93" s="379">
        <f t="shared" si="490"/>
        <v>0</v>
      </c>
      <c r="AZ93" s="379">
        <f t="shared" si="490"/>
        <v>0</v>
      </c>
      <c r="BA93" s="379">
        <f t="shared" si="490"/>
        <v>0</v>
      </c>
      <c r="BB93" s="379">
        <f t="shared" si="490"/>
        <v>0</v>
      </c>
      <c r="BC93" s="379">
        <f t="shared" si="490"/>
        <v>0</v>
      </c>
      <c r="BD93" s="379">
        <f t="shared" si="490"/>
        <v>0</v>
      </c>
      <c r="BE93" s="379">
        <f t="shared" si="490"/>
        <v>0</v>
      </c>
      <c r="BF93" s="474">
        <f t="shared" si="490"/>
        <v>0</v>
      </c>
      <c r="BG93" s="379">
        <f t="shared" si="490"/>
        <v>0</v>
      </c>
      <c r="BH93" s="379">
        <f t="shared" si="490"/>
        <v>0</v>
      </c>
      <c r="BI93" s="379">
        <f t="shared" si="490"/>
        <v>0</v>
      </c>
      <c r="BJ93" s="379">
        <f t="shared" si="490"/>
        <v>0</v>
      </c>
      <c r="BK93" s="479">
        <f t="shared" si="490"/>
        <v>0</v>
      </c>
      <c r="BL93" s="379">
        <f t="shared" si="490"/>
        <v>33000</v>
      </c>
      <c r="BM93" s="379">
        <f t="shared" si="490"/>
        <v>0</v>
      </c>
      <c r="BN93" s="379">
        <f t="shared" si="490"/>
        <v>0</v>
      </c>
      <c r="BO93" s="379">
        <f t="shared" si="449"/>
        <v>0</v>
      </c>
      <c r="BP93" s="379">
        <f t="shared" si="449"/>
        <v>0</v>
      </c>
      <c r="BQ93" s="379">
        <f t="shared" si="449"/>
        <v>0</v>
      </c>
      <c r="BR93" s="404">
        <f t="shared" ref="BR93" si="634">SUM(AC93:AV93)-SUM(AX93:BQ93)</f>
        <v>0</v>
      </c>
    </row>
    <row r="94" spans="1:70" s="288" customFormat="1" ht="14.45" customHeight="1" x14ac:dyDescent="0.25">
      <c r="A94" s="382" t="s">
        <v>137</v>
      </c>
      <c r="B94" s="472"/>
      <c r="C94" s="473"/>
      <c r="D94" s="474">
        <v>10000</v>
      </c>
      <c r="E94" s="473" t="s">
        <v>266</v>
      </c>
      <c r="F94" s="476"/>
      <c r="G94" s="476"/>
      <c r="H94" s="476"/>
      <c r="I94" s="476"/>
      <c r="J94" s="476"/>
      <c r="K94" s="475"/>
      <c r="L94" s="475">
        <v>0</v>
      </c>
      <c r="M94" s="475">
        <v>0</v>
      </c>
      <c r="N94" s="475">
        <v>0</v>
      </c>
      <c r="O94" s="475">
        <v>0</v>
      </c>
      <c r="P94" s="475">
        <v>0</v>
      </c>
      <c r="Q94" s="475">
        <v>0</v>
      </c>
      <c r="R94" s="475">
        <v>0</v>
      </c>
      <c r="S94" s="475">
        <v>0</v>
      </c>
      <c r="T94" s="475">
        <v>0</v>
      </c>
      <c r="U94" s="475"/>
      <c r="V94" s="475">
        <v>1</v>
      </c>
      <c r="W94" s="475"/>
      <c r="X94" s="475"/>
      <c r="Y94" s="475"/>
      <c r="Z94" s="477">
        <f t="shared" si="592"/>
        <v>1</v>
      </c>
      <c r="AA94" s="473"/>
      <c r="AB94" s="473"/>
      <c r="AC94" s="379">
        <f t="shared" si="593"/>
        <v>0</v>
      </c>
      <c r="AD94" s="379">
        <f t="shared" si="594"/>
        <v>0</v>
      </c>
      <c r="AE94" s="379">
        <f t="shared" si="595"/>
        <v>0</v>
      </c>
      <c r="AF94" s="379">
        <f t="shared" si="596"/>
        <v>0</v>
      </c>
      <c r="AG94" s="379">
        <f t="shared" si="597"/>
        <v>0</v>
      </c>
      <c r="AH94" s="474">
        <f t="shared" si="598"/>
        <v>0</v>
      </c>
      <c r="AI94" s="379">
        <f t="shared" si="599"/>
        <v>0</v>
      </c>
      <c r="AJ94" s="474">
        <f t="shared" si="600"/>
        <v>0</v>
      </c>
      <c r="AK94" s="379">
        <f t="shared" si="601"/>
        <v>0</v>
      </c>
      <c r="AL94" s="379">
        <f t="shared" si="602"/>
        <v>0</v>
      </c>
      <c r="AM94" s="474">
        <f t="shared" si="603"/>
        <v>0</v>
      </c>
      <c r="AN94" s="479">
        <f t="shared" si="604"/>
        <v>0</v>
      </c>
      <c r="AO94" s="479">
        <f t="shared" si="605"/>
        <v>0</v>
      </c>
      <c r="AP94" s="379">
        <f t="shared" si="606"/>
        <v>0</v>
      </c>
      <c r="AQ94" s="479">
        <f t="shared" si="606"/>
        <v>0</v>
      </c>
      <c r="AR94" s="479">
        <f t="shared" si="607"/>
        <v>0</v>
      </c>
      <c r="AS94" s="479">
        <f t="shared" si="608"/>
        <v>10000</v>
      </c>
      <c r="AT94" s="479">
        <f t="shared" si="609"/>
        <v>0</v>
      </c>
      <c r="AU94" s="479">
        <f t="shared" si="610"/>
        <v>0</v>
      </c>
      <c r="AV94" s="379"/>
      <c r="AW94" s="379"/>
      <c r="AX94" s="379">
        <f t="shared" si="490"/>
        <v>0</v>
      </c>
      <c r="AY94" s="379">
        <f t="shared" si="490"/>
        <v>0</v>
      </c>
      <c r="AZ94" s="379">
        <f t="shared" si="490"/>
        <v>0</v>
      </c>
      <c r="BA94" s="379">
        <f t="shared" si="490"/>
        <v>0</v>
      </c>
      <c r="BB94" s="379">
        <f t="shared" si="490"/>
        <v>0</v>
      </c>
      <c r="BC94" s="379">
        <f t="shared" si="490"/>
        <v>0</v>
      </c>
      <c r="BD94" s="379">
        <f t="shared" si="490"/>
        <v>0</v>
      </c>
      <c r="BE94" s="379">
        <f t="shared" si="490"/>
        <v>0</v>
      </c>
      <c r="BF94" s="379">
        <f t="shared" si="490"/>
        <v>0</v>
      </c>
      <c r="BG94" s="379">
        <f t="shared" si="490"/>
        <v>0</v>
      </c>
      <c r="BH94" s="379">
        <f t="shared" si="490"/>
        <v>0</v>
      </c>
      <c r="BI94" s="379">
        <f t="shared" si="490"/>
        <v>0</v>
      </c>
      <c r="BJ94" s="379">
        <f t="shared" si="490"/>
        <v>0</v>
      </c>
      <c r="BK94" s="479">
        <f t="shared" si="490"/>
        <v>0</v>
      </c>
      <c r="BL94" s="379">
        <f t="shared" si="490"/>
        <v>0</v>
      </c>
      <c r="BM94" s="379">
        <f t="shared" si="490"/>
        <v>0</v>
      </c>
      <c r="BN94" s="379">
        <f t="shared" si="449"/>
        <v>10000</v>
      </c>
      <c r="BO94" s="379">
        <f t="shared" si="449"/>
        <v>0</v>
      </c>
      <c r="BP94" s="379">
        <f t="shared" si="449"/>
        <v>0</v>
      </c>
      <c r="BQ94" s="379">
        <f t="shared" si="449"/>
        <v>0</v>
      </c>
      <c r="BR94" s="404">
        <f t="shared" si="611"/>
        <v>0</v>
      </c>
    </row>
    <row r="95" spans="1:70" s="288" customFormat="1" ht="14.45" customHeight="1" x14ac:dyDescent="0.25">
      <c r="A95" s="382" t="s">
        <v>140</v>
      </c>
      <c r="B95" s="472"/>
      <c r="C95" s="473"/>
      <c r="D95" s="474">
        <v>8000</v>
      </c>
      <c r="E95" s="473" t="s">
        <v>266</v>
      </c>
      <c r="F95" s="476"/>
      <c r="G95" s="476"/>
      <c r="H95" s="476"/>
      <c r="I95" s="476"/>
      <c r="J95" s="476"/>
      <c r="K95" s="475"/>
      <c r="L95" s="475">
        <v>0</v>
      </c>
      <c r="M95" s="475">
        <v>0</v>
      </c>
      <c r="N95" s="475">
        <v>0</v>
      </c>
      <c r="O95" s="475">
        <v>0</v>
      </c>
      <c r="P95" s="475">
        <v>0</v>
      </c>
      <c r="Q95" s="475">
        <v>0</v>
      </c>
      <c r="R95" s="475">
        <v>0</v>
      </c>
      <c r="S95" s="475">
        <v>0</v>
      </c>
      <c r="T95" s="475">
        <v>0</v>
      </c>
      <c r="U95" s="475"/>
      <c r="V95" s="475">
        <v>0.25</v>
      </c>
      <c r="W95" s="475">
        <v>0.75</v>
      </c>
      <c r="X95" s="475"/>
      <c r="Y95" s="475"/>
      <c r="Z95" s="477">
        <f t="shared" si="592"/>
        <v>1</v>
      </c>
      <c r="AA95" s="473"/>
      <c r="AB95" s="473"/>
      <c r="AC95" s="379">
        <f t="shared" si="593"/>
        <v>0</v>
      </c>
      <c r="AD95" s="379">
        <f t="shared" si="594"/>
        <v>0</v>
      </c>
      <c r="AE95" s="379">
        <f t="shared" si="595"/>
        <v>0</v>
      </c>
      <c r="AF95" s="379">
        <f t="shared" si="596"/>
        <v>0</v>
      </c>
      <c r="AG95" s="379">
        <f t="shared" si="597"/>
        <v>0</v>
      </c>
      <c r="AH95" s="474">
        <f t="shared" si="598"/>
        <v>0</v>
      </c>
      <c r="AI95" s="379">
        <f t="shared" si="599"/>
        <v>0</v>
      </c>
      <c r="AJ95" s="474">
        <f t="shared" si="600"/>
        <v>0</v>
      </c>
      <c r="AK95" s="379">
        <f t="shared" si="601"/>
        <v>0</v>
      </c>
      <c r="AL95" s="379">
        <f t="shared" si="602"/>
        <v>0</v>
      </c>
      <c r="AM95" s="474">
        <f t="shared" si="603"/>
        <v>0</v>
      </c>
      <c r="AN95" s="479">
        <f t="shared" si="604"/>
        <v>0</v>
      </c>
      <c r="AO95" s="479">
        <f t="shared" si="605"/>
        <v>0</v>
      </c>
      <c r="AP95" s="379">
        <f t="shared" si="606"/>
        <v>0</v>
      </c>
      <c r="AQ95" s="479">
        <f t="shared" si="606"/>
        <v>0</v>
      </c>
      <c r="AR95" s="479">
        <f t="shared" si="607"/>
        <v>0</v>
      </c>
      <c r="AS95" s="479">
        <f t="shared" si="608"/>
        <v>2000</v>
      </c>
      <c r="AT95" s="479">
        <f t="shared" si="609"/>
        <v>6000</v>
      </c>
      <c r="AU95" s="479">
        <f t="shared" si="610"/>
        <v>0</v>
      </c>
      <c r="AV95" s="379"/>
      <c r="AW95" s="379"/>
      <c r="AX95" s="379">
        <f t="shared" si="490"/>
        <v>0</v>
      </c>
      <c r="AY95" s="379">
        <f t="shared" si="490"/>
        <v>0</v>
      </c>
      <c r="AZ95" s="379">
        <f t="shared" si="490"/>
        <v>0</v>
      </c>
      <c r="BA95" s="379">
        <f t="shared" si="490"/>
        <v>0</v>
      </c>
      <c r="BB95" s="379">
        <f t="shared" si="490"/>
        <v>0</v>
      </c>
      <c r="BC95" s="379">
        <f t="shared" si="490"/>
        <v>0</v>
      </c>
      <c r="BD95" s="379">
        <f t="shared" si="490"/>
        <v>0</v>
      </c>
      <c r="BE95" s="379">
        <f t="shared" si="490"/>
        <v>0</v>
      </c>
      <c r="BF95" s="379">
        <f t="shared" si="490"/>
        <v>0</v>
      </c>
      <c r="BG95" s="379">
        <f t="shared" si="490"/>
        <v>0</v>
      </c>
      <c r="BH95" s="379">
        <f t="shared" si="490"/>
        <v>0</v>
      </c>
      <c r="BI95" s="379">
        <f t="shared" si="490"/>
        <v>0</v>
      </c>
      <c r="BJ95" s="379">
        <f t="shared" si="490"/>
        <v>0</v>
      </c>
      <c r="BK95" s="479">
        <f t="shared" si="490"/>
        <v>0</v>
      </c>
      <c r="BL95" s="379">
        <f t="shared" si="490"/>
        <v>0</v>
      </c>
      <c r="BM95" s="379">
        <f t="shared" si="490"/>
        <v>0</v>
      </c>
      <c r="BN95" s="379">
        <f t="shared" si="449"/>
        <v>8000</v>
      </c>
      <c r="BO95" s="379">
        <f t="shared" si="449"/>
        <v>0</v>
      </c>
      <c r="BP95" s="379">
        <f t="shared" si="449"/>
        <v>0</v>
      </c>
      <c r="BQ95" s="379">
        <f t="shared" si="449"/>
        <v>0</v>
      </c>
      <c r="BR95" s="404">
        <f t="shared" si="611"/>
        <v>0</v>
      </c>
    </row>
    <row r="96" spans="1:70" s="288" customFormat="1" ht="14.45" customHeight="1" x14ac:dyDescent="0.25">
      <c r="A96" s="382" t="s">
        <v>140</v>
      </c>
      <c r="B96" s="472"/>
      <c r="C96" s="473"/>
      <c r="D96" s="474">
        <v>12000</v>
      </c>
      <c r="E96" s="473" t="s">
        <v>210</v>
      </c>
      <c r="F96" s="476"/>
      <c r="G96" s="476"/>
      <c r="H96" s="476"/>
      <c r="I96" s="476"/>
      <c r="J96" s="476"/>
      <c r="K96" s="475"/>
      <c r="L96" s="475">
        <v>0</v>
      </c>
      <c r="M96" s="475">
        <v>0</v>
      </c>
      <c r="N96" s="475">
        <v>0</v>
      </c>
      <c r="O96" s="475">
        <v>0</v>
      </c>
      <c r="P96" s="475">
        <v>0</v>
      </c>
      <c r="Q96" s="475">
        <v>0</v>
      </c>
      <c r="R96" s="475">
        <v>0</v>
      </c>
      <c r="S96" s="475">
        <v>0</v>
      </c>
      <c r="T96" s="475">
        <v>1</v>
      </c>
      <c r="U96" s="475"/>
      <c r="V96" s="475">
        <v>0</v>
      </c>
      <c r="W96" s="475">
        <v>0</v>
      </c>
      <c r="X96" s="475"/>
      <c r="Y96" s="475"/>
      <c r="Z96" s="477">
        <f t="shared" ref="Z96" si="635">SUM(F96:X96)</f>
        <v>1</v>
      </c>
      <c r="AA96" s="473"/>
      <c r="AB96" s="473"/>
      <c r="AC96" s="379">
        <f t="shared" ref="AC96" si="636">F96*$D96</f>
        <v>0</v>
      </c>
      <c r="AD96" s="379">
        <f t="shared" ref="AD96" si="637">G96*$D96</f>
        <v>0</v>
      </c>
      <c r="AE96" s="379">
        <f t="shared" ref="AE96" si="638">H96*$D96</f>
        <v>0</v>
      </c>
      <c r="AF96" s="379">
        <f t="shared" ref="AF96" si="639">I96*$D96</f>
        <v>0</v>
      </c>
      <c r="AG96" s="379">
        <f t="shared" ref="AG96" si="640">J96*$D96</f>
        <v>0</v>
      </c>
      <c r="AH96" s="474">
        <f t="shared" ref="AH96" si="641">K96*$D96</f>
        <v>0</v>
      </c>
      <c r="AI96" s="379">
        <f t="shared" ref="AI96" si="642">L96*$D96</f>
        <v>0</v>
      </c>
      <c r="AJ96" s="474">
        <f t="shared" ref="AJ96" si="643">M96*$D96</f>
        <v>0</v>
      </c>
      <c r="AK96" s="379">
        <f t="shared" ref="AK96" si="644">N96*$D96</f>
        <v>0</v>
      </c>
      <c r="AL96" s="379">
        <f t="shared" ref="AL96" si="645">O96*$D96</f>
        <v>0</v>
      </c>
      <c r="AM96" s="474">
        <f t="shared" ref="AM96" si="646">P96*$D96</f>
        <v>0</v>
      </c>
      <c r="AN96" s="479">
        <f t="shared" ref="AN96" si="647">Q96*$D96</f>
        <v>0</v>
      </c>
      <c r="AO96" s="479">
        <f t="shared" ref="AO96" si="648">R96*$D96</f>
        <v>0</v>
      </c>
      <c r="AP96" s="379">
        <f t="shared" ref="AP96" si="649">S96*$D96</f>
        <v>0</v>
      </c>
      <c r="AQ96" s="479">
        <f t="shared" ref="AQ96" si="650">T96*$D96</f>
        <v>12000</v>
      </c>
      <c r="AR96" s="479">
        <f t="shared" ref="AR96" si="651">U96*$D96</f>
        <v>0</v>
      </c>
      <c r="AS96" s="479">
        <f t="shared" ref="AS96" si="652">V96*$D96</f>
        <v>0</v>
      </c>
      <c r="AT96" s="479">
        <f t="shared" ref="AT96" si="653">W96*$D96</f>
        <v>0</v>
      </c>
      <c r="AU96" s="479">
        <f t="shared" ref="AU96" si="654">X96*$D96</f>
        <v>0</v>
      </c>
      <c r="AV96" s="379"/>
      <c r="AW96" s="379"/>
      <c r="AX96" s="379">
        <f t="shared" ref="AX96:BM96" si="655">IF(AX$3=$E96,$D96,0)</f>
        <v>0</v>
      </c>
      <c r="AY96" s="379">
        <f t="shared" si="655"/>
        <v>0</v>
      </c>
      <c r="AZ96" s="379">
        <f t="shared" si="655"/>
        <v>0</v>
      </c>
      <c r="BA96" s="379">
        <f t="shared" si="655"/>
        <v>0</v>
      </c>
      <c r="BB96" s="379">
        <f t="shared" si="655"/>
        <v>0</v>
      </c>
      <c r="BC96" s="379">
        <f t="shared" si="655"/>
        <v>0</v>
      </c>
      <c r="BD96" s="379">
        <f t="shared" si="655"/>
        <v>0</v>
      </c>
      <c r="BE96" s="379">
        <f t="shared" si="655"/>
        <v>0</v>
      </c>
      <c r="BF96" s="379">
        <f t="shared" si="655"/>
        <v>0</v>
      </c>
      <c r="BG96" s="379">
        <f t="shared" si="655"/>
        <v>0</v>
      </c>
      <c r="BH96" s="379">
        <f t="shared" si="655"/>
        <v>0</v>
      </c>
      <c r="BI96" s="379">
        <f t="shared" si="655"/>
        <v>0</v>
      </c>
      <c r="BJ96" s="379">
        <f t="shared" si="655"/>
        <v>0</v>
      </c>
      <c r="BK96" s="479">
        <f t="shared" si="655"/>
        <v>0</v>
      </c>
      <c r="BL96" s="379">
        <f t="shared" si="655"/>
        <v>12000</v>
      </c>
      <c r="BM96" s="379">
        <f t="shared" si="655"/>
        <v>0</v>
      </c>
      <c r="BN96" s="379">
        <f t="shared" si="449"/>
        <v>0</v>
      </c>
      <c r="BO96" s="379">
        <f t="shared" si="449"/>
        <v>0</v>
      </c>
      <c r="BP96" s="379">
        <f t="shared" si="449"/>
        <v>0</v>
      </c>
      <c r="BQ96" s="379">
        <f t="shared" si="449"/>
        <v>0</v>
      </c>
      <c r="BR96" s="404">
        <f t="shared" ref="BR96" si="656">SUM(AC96:AV96)-SUM(AX96:BQ96)</f>
        <v>0</v>
      </c>
    </row>
    <row r="97" spans="1:71" s="288" customFormat="1" ht="14.45" customHeight="1" x14ac:dyDescent="0.25">
      <c r="A97" s="382" t="s">
        <v>137</v>
      </c>
      <c r="B97" s="472"/>
      <c r="C97" s="473"/>
      <c r="D97" s="474">
        <v>170000</v>
      </c>
      <c r="E97" s="473" t="s">
        <v>267</v>
      </c>
      <c r="F97" s="476"/>
      <c r="G97" s="476"/>
      <c r="H97" s="476"/>
      <c r="I97" s="476"/>
      <c r="J97" s="476"/>
      <c r="K97" s="475"/>
      <c r="L97" s="475">
        <v>0</v>
      </c>
      <c r="M97" s="475">
        <v>0</v>
      </c>
      <c r="N97" s="475">
        <v>0</v>
      </c>
      <c r="O97" s="475">
        <v>0</v>
      </c>
      <c r="P97" s="475">
        <v>0</v>
      </c>
      <c r="Q97" s="475">
        <v>0</v>
      </c>
      <c r="R97" s="475">
        <v>0</v>
      </c>
      <c r="S97" s="475">
        <v>0</v>
      </c>
      <c r="T97" s="475">
        <v>0</v>
      </c>
      <c r="U97" s="475"/>
      <c r="V97" s="475"/>
      <c r="W97" s="475">
        <v>1</v>
      </c>
      <c r="X97" s="475"/>
      <c r="Y97" s="475"/>
      <c r="Z97" s="477">
        <f t="shared" si="592"/>
        <v>1</v>
      </c>
      <c r="AA97" s="473"/>
      <c r="AB97" s="473"/>
      <c r="AC97" s="379">
        <f t="shared" si="593"/>
        <v>0</v>
      </c>
      <c r="AD97" s="379">
        <f t="shared" si="594"/>
        <v>0</v>
      </c>
      <c r="AE97" s="379">
        <f t="shared" si="595"/>
        <v>0</v>
      </c>
      <c r="AF97" s="379">
        <f t="shared" si="596"/>
        <v>0</v>
      </c>
      <c r="AG97" s="379">
        <f t="shared" si="597"/>
        <v>0</v>
      </c>
      <c r="AH97" s="474">
        <f t="shared" si="598"/>
        <v>0</v>
      </c>
      <c r="AI97" s="379">
        <f t="shared" si="599"/>
        <v>0</v>
      </c>
      <c r="AJ97" s="474">
        <f t="shared" si="600"/>
        <v>0</v>
      </c>
      <c r="AK97" s="379">
        <f t="shared" si="601"/>
        <v>0</v>
      </c>
      <c r="AL97" s="379">
        <f t="shared" si="602"/>
        <v>0</v>
      </c>
      <c r="AM97" s="474">
        <f t="shared" si="603"/>
        <v>0</v>
      </c>
      <c r="AN97" s="479">
        <f t="shared" si="604"/>
        <v>0</v>
      </c>
      <c r="AO97" s="479">
        <f t="shared" si="605"/>
        <v>0</v>
      </c>
      <c r="AP97" s="379">
        <f t="shared" si="606"/>
        <v>0</v>
      </c>
      <c r="AQ97" s="479">
        <f t="shared" si="606"/>
        <v>0</v>
      </c>
      <c r="AR97" s="479">
        <f t="shared" si="607"/>
        <v>0</v>
      </c>
      <c r="AS97" s="479">
        <f t="shared" si="608"/>
        <v>0</v>
      </c>
      <c r="AT97" s="479">
        <f t="shared" si="609"/>
        <v>170000</v>
      </c>
      <c r="AU97" s="479">
        <f t="shared" si="610"/>
        <v>0</v>
      </c>
      <c r="AV97" s="379"/>
      <c r="AW97" s="379"/>
      <c r="AX97" s="379">
        <f t="shared" si="490"/>
        <v>0</v>
      </c>
      <c r="AY97" s="379">
        <f t="shared" si="490"/>
        <v>0</v>
      </c>
      <c r="AZ97" s="379">
        <f t="shared" si="490"/>
        <v>0</v>
      </c>
      <c r="BA97" s="379">
        <f t="shared" si="490"/>
        <v>0</v>
      </c>
      <c r="BB97" s="379">
        <f t="shared" si="490"/>
        <v>0</v>
      </c>
      <c r="BC97" s="379">
        <f t="shared" si="490"/>
        <v>0</v>
      </c>
      <c r="BD97" s="379">
        <f t="shared" si="490"/>
        <v>0</v>
      </c>
      <c r="BE97" s="379">
        <f t="shared" si="490"/>
        <v>0</v>
      </c>
      <c r="BF97" s="379">
        <f t="shared" si="490"/>
        <v>0</v>
      </c>
      <c r="BG97" s="379">
        <f t="shared" si="490"/>
        <v>0</v>
      </c>
      <c r="BH97" s="379">
        <f t="shared" si="490"/>
        <v>0</v>
      </c>
      <c r="BI97" s="379">
        <f t="shared" si="490"/>
        <v>0</v>
      </c>
      <c r="BJ97" s="379">
        <f t="shared" si="490"/>
        <v>0</v>
      </c>
      <c r="BK97" s="479">
        <f t="shared" si="490"/>
        <v>0</v>
      </c>
      <c r="BL97" s="379">
        <f t="shared" si="490"/>
        <v>0</v>
      </c>
      <c r="BM97" s="379">
        <f t="shared" si="490"/>
        <v>0</v>
      </c>
      <c r="BN97" s="379">
        <f t="shared" si="449"/>
        <v>0</v>
      </c>
      <c r="BO97" s="379">
        <f t="shared" si="449"/>
        <v>170000</v>
      </c>
      <c r="BP97" s="379">
        <f t="shared" si="449"/>
        <v>0</v>
      </c>
      <c r="BQ97" s="379">
        <f t="shared" si="449"/>
        <v>0</v>
      </c>
      <c r="BR97" s="404">
        <f t="shared" si="611"/>
        <v>0</v>
      </c>
    </row>
    <row r="98" spans="1:71" s="288" customFormat="1" ht="14.45" customHeight="1" x14ac:dyDescent="0.25">
      <c r="A98" s="382" t="s">
        <v>137</v>
      </c>
      <c r="B98" s="472"/>
      <c r="C98" s="473"/>
      <c r="D98" s="474">
        <v>25000</v>
      </c>
      <c r="E98" s="473" t="s">
        <v>267</v>
      </c>
      <c r="F98" s="476"/>
      <c r="G98" s="476"/>
      <c r="H98" s="476"/>
      <c r="I98" s="476"/>
      <c r="J98" s="476"/>
      <c r="K98" s="475"/>
      <c r="L98" s="475">
        <v>0</v>
      </c>
      <c r="M98" s="475">
        <v>0</v>
      </c>
      <c r="N98" s="475">
        <v>0</v>
      </c>
      <c r="O98" s="475">
        <v>0</v>
      </c>
      <c r="P98" s="475">
        <v>0</v>
      </c>
      <c r="Q98" s="475">
        <v>0</v>
      </c>
      <c r="R98" s="475">
        <v>0</v>
      </c>
      <c r="S98" s="475">
        <v>0</v>
      </c>
      <c r="T98" s="475">
        <v>0</v>
      </c>
      <c r="U98" s="475"/>
      <c r="V98" s="475"/>
      <c r="W98" s="475">
        <v>1</v>
      </c>
      <c r="X98" s="475"/>
      <c r="Y98" s="475"/>
      <c r="Z98" s="477">
        <f t="shared" si="592"/>
        <v>1</v>
      </c>
      <c r="AA98" s="473"/>
      <c r="AB98" s="473"/>
      <c r="AC98" s="379">
        <f t="shared" si="593"/>
        <v>0</v>
      </c>
      <c r="AD98" s="379">
        <f t="shared" si="594"/>
        <v>0</v>
      </c>
      <c r="AE98" s="379">
        <f t="shared" si="595"/>
        <v>0</v>
      </c>
      <c r="AF98" s="379">
        <f t="shared" si="596"/>
        <v>0</v>
      </c>
      <c r="AG98" s="379">
        <f t="shared" si="597"/>
        <v>0</v>
      </c>
      <c r="AH98" s="474">
        <f t="shared" si="598"/>
        <v>0</v>
      </c>
      <c r="AI98" s="379">
        <f t="shared" si="599"/>
        <v>0</v>
      </c>
      <c r="AJ98" s="474">
        <f t="shared" si="600"/>
        <v>0</v>
      </c>
      <c r="AK98" s="379">
        <f t="shared" si="601"/>
        <v>0</v>
      </c>
      <c r="AL98" s="379">
        <f t="shared" si="602"/>
        <v>0</v>
      </c>
      <c r="AM98" s="474">
        <f t="shared" si="603"/>
        <v>0</v>
      </c>
      <c r="AN98" s="479">
        <f t="shared" si="604"/>
        <v>0</v>
      </c>
      <c r="AO98" s="479">
        <f t="shared" si="605"/>
        <v>0</v>
      </c>
      <c r="AP98" s="479">
        <f t="shared" si="606"/>
        <v>0</v>
      </c>
      <c r="AQ98" s="479">
        <f t="shared" si="606"/>
        <v>0</v>
      </c>
      <c r="AR98" s="479">
        <f t="shared" si="607"/>
        <v>0</v>
      </c>
      <c r="AS98" s="479">
        <f t="shared" si="608"/>
        <v>0</v>
      </c>
      <c r="AT98" s="479">
        <f t="shared" si="609"/>
        <v>25000</v>
      </c>
      <c r="AU98" s="479">
        <f t="shared" si="610"/>
        <v>0</v>
      </c>
      <c r="AV98" s="379"/>
      <c r="AW98" s="379"/>
      <c r="AX98" s="379">
        <f t="shared" si="490"/>
        <v>0</v>
      </c>
      <c r="AY98" s="379">
        <f t="shared" si="490"/>
        <v>0</v>
      </c>
      <c r="AZ98" s="379">
        <f t="shared" si="490"/>
        <v>0</v>
      </c>
      <c r="BA98" s="379">
        <f t="shared" si="490"/>
        <v>0</v>
      </c>
      <c r="BB98" s="379">
        <f t="shared" si="490"/>
        <v>0</v>
      </c>
      <c r="BC98" s="379">
        <f t="shared" si="490"/>
        <v>0</v>
      </c>
      <c r="BD98" s="379">
        <f t="shared" si="490"/>
        <v>0</v>
      </c>
      <c r="BE98" s="379">
        <f t="shared" si="490"/>
        <v>0</v>
      </c>
      <c r="BF98" s="379">
        <f t="shared" si="490"/>
        <v>0</v>
      </c>
      <c r="BG98" s="379">
        <f t="shared" si="490"/>
        <v>0</v>
      </c>
      <c r="BH98" s="379">
        <f t="shared" si="490"/>
        <v>0</v>
      </c>
      <c r="BI98" s="379">
        <f t="shared" si="490"/>
        <v>0</v>
      </c>
      <c r="BJ98" s="379">
        <f t="shared" si="490"/>
        <v>0</v>
      </c>
      <c r="BK98" s="479">
        <f t="shared" si="490"/>
        <v>0</v>
      </c>
      <c r="BL98" s="379">
        <f t="shared" si="490"/>
        <v>0</v>
      </c>
      <c r="BM98" s="379">
        <f t="shared" si="490"/>
        <v>0</v>
      </c>
      <c r="BN98" s="379">
        <f t="shared" si="449"/>
        <v>0</v>
      </c>
      <c r="BO98" s="379">
        <f t="shared" si="449"/>
        <v>25000</v>
      </c>
      <c r="BP98" s="379">
        <f t="shared" si="449"/>
        <v>0</v>
      </c>
      <c r="BQ98" s="379">
        <f t="shared" si="449"/>
        <v>0</v>
      </c>
      <c r="BR98" s="404">
        <f t="shared" si="611"/>
        <v>0</v>
      </c>
    </row>
    <row r="99" spans="1:71" s="288" customFormat="1" ht="14.45" customHeight="1" x14ac:dyDescent="0.25">
      <c r="A99" s="382" t="s">
        <v>137</v>
      </c>
      <c r="B99" s="472"/>
      <c r="C99" s="473"/>
      <c r="D99" s="474">
        <v>40000</v>
      </c>
      <c r="E99" s="473" t="s">
        <v>267</v>
      </c>
      <c r="F99" s="476"/>
      <c r="G99" s="476"/>
      <c r="H99" s="476"/>
      <c r="I99" s="476"/>
      <c r="J99" s="476"/>
      <c r="K99" s="475"/>
      <c r="L99" s="475">
        <v>0</v>
      </c>
      <c r="M99" s="475">
        <v>0</v>
      </c>
      <c r="N99" s="475">
        <v>0</v>
      </c>
      <c r="O99" s="475">
        <v>0</v>
      </c>
      <c r="P99" s="475">
        <v>0</v>
      </c>
      <c r="Q99" s="475">
        <v>0</v>
      </c>
      <c r="R99" s="475">
        <v>0</v>
      </c>
      <c r="S99" s="475">
        <v>0</v>
      </c>
      <c r="T99" s="475">
        <v>0</v>
      </c>
      <c r="U99" s="475"/>
      <c r="V99" s="475"/>
      <c r="W99" s="475">
        <v>1</v>
      </c>
      <c r="X99" s="475"/>
      <c r="Y99" s="475"/>
      <c r="Z99" s="477">
        <f t="shared" si="592"/>
        <v>1</v>
      </c>
      <c r="AA99" s="473"/>
      <c r="AB99" s="473"/>
      <c r="AC99" s="379">
        <f t="shared" si="593"/>
        <v>0</v>
      </c>
      <c r="AD99" s="379">
        <f t="shared" si="594"/>
        <v>0</v>
      </c>
      <c r="AE99" s="379">
        <f t="shared" si="595"/>
        <v>0</v>
      </c>
      <c r="AF99" s="379">
        <f t="shared" si="596"/>
        <v>0</v>
      </c>
      <c r="AG99" s="379">
        <f t="shared" si="597"/>
        <v>0</v>
      </c>
      <c r="AH99" s="474">
        <f t="shared" si="598"/>
        <v>0</v>
      </c>
      <c r="AI99" s="379">
        <f t="shared" si="599"/>
        <v>0</v>
      </c>
      <c r="AJ99" s="474">
        <f t="shared" si="600"/>
        <v>0</v>
      </c>
      <c r="AK99" s="379">
        <f t="shared" si="601"/>
        <v>0</v>
      </c>
      <c r="AL99" s="379">
        <f t="shared" si="602"/>
        <v>0</v>
      </c>
      <c r="AM99" s="474">
        <f t="shared" si="603"/>
        <v>0</v>
      </c>
      <c r="AN99" s="479">
        <f t="shared" si="604"/>
        <v>0</v>
      </c>
      <c r="AO99" s="479">
        <f t="shared" si="605"/>
        <v>0</v>
      </c>
      <c r="AP99" s="479">
        <f t="shared" si="606"/>
        <v>0</v>
      </c>
      <c r="AQ99" s="479">
        <f t="shared" si="606"/>
        <v>0</v>
      </c>
      <c r="AR99" s="479">
        <f t="shared" si="607"/>
        <v>0</v>
      </c>
      <c r="AS99" s="479">
        <f t="shared" si="608"/>
        <v>0</v>
      </c>
      <c r="AT99" s="479">
        <f t="shared" si="609"/>
        <v>40000</v>
      </c>
      <c r="AU99" s="479">
        <f t="shared" si="610"/>
        <v>0</v>
      </c>
      <c r="AV99" s="379"/>
      <c r="AW99" s="379"/>
      <c r="AX99" s="379">
        <f t="shared" si="490"/>
        <v>0</v>
      </c>
      <c r="AY99" s="379">
        <f t="shared" si="490"/>
        <v>0</v>
      </c>
      <c r="AZ99" s="379">
        <f t="shared" si="490"/>
        <v>0</v>
      </c>
      <c r="BA99" s="379">
        <f t="shared" si="490"/>
        <v>0</v>
      </c>
      <c r="BB99" s="379">
        <f t="shared" si="490"/>
        <v>0</v>
      </c>
      <c r="BC99" s="379">
        <f t="shared" si="490"/>
        <v>0</v>
      </c>
      <c r="BD99" s="379">
        <f t="shared" si="490"/>
        <v>0</v>
      </c>
      <c r="BE99" s="379">
        <f t="shared" si="490"/>
        <v>0</v>
      </c>
      <c r="BF99" s="379">
        <f t="shared" si="490"/>
        <v>0</v>
      </c>
      <c r="BG99" s="379">
        <f t="shared" si="490"/>
        <v>0</v>
      </c>
      <c r="BH99" s="379">
        <f t="shared" si="490"/>
        <v>0</v>
      </c>
      <c r="BI99" s="379">
        <f t="shared" si="490"/>
        <v>0</v>
      </c>
      <c r="BJ99" s="379">
        <f t="shared" si="490"/>
        <v>0</v>
      </c>
      <c r="BK99" s="479">
        <f t="shared" si="490"/>
        <v>0</v>
      </c>
      <c r="BL99" s="379">
        <f t="shared" si="490"/>
        <v>0</v>
      </c>
      <c r="BM99" s="379">
        <f t="shared" si="490"/>
        <v>0</v>
      </c>
      <c r="BN99" s="379">
        <f t="shared" si="449"/>
        <v>0</v>
      </c>
      <c r="BO99" s="379">
        <f t="shared" si="449"/>
        <v>40000</v>
      </c>
      <c r="BP99" s="379">
        <f t="shared" si="449"/>
        <v>0</v>
      </c>
      <c r="BQ99" s="379">
        <f t="shared" si="449"/>
        <v>0</v>
      </c>
      <c r="BR99" s="404">
        <f t="shared" si="611"/>
        <v>0</v>
      </c>
    </row>
    <row r="100" spans="1:71" s="288" customFormat="1" ht="14.45" customHeight="1" x14ac:dyDescent="0.25">
      <c r="A100" s="382" t="s">
        <v>140</v>
      </c>
      <c r="B100" s="472"/>
      <c r="C100" s="473"/>
      <c r="D100" s="474">
        <v>1873.22</v>
      </c>
      <c r="E100" s="473" t="s">
        <v>258</v>
      </c>
      <c r="F100" s="476"/>
      <c r="G100" s="476"/>
      <c r="H100" s="476"/>
      <c r="I100" s="476"/>
      <c r="J100" s="476"/>
      <c r="K100" s="475"/>
      <c r="L100" s="475">
        <v>0</v>
      </c>
      <c r="M100" s="475">
        <v>0</v>
      </c>
      <c r="N100" s="475">
        <v>0</v>
      </c>
      <c r="O100" s="475">
        <v>0</v>
      </c>
      <c r="P100" s="475">
        <v>0</v>
      </c>
      <c r="Q100" s="475">
        <v>0</v>
      </c>
      <c r="R100" s="475">
        <v>0</v>
      </c>
      <c r="S100" s="475">
        <v>1</v>
      </c>
      <c r="T100" s="475">
        <v>0</v>
      </c>
      <c r="U100" s="475"/>
      <c r="V100" s="475"/>
      <c r="W100" s="475"/>
      <c r="X100" s="475">
        <v>0</v>
      </c>
      <c r="Y100" s="475"/>
      <c r="Z100" s="477">
        <f t="shared" si="592"/>
        <v>1</v>
      </c>
      <c r="AA100" s="473"/>
      <c r="AB100" s="473"/>
      <c r="AC100" s="379">
        <f t="shared" si="593"/>
        <v>0</v>
      </c>
      <c r="AD100" s="379">
        <f t="shared" si="594"/>
        <v>0</v>
      </c>
      <c r="AE100" s="379">
        <f t="shared" si="595"/>
        <v>0</v>
      </c>
      <c r="AF100" s="379">
        <f t="shared" si="596"/>
        <v>0</v>
      </c>
      <c r="AG100" s="379">
        <f t="shared" si="597"/>
        <v>0</v>
      </c>
      <c r="AH100" s="474">
        <f t="shared" si="598"/>
        <v>0</v>
      </c>
      <c r="AI100" s="379">
        <f t="shared" si="599"/>
        <v>0</v>
      </c>
      <c r="AJ100" s="474">
        <f t="shared" si="600"/>
        <v>0</v>
      </c>
      <c r="AK100" s="379">
        <f t="shared" si="601"/>
        <v>0</v>
      </c>
      <c r="AL100" s="379">
        <f t="shared" si="602"/>
        <v>0</v>
      </c>
      <c r="AM100" s="474">
        <f t="shared" si="603"/>
        <v>0</v>
      </c>
      <c r="AN100" s="479">
        <f t="shared" si="604"/>
        <v>0</v>
      </c>
      <c r="AO100" s="479">
        <f t="shared" si="605"/>
        <v>0</v>
      </c>
      <c r="AP100" s="479">
        <f t="shared" si="606"/>
        <v>1873.22</v>
      </c>
      <c r="AQ100" s="479">
        <f t="shared" si="606"/>
        <v>0</v>
      </c>
      <c r="AR100" s="479">
        <f t="shared" si="607"/>
        <v>0</v>
      </c>
      <c r="AS100" s="479">
        <f t="shared" si="608"/>
        <v>0</v>
      </c>
      <c r="AT100" s="479">
        <f t="shared" si="609"/>
        <v>0</v>
      </c>
      <c r="AU100" s="479">
        <f t="shared" si="610"/>
        <v>0</v>
      </c>
      <c r="AV100" s="379"/>
      <c r="AW100" s="379"/>
      <c r="AX100" s="379">
        <f t="shared" ref="AX100:BM100" si="657">IF(AX$3=$E100,$D100,0)</f>
        <v>0</v>
      </c>
      <c r="AY100" s="379">
        <f t="shared" si="657"/>
        <v>0</v>
      </c>
      <c r="AZ100" s="379">
        <f t="shared" si="657"/>
        <v>0</v>
      </c>
      <c r="BA100" s="379">
        <f t="shared" si="657"/>
        <v>0</v>
      </c>
      <c r="BB100" s="379">
        <f t="shared" si="657"/>
        <v>0</v>
      </c>
      <c r="BC100" s="379">
        <f t="shared" si="657"/>
        <v>0</v>
      </c>
      <c r="BD100" s="379">
        <f t="shared" si="657"/>
        <v>0</v>
      </c>
      <c r="BE100" s="379">
        <f t="shared" si="657"/>
        <v>0</v>
      </c>
      <c r="BF100" s="379">
        <f t="shared" si="657"/>
        <v>0</v>
      </c>
      <c r="BG100" s="379">
        <f t="shared" si="657"/>
        <v>0</v>
      </c>
      <c r="BH100" s="379">
        <f t="shared" si="657"/>
        <v>0</v>
      </c>
      <c r="BI100" s="379">
        <f t="shared" si="657"/>
        <v>0</v>
      </c>
      <c r="BJ100" s="379">
        <f t="shared" si="657"/>
        <v>0</v>
      </c>
      <c r="BK100" s="479">
        <f t="shared" si="657"/>
        <v>1873.22</v>
      </c>
      <c r="BL100" s="379">
        <f t="shared" si="657"/>
        <v>0</v>
      </c>
      <c r="BM100" s="379">
        <f t="shared" si="657"/>
        <v>0</v>
      </c>
      <c r="BN100" s="379">
        <f t="shared" si="449"/>
        <v>0</v>
      </c>
      <c r="BO100" s="379">
        <f t="shared" si="449"/>
        <v>0</v>
      </c>
      <c r="BP100" s="379">
        <f t="shared" si="449"/>
        <v>0</v>
      </c>
      <c r="BQ100" s="379">
        <f t="shared" si="449"/>
        <v>0</v>
      </c>
      <c r="BR100" s="404">
        <f t="shared" ref="BR100" si="658">SUM(AC100:AV100)-SUM(AX100:BQ100)</f>
        <v>0</v>
      </c>
    </row>
    <row r="101" spans="1:71" s="288" customFormat="1" ht="14.45" customHeight="1" x14ac:dyDescent="0.25">
      <c r="A101" s="382" t="s">
        <v>140</v>
      </c>
      <c r="B101" s="472"/>
      <c r="C101" s="473"/>
      <c r="D101" s="474">
        <v>30000</v>
      </c>
      <c r="E101" s="473" t="s">
        <v>272</v>
      </c>
      <c r="F101" s="476"/>
      <c r="G101" s="476"/>
      <c r="H101" s="476"/>
      <c r="I101" s="476"/>
      <c r="J101" s="476"/>
      <c r="K101" s="475"/>
      <c r="L101" s="475">
        <v>0</v>
      </c>
      <c r="M101" s="475">
        <v>0</v>
      </c>
      <c r="N101" s="475">
        <v>0</v>
      </c>
      <c r="O101" s="475">
        <v>0</v>
      </c>
      <c r="P101" s="475">
        <v>0</v>
      </c>
      <c r="Q101" s="475">
        <v>0</v>
      </c>
      <c r="R101" s="475">
        <v>0</v>
      </c>
      <c r="S101" s="475">
        <v>0</v>
      </c>
      <c r="T101" s="475">
        <v>0</v>
      </c>
      <c r="U101" s="475"/>
      <c r="V101" s="475"/>
      <c r="W101" s="475"/>
      <c r="X101" s="475">
        <v>1</v>
      </c>
      <c r="Y101" s="475"/>
      <c r="Z101" s="477">
        <f t="shared" si="551"/>
        <v>1</v>
      </c>
      <c r="AA101" s="473"/>
      <c r="AB101" s="473"/>
      <c r="AC101" s="379">
        <f t="shared" si="552"/>
        <v>0</v>
      </c>
      <c r="AD101" s="379">
        <f t="shared" si="553"/>
        <v>0</v>
      </c>
      <c r="AE101" s="379">
        <f t="shared" si="554"/>
        <v>0</v>
      </c>
      <c r="AF101" s="379">
        <f t="shared" si="555"/>
        <v>0</v>
      </c>
      <c r="AG101" s="379">
        <f t="shared" si="556"/>
        <v>0</v>
      </c>
      <c r="AH101" s="474">
        <f t="shared" si="557"/>
        <v>0</v>
      </c>
      <c r="AI101" s="379">
        <f t="shared" si="558"/>
        <v>0</v>
      </c>
      <c r="AJ101" s="474">
        <f t="shared" si="559"/>
        <v>0</v>
      </c>
      <c r="AK101" s="379">
        <f t="shared" si="560"/>
        <v>0</v>
      </c>
      <c r="AL101" s="379">
        <f t="shared" si="561"/>
        <v>0</v>
      </c>
      <c r="AM101" s="474">
        <f t="shared" si="562"/>
        <v>0</v>
      </c>
      <c r="AN101" s="479">
        <f t="shared" si="563"/>
        <v>0</v>
      </c>
      <c r="AO101" s="479">
        <f t="shared" si="564"/>
        <v>0</v>
      </c>
      <c r="AP101" s="479">
        <f t="shared" si="565"/>
        <v>0</v>
      </c>
      <c r="AQ101" s="479">
        <f t="shared" si="566"/>
        <v>0</v>
      </c>
      <c r="AR101" s="479">
        <f t="shared" si="567"/>
        <v>0</v>
      </c>
      <c r="AS101" s="479">
        <f t="shared" si="568"/>
        <v>0</v>
      </c>
      <c r="AT101" s="479">
        <f t="shared" si="569"/>
        <v>0</v>
      </c>
      <c r="AU101" s="479">
        <f t="shared" si="570"/>
        <v>30000</v>
      </c>
      <c r="AV101" s="379"/>
      <c r="AW101" s="379"/>
      <c r="AX101" s="379">
        <f t="shared" si="490"/>
        <v>0</v>
      </c>
      <c r="AY101" s="379">
        <f t="shared" si="490"/>
        <v>0</v>
      </c>
      <c r="AZ101" s="379">
        <f t="shared" si="490"/>
        <v>0</v>
      </c>
      <c r="BA101" s="379">
        <f t="shared" si="490"/>
        <v>0</v>
      </c>
      <c r="BB101" s="379">
        <f t="shared" si="490"/>
        <v>0</v>
      </c>
      <c r="BC101" s="379">
        <f t="shared" si="490"/>
        <v>0</v>
      </c>
      <c r="BD101" s="379">
        <f t="shared" si="490"/>
        <v>0</v>
      </c>
      <c r="BE101" s="379">
        <f t="shared" si="490"/>
        <v>0</v>
      </c>
      <c r="BF101" s="379">
        <f t="shared" si="490"/>
        <v>0</v>
      </c>
      <c r="BG101" s="379">
        <f t="shared" si="490"/>
        <v>0</v>
      </c>
      <c r="BH101" s="379">
        <f t="shared" si="490"/>
        <v>0</v>
      </c>
      <c r="BI101" s="379">
        <f t="shared" si="490"/>
        <v>0</v>
      </c>
      <c r="BJ101" s="379">
        <f t="shared" si="490"/>
        <v>0</v>
      </c>
      <c r="BK101" s="479">
        <f t="shared" si="490"/>
        <v>0</v>
      </c>
      <c r="BL101" s="379">
        <f t="shared" si="490"/>
        <v>0</v>
      </c>
      <c r="BM101" s="379">
        <f t="shared" si="490"/>
        <v>0</v>
      </c>
      <c r="BN101" s="379">
        <f t="shared" si="449"/>
        <v>0</v>
      </c>
      <c r="BO101" s="379">
        <f t="shared" si="449"/>
        <v>0</v>
      </c>
      <c r="BP101" s="379">
        <f t="shared" si="449"/>
        <v>30000</v>
      </c>
      <c r="BQ101" s="379">
        <f t="shared" si="449"/>
        <v>0</v>
      </c>
      <c r="BR101" s="404">
        <f t="shared" si="422"/>
        <v>0</v>
      </c>
    </row>
    <row r="102" spans="1:71" s="288" customFormat="1" ht="14.45" customHeight="1" x14ac:dyDescent="0.25">
      <c r="A102" s="385" t="s">
        <v>143</v>
      </c>
      <c r="B102" s="480"/>
      <c r="C102" s="386"/>
      <c r="D102" s="388">
        <v>120000</v>
      </c>
      <c r="E102" s="386" t="s">
        <v>218</v>
      </c>
      <c r="F102" s="391"/>
      <c r="G102" s="391"/>
      <c r="H102" s="391"/>
      <c r="I102" s="391"/>
      <c r="J102" s="391"/>
      <c r="K102" s="481">
        <v>0</v>
      </c>
      <c r="L102" s="481">
        <v>0</v>
      </c>
      <c r="M102" s="481">
        <v>8.3333329999999997E-2</v>
      </c>
      <c r="N102" s="481">
        <v>4.1666664999999999E-2</v>
      </c>
      <c r="O102" s="481">
        <v>4.1666666666666664E-2</v>
      </c>
      <c r="P102" s="481">
        <f>14.1666666666667%-0.05</f>
        <v>9.1666666666666993E-2</v>
      </c>
      <c r="Q102" s="481">
        <v>0.1</v>
      </c>
      <c r="R102" s="482">
        <v>0.05</v>
      </c>
      <c r="S102" s="390">
        <v>0.05</v>
      </c>
      <c r="T102" s="481">
        <v>0.25</v>
      </c>
      <c r="U102" s="481"/>
      <c r="V102" s="481"/>
      <c r="W102" s="481">
        <v>0.20833333333333334</v>
      </c>
      <c r="X102" s="481"/>
      <c r="Y102" s="481">
        <v>8.3333333333333329E-2</v>
      </c>
      <c r="Z102" s="387">
        <f>SUM(F102:Y102)</f>
        <v>0.99999999500000036</v>
      </c>
      <c r="AA102" s="386"/>
      <c r="AB102" s="386"/>
      <c r="AC102" s="388">
        <f t="shared" si="0"/>
        <v>0</v>
      </c>
      <c r="AD102" s="388">
        <f t="shared" si="1"/>
        <v>0</v>
      </c>
      <c r="AE102" s="388">
        <f t="shared" si="2"/>
        <v>0</v>
      </c>
      <c r="AF102" s="388">
        <f t="shared" si="3"/>
        <v>0</v>
      </c>
      <c r="AG102" s="388">
        <f t="shared" ref="AG102:AG114" si="659">J102*$D102</f>
        <v>0</v>
      </c>
      <c r="AH102" s="388">
        <f t="shared" si="22"/>
        <v>0</v>
      </c>
      <c r="AI102" s="388">
        <f t="shared" si="23"/>
        <v>0</v>
      </c>
      <c r="AJ102" s="388">
        <f t="shared" si="24"/>
        <v>9999.9995999999992</v>
      </c>
      <c r="AK102" s="372">
        <f>N102*$D102</f>
        <v>4999.9997999999996</v>
      </c>
      <c r="AL102" s="388">
        <f t="shared" si="19"/>
        <v>5000</v>
      </c>
      <c r="AM102" s="388">
        <f t="shared" si="8"/>
        <v>11000.00000000004</v>
      </c>
      <c r="AN102" s="373">
        <f t="shared" si="9"/>
        <v>12000</v>
      </c>
      <c r="AO102" s="388">
        <f t="shared" si="10"/>
        <v>6000</v>
      </c>
      <c r="AP102" s="388">
        <f t="shared" si="11"/>
        <v>6000</v>
      </c>
      <c r="AQ102" s="388">
        <f t="shared" si="12"/>
        <v>30000</v>
      </c>
      <c r="AR102" s="388">
        <f t="shared" si="399"/>
        <v>0</v>
      </c>
      <c r="AS102" s="388">
        <f t="shared" si="14"/>
        <v>0</v>
      </c>
      <c r="AT102" s="388">
        <f t="shared" si="15"/>
        <v>25000</v>
      </c>
      <c r="AU102" s="388">
        <f t="shared" si="16"/>
        <v>0</v>
      </c>
      <c r="AV102" s="388">
        <f t="shared" si="16"/>
        <v>10000</v>
      </c>
      <c r="AW102" s="388"/>
      <c r="AX102" s="388">
        <f t="shared" si="400"/>
        <v>0</v>
      </c>
      <c r="AY102" s="388">
        <f t="shared" si="400"/>
        <v>0</v>
      </c>
      <c r="AZ102" s="388">
        <f t="shared" si="400"/>
        <v>0</v>
      </c>
      <c r="BA102" s="388">
        <f t="shared" si="400"/>
        <v>0</v>
      </c>
      <c r="BB102" s="388">
        <f t="shared" si="400"/>
        <v>0</v>
      </c>
      <c r="BC102" s="388">
        <f t="shared" si="400"/>
        <v>0</v>
      </c>
      <c r="BD102" s="388">
        <f t="shared" si="400"/>
        <v>0</v>
      </c>
      <c r="BE102" s="388">
        <f t="shared" si="400"/>
        <v>120000</v>
      </c>
      <c r="BF102" s="388">
        <f t="shared" si="400"/>
        <v>0</v>
      </c>
      <c r="BG102" s="388">
        <f t="shared" si="400"/>
        <v>0</v>
      </c>
      <c r="BH102" s="388">
        <f t="shared" si="400"/>
        <v>0</v>
      </c>
      <c r="BI102" s="388">
        <f t="shared" si="400"/>
        <v>0</v>
      </c>
      <c r="BJ102" s="388">
        <f t="shared" si="400"/>
        <v>0</v>
      </c>
      <c r="BK102" s="388">
        <f t="shared" si="400"/>
        <v>0</v>
      </c>
      <c r="BL102" s="388">
        <f t="shared" si="400"/>
        <v>0</v>
      </c>
      <c r="BM102" s="388">
        <f t="shared" si="449"/>
        <v>0</v>
      </c>
      <c r="BN102" s="388">
        <f t="shared" si="449"/>
        <v>0</v>
      </c>
      <c r="BO102" s="388">
        <f t="shared" si="449"/>
        <v>0</v>
      </c>
      <c r="BP102" s="388">
        <f t="shared" si="449"/>
        <v>0</v>
      </c>
      <c r="BQ102" s="388">
        <f t="shared" si="449"/>
        <v>0</v>
      </c>
      <c r="BR102" s="389">
        <f t="shared" si="422"/>
        <v>-5.9999995573889464E-4</v>
      </c>
    </row>
    <row r="103" spans="1:71" s="288" customFormat="1" ht="14.45" customHeight="1" x14ac:dyDescent="0.25">
      <c r="A103" s="385" t="s">
        <v>144</v>
      </c>
      <c r="B103" s="480"/>
      <c r="C103" s="386"/>
      <c r="D103" s="373">
        <v>7666.96</v>
      </c>
      <c r="E103" s="386" t="s">
        <v>193</v>
      </c>
      <c r="F103" s="390"/>
      <c r="G103" s="390">
        <v>1</v>
      </c>
      <c r="H103" s="390">
        <v>0</v>
      </c>
      <c r="I103" s="390">
        <v>0</v>
      </c>
      <c r="J103" s="391"/>
      <c r="K103" s="391"/>
      <c r="L103" s="391"/>
      <c r="M103" s="391"/>
      <c r="N103" s="391"/>
      <c r="O103" s="391"/>
      <c r="P103" s="391"/>
      <c r="Q103" s="391"/>
      <c r="R103" s="391"/>
      <c r="S103" s="391"/>
      <c r="T103" s="391"/>
      <c r="U103" s="391"/>
      <c r="V103" s="391"/>
      <c r="W103" s="391"/>
      <c r="X103" s="391"/>
      <c r="Y103" s="391"/>
      <c r="Z103" s="387">
        <f t="shared" ref="Z103:Z106" si="660">SUM(F103:Y103)</f>
        <v>1</v>
      </c>
      <c r="AA103" s="386"/>
      <c r="AB103" s="386"/>
      <c r="AC103" s="388">
        <f t="shared" si="0"/>
        <v>0</v>
      </c>
      <c r="AD103" s="373">
        <f t="shared" si="1"/>
        <v>7666.96</v>
      </c>
      <c r="AE103" s="388">
        <f t="shared" si="2"/>
        <v>0</v>
      </c>
      <c r="AF103" s="388">
        <f t="shared" si="3"/>
        <v>0</v>
      </c>
      <c r="AG103" s="388">
        <f t="shared" si="659"/>
        <v>0</v>
      </c>
      <c r="AH103" s="388">
        <f t="shared" si="22"/>
        <v>0</v>
      </c>
      <c r="AI103" s="388">
        <f t="shared" si="23"/>
        <v>0</v>
      </c>
      <c r="AJ103" s="388">
        <f t="shared" si="24"/>
        <v>0</v>
      </c>
      <c r="AK103" s="372">
        <f>N103*$D103</f>
        <v>0</v>
      </c>
      <c r="AL103" s="373">
        <f t="shared" si="19"/>
        <v>0</v>
      </c>
      <c r="AM103" s="388">
        <f t="shared" si="8"/>
        <v>0</v>
      </c>
      <c r="AN103" s="373">
        <f t="shared" si="9"/>
        <v>0</v>
      </c>
      <c r="AO103" s="388">
        <f t="shared" si="10"/>
        <v>0</v>
      </c>
      <c r="AP103" s="388">
        <f t="shared" si="11"/>
        <v>0</v>
      </c>
      <c r="AQ103" s="388">
        <f t="shared" si="12"/>
        <v>0</v>
      </c>
      <c r="AR103" s="388">
        <f t="shared" si="399"/>
        <v>0</v>
      </c>
      <c r="AS103" s="388">
        <f t="shared" si="14"/>
        <v>0</v>
      </c>
      <c r="AT103" s="388">
        <f t="shared" si="15"/>
        <v>0</v>
      </c>
      <c r="AU103" s="388">
        <f t="shared" si="16"/>
        <v>0</v>
      </c>
      <c r="AV103" s="388">
        <f t="shared" si="16"/>
        <v>0</v>
      </c>
      <c r="AW103" s="388"/>
      <c r="AX103" s="388">
        <f t="shared" si="400"/>
        <v>0</v>
      </c>
      <c r="AY103" s="388">
        <f t="shared" si="400"/>
        <v>7666.96</v>
      </c>
      <c r="AZ103" s="388">
        <f t="shared" si="400"/>
        <v>0</v>
      </c>
      <c r="BA103" s="388">
        <f t="shared" si="400"/>
        <v>0</v>
      </c>
      <c r="BB103" s="388">
        <f t="shared" si="400"/>
        <v>0</v>
      </c>
      <c r="BC103" s="388">
        <f t="shared" si="400"/>
        <v>0</v>
      </c>
      <c r="BD103" s="388">
        <f t="shared" si="400"/>
        <v>0</v>
      </c>
      <c r="BE103" s="388">
        <f t="shared" si="400"/>
        <v>0</v>
      </c>
      <c r="BF103" s="388">
        <f t="shared" si="400"/>
        <v>0</v>
      </c>
      <c r="BG103" s="388">
        <f t="shared" si="400"/>
        <v>0</v>
      </c>
      <c r="BH103" s="388">
        <f t="shared" si="400"/>
        <v>0</v>
      </c>
      <c r="BI103" s="388">
        <f t="shared" si="400"/>
        <v>0</v>
      </c>
      <c r="BJ103" s="388">
        <f t="shared" si="400"/>
        <v>0</v>
      </c>
      <c r="BK103" s="388">
        <f t="shared" si="400"/>
        <v>0</v>
      </c>
      <c r="BL103" s="388">
        <f t="shared" si="400"/>
        <v>0</v>
      </c>
      <c r="BM103" s="388">
        <f t="shared" si="449"/>
        <v>0</v>
      </c>
      <c r="BN103" s="388">
        <f t="shared" si="449"/>
        <v>0</v>
      </c>
      <c r="BO103" s="388">
        <f t="shared" si="449"/>
        <v>0</v>
      </c>
      <c r="BP103" s="388">
        <f t="shared" si="449"/>
        <v>0</v>
      </c>
      <c r="BQ103" s="388">
        <f t="shared" si="449"/>
        <v>0</v>
      </c>
      <c r="BR103" s="389">
        <f t="shared" si="422"/>
        <v>0</v>
      </c>
    </row>
    <row r="104" spans="1:71" s="288" customFormat="1" ht="14.45" customHeight="1" x14ac:dyDescent="0.25">
      <c r="A104" s="385" t="s">
        <v>144</v>
      </c>
      <c r="B104" s="480"/>
      <c r="C104" s="386"/>
      <c r="D104" s="373">
        <v>1124.3800000000001</v>
      </c>
      <c r="E104" s="386" t="s">
        <v>165</v>
      </c>
      <c r="F104" s="390"/>
      <c r="G104" s="390">
        <v>0</v>
      </c>
      <c r="H104" s="390">
        <v>0</v>
      </c>
      <c r="I104" s="390">
        <v>1</v>
      </c>
      <c r="J104" s="391"/>
      <c r="K104" s="391"/>
      <c r="L104" s="391"/>
      <c r="M104" s="391"/>
      <c r="N104" s="391"/>
      <c r="O104" s="391"/>
      <c r="P104" s="391"/>
      <c r="Q104" s="391"/>
      <c r="R104" s="391"/>
      <c r="S104" s="391"/>
      <c r="T104" s="391"/>
      <c r="U104" s="391"/>
      <c r="V104" s="391"/>
      <c r="W104" s="391"/>
      <c r="X104" s="391"/>
      <c r="Y104" s="391"/>
      <c r="Z104" s="387">
        <f t="shared" si="660"/>
        <v>1</v>
      </c>
      <c r="AA104" s="386"/>
      <c r="AB104" s="386"/>
      <c r="AC104" s="388">
        <f t="shared" ref="AC104" si="661">F104*$D104</f>
        <v>0</v>
      </c>
      <c r="AD104" s="373">
        <f t="shared" ref="AD104" si="662">G104*$D104</f>
        <v>0</v>
      </c>
      <c r="AE104" s="388">
        <f t="shared" ref="AE104" si="663">H104*$D104</f>
        <v>0</v>
      </c>
      <c r="AF104" s="388">
        <f t="shared" ref="AF104" si="664">I104*$D104</f>
        <v>1124.3800000000001</v>
      </c>
      <c r="AG104" s="388">
        <f t="shared" si="659"/>
        <v>0</v>
      </c>
      <c r="AH104" s="388">
        <f t="shared" ref="AH104" si="665">K104*$D104</f>
        <v>0</v>
      </c>
      <c r="AI104" s="388">
        <f t="shared" ref="AI104" si="666">L104*$D104</f>
        <v>0</v>
      </c>
      <c r="AJ104" s="388">
        <f t="shared" ref="AJ104" si="667">M104*$D104</f>
        <v>0</v>
      </c>
      <c r="AK104" s="372">
        <f t="shared" ref="AK104" si="668">N104*$D104</f>
        <v>0</v>
      </c>
      <c r="AL104" s="373">
        <f t="shared" ref="AL104" si="669">O104*$D104</f>
        <v>0</v>
      </c>
      <c r="AM104" s="388">
        <f t="shared" ref="AM104" si="670">P104*$D104</f>
        <v>0</v>
      </c>
      <c r="AN104" s="373">
        <f t="shared" ref="AN104" si="671">Q104*$D104</f>
        <v>0</v>
      </c>
      <c r="AO104" s="388">
        <f t="shared" ref="AO104" si="672">R104*$D104</f>
        <v>0</v>
      </c>
      <c r="AP104" s="388">
        <f t="shared" ref="AP104" si="673">S104*$D104</f>
        <v>0</v>
      </c>
      <c r="AQ104" s="388">
        <f t="shared" ref="AQ104" si="674">T104*$D104</f>
        <v>0</v>
      </c>
      <c r="AR104" s="388">
        <f t="shared" si="399"/>
        <v>0</v>
      </c>
      <c r="AS104" s="388">
        <f t="shared" si="14"/>
        <v>0</v>
      </c>
      <c r="AT104" s="388">
        <f t="shared" si="15"/>
        <v>0</v>
      </c>
      <c r="AU104" s="388">
        <f t="shared" si="16"/>
        <v>0</v>
      </c>
      <c r="AV104" s="388">
        <f t="shared" si="16"/>
        <v>0</v>
      </c>
      <c r="AW104" s="388"/>
      <c r="AX104" s="388">
        <f t="shared" ref="AX104:BL113" si="675">IF(AX$3=$E104,$D104,0)</f>
        <v>0</v>
      </c>
      <c r="AY104" s="388">
        <f t="shared" si="675"/>
        <v>0</v>
      </c>
      <c r="AZ104" s="388">
        <f t="shared" si="675"/>
        <v>1124.3800000000001</v>
      </c>
      <c r="BA104" s="388">
        <f t="shared" si="675"/>
        <v>0</v>
      </c>
      <c r="BB104" s="388">
        <f t="shared" si="675"/>
        <v>0</v>
      </c>
      <c r="BC104" s="388">
        <f t="shared" si="675"/>
        <v>0</v>
      </c>
      <c r="BD104" s="388">
        <f t="shared" si="675"/>
        <v>0</v>
      </c>
      <c r="BE104" s="388">
        <f t="shared" si="675"/>
        <v>0</v>
      </c>
      <c r="BF104" s="388">
        <f t="shared" si="675"/>
        <v>0</v>
      </c>
      <c r="BG104" s="388">
        <f t="shared" si="675"/>
        <v>0</v>
      </c>
      <c r="BH104" s="388">
        <f t="shared" si="675"/>
        <v>0</v>
      </c>
      <c r="BI104" s="388">
        <f t="shared" si="675"/>
        <v>0</v>
      </c>
      <c r="BJ104" s="388">
        <f t="shared" si="675"/>
        <v>0</v>
      </c>
      <c r="BK104" s="388">
        <f t="shared" si="675"/>
        <v>0</v>
      </c>
      <c r="BL104" s="388">
        <f t="shared" si="675"/>
        <v>0</v>
      </c>
      <c r="BM104" s="388">
        <f t="shared" si="449"/>
        <v>0</v>
      </c>
      <c r="BN104" s="388">
        <f t="shared" si="449"/>
        <v>0</v>
      </c>
      <c r="BO104" s="388">
        <f t="shared" si="449"/>
        <v>0</v>
      </c>
      <c r="BP104" s="388">
        <f t="shared" si="449"/>
        <v>0</v>
      </c>
      <c r="BQ104" s="388">
        <f t="shared" si="449"/>
        <v>0</v>
      </c>
      <c r="BR104" s="389">
        <f t="shared" si="422"/>
        <v>0</v>
      </c>
    </row>
    <row r="105" spans="1:71" s="288" customFormat="1" ht="14.45" customHeight="1" x14ac:dyDescent="0.25">
      <c r="A105" s="385" t="s">
        <v>144</v>
      </c>
      <c r="B105" s="480"/>
      <c r="C105" s="386"/>
      <c r="D105" s="373">
        <v>2000</v>
      </c>
      <c r="E105" s="386" t="s">
        <v>210</v>
      </c>
      <c r="F105" s="390"/>
      <c r="G105" s="390">
        <v>0</v>
      </c>
      <c r="H105" s="390">
        <v>0</v>
      </c>
      <c r="I105" s="390">
        <v>0</v>
      </c>
      <c r="J105" s="391"/>
      <c r="K105" s="391"/>
      <c r="L105" s="391"/>
      <c r="M105" s="391"/>
      <c r="N105" s="391"/>
      <c r="O105" s="391"/>
      <c r="P105" s="391"/>
      <c r="Q105" s="391"/>
      <c r="R105" s="391"/>
      <c r="S105" s="391"/>
      <c r="T105" s="391">
        <v>1</v>
      </c>
      <c r="U105" s="391"/>
      <c r="V105" s="391"/>
      <c r="W105" s="391"/>
      <c r="X105" s="391"/>
      <c r="Y105" s="391"/>
      <c r="Z105" s="387">
        <f t="shared" ref="Z105" si="676">SUM(F105:Y105)</f>
        <v>1</v>
      </c>
      <c r="AA105" s="386"/>
      <c r="AB105" s="386"/>
      <c r="AC105" s="388">
        <f t="shared" ref="AC105" si="677">F105*$D105</f>
        <v>0</v>
      </c>
      <c r="AD105" s="373">
        <f t="shared" ref="AD105" si="678">G105*$D105</f>
        <v>0</v>
      </c>
      <c r="AE105" s="388">
        <f t="shared" ref="AE105" si="679">H105*$D105</f>
        <v>0</v>
      </c>
      <c r="AF105" s="388">
        <f t="shared" ref="AF105" si="680">I105*$D105</f>
        <v>0</v>
      </c>
      <c r="AG105" s="388">
        <f t="shared" ref="AG105" si="681">J105*$D105</f>
        <v>0</v>
      </c>
      <c r="AH105" s="388">
        <f t="shared" ref="AH105" si="682">K105*$D105</f>
        <v>0</v>
      </c>
      <c r="AI105" s="388">
        <f t="shared" ref="AI105" si="683">L105*$D105</f>
        <v>0</v>
      </c>
      <c r="AJ105" s="388">
        <f t="shared" ref="AJ105" si="684">M105*$D105</f>
        <v>0</v>
      </c>
      <c r="AK105" s="372">
        <f t="shared" ref="AK105" si="685">N105*$D105</f>
        <v>0</v>
      </c>
      <c r="AL105" s="373">
        <f t="shared" ref="AL105" si="686">O105*$D105</f>
        <v>0</v>
      </c>
      <c r="AM105" s="388">
        <f t="shared" ref="AM105" si="687">P105*$D105</f>
        <v>0</v>
      </c>
      <c r="AN105" s="373">
        <f t="shared" ref="AN105" si="688">Q105*$D105</f>
        <v>0</v>
      </c>
      <c r="AO105" s="388">
        <f t="shared" ref="AO105" si="689">R105*$D105</f>
        <v>0</v>
      </c>
      <c r="AP105" s="388">
        <f t="shared" ref="AP105" si="690">S105*$D105</f>
        <v>0</v>
      </c>
      <c r="AQ105" s="388">
        <f t="shared" ref="AQ105" si="691">T105*$D105</f>
        <v>2000</v>
      </c>
      <c r="AR105" s="388">
        <f t="shared" ref="AR105" si="692">U105*$D105</f>
        <v>0</v>
      </c>
      <c r="AS105" s="388">
        <f t="shared" ref="AS105" si="693">V105*$D105</f>
        <v>0</v>
      </c>
      <c r="AT105" s="388">
        <f t="shared" ref="AT105" si="694">W105*$D105</f>
        <v>0</v>
      </c>
      <c r="AU105" s="388">
        <f t="shared" ref="AU105" si="695">X105*$D105</f>
        <v>0</v>
      </c>
      <c r="AV105" s="388">
        <f t="shared" ref="AV105" si="696">Y105*$D105</f>
        <v>0</v>
      </c>
      <c r="AW105" s="388"/>
      <c r="AX105" s="388">
        <f t="shared" si="675"/>
        <v>0</v>
      </c>
      <c r="AY105" s="388">
        <f t="shared" si="675"/>
        <v>0</v>
      </c>
      <c r="AZ105" s="388">
        <f t="shared" si="675"/>
        <v>0</v>
      </c>
      <c r="BA105" s="388">
        <f t="shared" si="675"/>
        <v>0</v>
      </c>
      <c r="BB105" s="388">
        <f t="shared" si="675"/>
        <v>0</v>
      </c>
      <c r="BC105" s="388">
        <f t="shared" si="675"/>
        <v>0</v>
      </c>
      <c r="BD105" s="388">
        <f t="shared" si="675"/>
        <v>0</v>
      </c>
      <c r="BE105" s="388">
        <f t="shared" si="675"/>
        <v>0</v>
      </c>
      <c r="BF105" s="388">
        <f t="shared" si="675"/>
        <v>0</v>
      </c>
      <c r="BG105" s="388">
        <f t="shared" si="675"/>
        <v>0</v>
      </c>
      <c r="BH105" s="388">
        <f t="shared" si="675"/>
        <v>0</v>
      </c>
      <c r="BI105" s="388">
        <f t="shared" si="675"/>
        <v>0</v>
      </c>
      <c r="BJ105" s="388">
        <f t="shared" si="675"/>
        <v>0</v>
      </c>
      <c r="BK105" s="388">
        <f t="shared" si="675"/>
        <v>0</v>
      </c>
      <c r="BL105" s="388">
        <f t="shared" si="675"/>
        <v>2000</v>
      </c>
      <c r="BM105" s="388">
        <f t="shared" si="449"/>
        <v>0</v>
      </c>
      <c r="BN105" s="388">
        <f t="shared" si="449"/>
        <v>0</v>
      </c>
      <c r="BO105" s="388">
        <f t="shared" si="449"/>
        <v>0</v>
      </c>
      <c r="BP105" s="388">
        <f t="shared" si="449"/>
        <v>0</v>
      </c>
      <c r="BQ105" s="388">
        <f t="shared" si="449"/>
        <v>0</v>
      </c>
      <c r="BR105" s="389">
        <f t="shared" ref="BR105" si="697">SUM(AC105:AV105)-SUM(AX105:BQ105)</f>
        <v>0</v>
      </c>
    </row>
    <row r="106" spans="1:71" s="288" customFormat="1" ht="14.45" customHeight="1" x14ac:dyDescent="0.25">
      <c r="A106" s="385" t="s">
        <v>144</v>
      </c>
      <c r="B106" s="480"/>
      <c r="C106" s="386"/>
      <c r="D106" s="373">
        <v>982.1</v>
      </c>
      <c r="E106" s="386" t="s">
        <v>165</v>
      </c>
      <c r="F106" s="390"/>
      <c r="G106" s="390">
        <v>0</v>
      </c>
      <c r="H106" s="390">
        <v>0.18181818181818182</v>
      </c>
      <c r="I106" s="390">
        <v>0.27272727272727271</v>
      </c>
      <c r="J106" s="483">
        <v>0.27272727272727271</v>
      </c>
      <c r="K106" s="483">
        <v>0.27272727272727271</v>
      </c>
      <c r="L106" s="391"/>
      <c r="M106" s="391"/>
      <c r="N106" s="391"/>
      <c r="O106" s="391"/>
      <c r="P106" s="391"/>
      <c r="Q106" s="391"/>
      <c r="R106" s="391"/>
      <c r="S106" s="391"/>
      <c r="T106" s="391"/>
      <c r="U106" s="391"/>
      <c r="V106" s="391"/>
      <c r="W106" s="391"/>
      <c r="X106" s="391"/>
      <c r="Y106" s="391"/>
      <c r="Z106" s="387">
        <f t="shared" si="660"/>
        <v>1</v>
      </c>
      <c r="AA106" s="386"/>
      <c r="AB106" s="386"/>
      <c r="AC106" s="388">
        <f t="shared" ref="AC106:AV106" si="698">F106*$D106</f>
        <v>0</v>
      </c>
      <c r="AD106" s="373">
        <f t="shared" si="698"/>
        <v>0</v>
      </c>
      <c r="AE106" s="388">
        <f t="shared" si="698"/>
        <v>178.56363636363636</v>
      </c>
      <c r="AF106" s="388">
        <f t="shared" si="698"/>
        <v>267.84545454545452</v>
      </c>
      <c r="AG106" s="388">
        <f t="shared" si="698"/>
        <v>267.84545454545452</v>
      </c>
      <c r="AH106" s="388">
        <f t="shared" si="698"/>
        <v>267.84545454545452</v>
      </c>
      <c r="AI106" s="388">
        <f t="shared" si="698"/>
        <v>0</v>
      </c>
      <c r="AJ106" s="388">
        <f t="shared" si="698"/>
        <v>0</v>
      </c>
      <c r="AK106" s="372">
        <f t="shared" si="698"/>
        <v>0</v>
      </c>
      <c r="AL106" s="373">
        <f t="shared" si="698"/>
        <v>0</v>
      </c>
      <c r="AM106" s="388">
        <f t="shared" si="698"/>
        <v>0</v>
      </c>
      <c r="AN106" s="373">
        <f t="shared" si="698"/>
        <v>0</v>
      </c>
      <c r="AO106" s="388">
        <f t="shared" si="698"/>
        <v>0</v>
      </c>
      <c r="AP106" s="388">
        <f t="shared" si="698"/>
        <v>0</v>
      </c>
      <c r="AQ106" s="388">
        <f t="shared" si="698"/>
        <v>0</v>
      </c>
      <c r="AR106" s="388">
        <f t="shared" si="698"/>
        <v>0</v>
      </c>
      <c r="AS106" s="388">
        <f t="shared" si="698"/>
        <v>0</v>
      </c>
      <c r="AT106" s="388">
        <f t="shared" si="698"/>
        <v>0</v>
      </c>
      <c r="AU106" s="388">
        <f t="shared" si="698"/>
        <v>0</v>
      </c>
      <c r="AV106" s="388">
        <f t="shared" si="698"/>
        <v>0</v>
      </c>
      <c r="AW106" s="388"/>
      <c r="AX106" s="388">
        <f t="shared" ref="AX106:BQ106" si="699">IF(AX$3=$E106,$D106,0)</f>
        <v>0</v>
      </c>
      <c r="AY106" s="388">
        <f t="shared" si="699"/>
        <v>0</v>
      </c>
      <c r="AZ106" s="388">
        <f t="shared" si="699"/>
        <v>982.1</v>
      </c>
      <c r="BA106" s="388">
        <f t="shared" si="699"/>
        <v>0</v>
      </c>
      <c r="BB106" s="388">
        <f t="shared" si="699"/>
        <v>0</v>
      </c>
      <c r="BC106" s="388">
        <f t="shared" si="699"/>
        <v>0</v>
      </c>
      <c r="BD106" s="388">
        <f t="shared" si="699"/>
        <v>0</v>
      </c>
      <c r="BE106" s="388">
        <f t="shared" si="699"/>
        <v>0</v>
      </c>
      <c r="BF106" s="388">
        <f t="shared" si="699"/>
        <v>0</v>
      </c>
      <c r="BG106" s="388">
        <f t="shared" si="699"/>
        <v>0</v>
      </c>
      <c r="BH106" s="388">
        <f t="shared" si="699"/>
        <v>0</v>
      </c>
      <c r="BI106" s="388">
        <f t="shared" si="699"/>
        <v>0</v>
      </c>
      <c r="BJ106" s="388">
        <f t="shared" si="699"/>
        <v>0</v>
      </c>
      <c r="BK106" s="388">
        <f t="shared" si="699"/>
        <v>0</v>
      </c>
      <c r="BL106" s="388">
        <f t="shared" si="699"/>
        <v>0</v>
      </c>
      <c r="BM106" s="388">
        <f t="shared" si="699"/>
        <v>0</v>
      </c>
      <c r="BN106" s="388">
        <f t="shared" si="699"/>
        <v>0</v>
      </c>
      <c r="BO106" s="388">
        <f t="shared" si="699"/>
        <v>0</v>
      </c>
      <c r="BP106" s="388">
        <f t="shared" si="699"/>
        <v>0</v>
      </c>
      <c r="BQ106" s="388">
        <f t="shared" si="699"/>
        <v>0</v>
      </c>
      <c r="BR106" s="389">
        <f t="shared" si="422"/>
        <v>0</v>
      </c>
    </row>
    <row r="107" spans="1:71" ht="14.45" customHeight="1" outlineLevel="1" x14ac:dyDescent="0.25">
      <c r="A107" s="385" t="s">
        <v>141</v>
      </c>
      <c r="B107" s="480"/>
      <c r="C107" s="386"/>
      <c r="D107" s="388">
        <f>SUM(F107:X107)</f>
        <v>15389.66</v>
      </c>
      <c r="E107" s="391" t="s">
        <v>165</v>
      </c>
      <c r="F107" s="392"/>
      <c r="G107" s="392">
        <v>0</v>
      </c>
      <c r="H107" s="392">
        <v>375</v>
      </c>
      <c r="I107" s="392">
        <v>4500</v>
      </c>
      <c r="J107" s="392">
        <v>4848.4799999999996</v>
      </c>
      <c r="K107" s="392">
        <v>4771.5200000000004</v>
      </c>
      <c r="L107" s="392">
        <v>894.66</v>
      </c>
      <c r="M107" s="392">
        <v>0</v>
      </c>
      <c r="N107" s="392">
        <v>0</v>
      </c>
      <c r="O107" s="392">
        <v>0</v>
      </c>
      <c r="P107" s="392">
        <v>0</v>
      </c>
      <c r="Q107" s="392">
        <v>0</v>
      </c>
      <c r="R107" s="392">
        <v>0</v>
      </c>
      <c r="S107" s="392">
        <v>0</v>
      </c>
      <c r="T107" s="484">
        <v>0</v>
      </c>
      <c r="U107" s="484">
        <v>0</v>
      </c>
      <c r="V107" s="484">
        <v>0</v>
      </c>
      <c r="W107" s="484">
        <v>0</v>
      </c>
      <c r="X107" s="484">
        <v>0</v>
      </c>
      <c r="Y107" s="484"/>
      <c r="Z107" s="388">
        <f t="shared" ref="Z107:Z112" si="700">SUM(F107:Y107)</f>
        <v>15389.66</v>
      </c>
      <c r="AA107" s="386"/>
      <c r="AB107" s="386"/>
      <c r="AC107" s="388">
        <f t="shared" ref="AC107:AV107" si="701">F107</f>
        <v>0</v>
      </c>
      <c r="AD107" s="388">
        <f t="shared" si="701"/>
        <v>0</v>
      </c>
      <c r="AE107" s="388">
        <f t="shared" si="701"/>
        <v>375</v>
      </c>
      <c r="AF107" s="388">
        <f t="shared" si="701"/>
        <v>4500</v>
      </c>
      <c r="AG107" s="388">
        <f t="shared" si="701"/>
        <v>4848.4799999999996</v>
      </c>
      <c r="AH107" s="388">
        <f t="shared" si="701"/>
        <v>4771.5200000000004</v>
      </c>
      <c r="AI107" s="388">
        <f t="shared" si="701"/>
        <v>894.66</v>
      </c>
      <c r="AJ107" s="388">
        <f t="shared" si="701"/>
        <v>0</v>
      </c>
      <c r="AK107" s="372">
        <f t="shared" si="701"/>
        <v>0</v>
      </c>
      <c r="AL107" s="388">
        <f t="shared" si="701"/>
        <v>0</v>
      </c>
      <c r="AM107" s="388">
        <f t="shared" si="701"/>
        <v>0</v>
      </c>
      <c r="AN107" s="373">
        <f t="shared" si="701"/>
        <v>0</v>
      </c>
      <c r="AO107" s="388">
        <f t="shared" si="701"/>
        <v>0</v>
      </c>
      <c r="AP107" s="388">
        <f t="shared" si="701"/>
        <v>0</v>
      </c>
      <c r="AQ107" s="388">
        <f t="shared" si="701"/>
        <v>0</v>
      </c>
      <c r="AR107" s="388">
        <f t="shared" si="701"/>
        <v>0</v>
      </c>
      <c r="AS107" s="388">
        <f t="shared" si="701"/>
        <v>0</v>
      </c>
      <c r="AT107" s="388">
        <f t="shared" si="701"/>
        <v>0</v>
      </c>
      <c r="AU107" s="388">
        <f t="shared" si="701"/>
        <v>0</v>
      </c>
      <c r="AV107" s="388">
        <f t="shared" si="701"/>
        <v>0</v>
      </c>
      <c r="AW107" s="388"/>
      <c r="AX107" s="388">
        <f>IF(AX$124=$E107,SUM(AC107:AF107),0)</f>
        <v>0</v>
      </c>
      <c r="AY107" s="388">
        <f>IF(AY$124=$E107,SUM(AD107:AG107),0)</f>
        <v>0</v>
      </c>
      <c r="AZ107" s="388">
        <f>IF(AZ$124=$E107,SUM(AE107:AH107),0)</f>
        <v>14495</v>
      </c>
      <c r="BA107" s="388">
        <v>894.66</v>
      </c>
      <c r="BB107" s="388">
        <v>0</v>
      </c>
      <c r="BC107" s="388">
        <f>IF(BC$124=$E107,SUM(AH107:AK107),0)</f>
        <v>0</v>
      </c>
      <c r="BD107" s="388">
        <v>0</v>
      </c>
      <c r="BE107" s="388">
        <f t="shared" ref="BE107:BG108" si="702">IF(BE$124=$E107,SUM(AJ107:AM107),0)</f>
        <v>0</v>
      </c>
      <c r="BF107" s="388">
        <f t="shared" si="702"/>
        <v>0</v>
      </c>
      <c r="BG107" s="388">
        <f t="shared" si="702"/>
        <v>0</v>
      </c>
      <c r="BH107" s="388">
        <v>0</v>
      </c>
      <c r="BI107" s="388">
        <f>IF(BI$124=$E107,SUM(AN107:AQ107),0)</f>
        <v>0</v>
      </c>
      <c r="BJ107" s="388">
        <f>IF(BJ$124=$E107,SUM(AO107:$AQ107),0)</f>
        <v>0</v>
      </c>
      <c r="BK107" s="373">
        <f>IF(BK$124=$E107,SUM(AP107:$AQ107),0)</f>
        <v>0</v>
      </c>
      <c r="BL107" s="388">
        <f>IF(BL$124=$E107,SUM(AQ107:$AQ107),0)</f>
        <v>0</v>
      </c>
      <c r="BM107" s="388">
        <f>IF(BM$124=$E107,SUM($AQ107:AR107),0)</f>
        <v>0</v>
      </c>
      <c r="BN107" s="388">
        <f>IF(BN$124=$E107,SUM($AQ107:AS107),0)</f>
        <v>0</v>
      </c>
      <c r="BO107" s="388">
        <f>IF(BO$124=$E107,SUM($AQ107:AT107),0)</f>
        <v>0</v>
      </c>
      <c r="BP107" s="388">
        <f>IF(BP$124=$E107,SUM($AQ107:AU107),0)</f>
        <v>0</v>
      </c>
      <c r="BQ107" s="388">
        <f>IF(BQ$124=$E107,SUM($AQ107:AV107),0)</f>
        <v>0</v>
      </c>
      <c r="BR107" s="389">
        <f t="shared" si="422"/>
        <v>0</v>
      </c>
    </row>
    <row r="108" spans="1:71" s="288" customFormat="1" ht="14.45" customHeight="1" x14ac:dyDescent="0.25">
      <c r="A108" s="385" t="s">
        <v>144</v>
      </c>
      <c r="B108" s="480"/>
      <c r="C108" s="386"/>
      <c r="D108" s="373">
        <v>7222.5</v>
      </c>
      <c r="E108" s="391" t="s">
        <v>165</v>
      </c>
      <c r="F108" s="392"/>
      <c r="G108" s="392"/>
      <c r="H108" s="392"/>
      <c r="I108" s="392" t="s">
        <v>102</v>
      </c>
      <c r="J108" s="392"/>
      <c r="K108" s="392">
        <v>0</v>
      </c>
      <c r="L108" s="392">
        <v>0</v>
      </c>
      <c r="M108" s="392">
        <v>0</v>
      </c>
      <c r="N108" s="392">
        <v>0</v>
      </c>
      <c r="O108" s="392">
        <v>7222.5</v>
      </c>
      <c r="P108" s="392"/>
      <c r="Q108" s="392"/>
      <c r="R108" s="392"/>
      <c r="S108" s="392"/>
      <c r="T108" s="484"/>
      <c r="U108" s="484"/>
      <c r="V108" s="484"/>
      <c r="W108" s="484"/>
      <c r="X108" s="484"/>
      <c r="Y108" s="484"/>
      <c r="Z108" s="388">
        <f t="shared" si="700"/>
        <v>7222.5</v>
      </c>
      <c r="AA108" s="386"/>
      <c r="AB108" s="386"/>
      <c r="AC108" s="388">
        <f t="shared" ref="AC108:AJ108" si="703">F108</f>
        <v>0</v>
      </c>
      <c r="AD108" s="373">
        <f t="shared" si="703"/>
        <v>0</v>
      </c>
      <c r="AE108" s="388">
        <f t="shared" si="703"/>
        <v>0</v>
      </c>
      <c r="AF108" s="388" t="str">
        <f t="shared" si="703"/>
        <v xml:space="preserve"> </v>
      </c>
      <c r="AG108" s="388">
        <f t="shared" si="703"/>
        <v>0</v>
      </c>
      <c r="AH108" s="388">
        <f t="shared" si="703"/>
        <v>0</v>
      </c>
      <c r="AI108" s="388">
        <f t="shared" si="703"/>
        <v>0</v>
      </c>
      <c r="AJ108" s="372">
        <f t="shared" si="703"/>
        <v>0</v>
      </c>
      <c r="AK108" s="372">
        <f t="shared" ref="AK108" si="704">N108</f>
        <v>0</v>
      </c>
      <c r="AL108" s="373">
        <f t="shared" ref="AL108" si="705">O108</f>
        <v>7222.5</v>
      </c>
      <c r="AM108" s="388">
        <f t="shared" ref="AM108" si="706">P108</f>
        <v>0</v>
      </c>
      <c r="AN108" s="373">
        <f t="shared" ref="AN108" si="707">Q108</f>
        <v>0</v>
      </c>
      <c r="AO108" s="388">
        <f t="shared" ref="AO108" si="708">R108</f>
        <v>0</v>
      </c>
      <c r="AP108" s="388">
        <f t="shared" ref="AP108" si="709">S108</f>
        <v>0</v>
      </c>
      <c r="AQ108" s="388">
        <f t="shared" ref="AQ108" si="710">T108</f>
        <v>0</v>
      </c>
      <c r="AR108" s="388">
        <f>U108</f>
        <v>0</v>
      </c>
      <c r="AS108" s="388">
        <f>V108</f>
        <v>0</v>
      </c>
      <c r="AT108" s="388">
        <f>W108</f>
        <v>0</v>
      </c>
      <c r="AU108" s="388">
        <f>X108</f>
        <v>0</v>
      </c>
      <c r="AV108" s="388">
        <f>Y108</f>
        <v>0</v>
      </c>
      <c r="AW108" s="388"/>
      <c r="AX108" s="388">
        <f>IF(AX$124=$E108,SUM(AC108:AF108),0)</f>
        <v>0</v>
      </c>
      <c r="AY108" s="388">
        <f>IF(AY$124=$E108,SUM(AD108:AG108),0)</f>
        <v>0</v>
      </c>
      <c r="AZ108" s="388">
        <v>7222.5</v>
      </c>
      <c r="BA108" s="388">
        <f>IF(BA$124=$E108,SUM(AF108:AI108),0)</f>
        <v>0</v>
      </c>
      <c r="BB108" s="388">
        <f>IF(BB$124=$E108,SUM(AG108:AJ108),0)</f>
        <v>0</v>
      </c>
      <c r="BC108" s="388">
        <f>IF(BC$124=$E108,SUM(AH108:AK108),0)</f>
        <v>0</v>
      </c>
      <c r="BD108" s="388">
        <v>0</v>
      </c>
      <c r="BE108" s="388">
        <f t="shared" si="702"/>
        <v>0</v>
      </c>
      <c r="BF108" s="388">
        <f t="shared" si="702"/>
        <v>0</v>
      </c>
      <c r="BG108" s="388">
        <f t="shared" si="702"/>
        <v>0</v>
      </c>
      <c r="BH108" s="388">
        <f>IF(BH$124=$E108,SUM(AM108:AP108),0)</f>
        <v>0</v>
      </c>
      <c r="BI108" s="388">
        <f>IF(BI$124=$E108,SUM(AN108:AQ108),0)</f>
        <v>0</v>
      </c>
      <c r="BJ108" s="388">
        <f>IF(BJ$124=$E108,SUM(AO108:$AQ108),0)</f>
        <v>0</v>
      </c>
      <c r="BK108" s="388">
        <f>IF(BK$124=$E108,SUM(AP108:$AQ108),0)</f>
        <v>0</v>
      </c>
      <c r="BL108" s="388">
        <f>IF(BL$124=$E108,SUM(AQ108:$AQ108),0)</f>
        <v>0</v>
      </c>
      <c r="BM108" s="388">
        <f>IF(BM$124=$E108,SUM($AQ108:AR108),0)</f>
        <v>0</v>
      </c>
      <c r="BN108" s="388">
        <v>0</v>
      </c>
      <c r="BO108" s="388">
        <v>0</v>
      </c>
      <c r="BP108" s="388">
        <v>0</v>
      </c>
      <c r="BQ108" s="388">
        <v>0</v>
      </c>
      <c r="BR108" s="389">
        <f t="shared" si="422"/>
        <v>0</v>
      </c>
    </row>
    <row r="109" spans="1:71" s="288" customFormat="1" ht="14.45" customHeight="1" x14ac:dyDescent="0.25">
      <c r="A109" s="385" t="s">
        <v>144</v>
      </c>
      <c r="B109" s="480"/>
      <c r="C109" s="386"/>
      <c r="D109" s="373">
        <v>505.16</v>
      </c>
      <c r="E109" s="386" t="s">
        <v>197</v>
      </c>
      <c r="F109" s="390"/>
      <c r="G109" s="390">
        <v>0</v>
      </c>
      <c r="H109" s="390">
        <v>0</v>
      </c>
      <c r="I109" s="390">
        <v>1</v>
      </c>
      <c r="J109" s="390">
        <v>0</v>
      </c>
      <c r="K109" s="390">
        <v>0</v>
      </c>
      <c r="L109" s="390">
        <v>0</v>
      </c>
      <c r="M109" s="391"/>
      <c r="N109" s="391"/>
      <c r="O109" s="391"/>
      <c r="P109" s="391"/>
      <c r="Q109" s="391"/>
      <c r="R109" s="391"/>
      <c r="S109" s="391"/>
      <c r="T109" s="391"/>
      <c r="U109" s="391"/>
      <c r="V109" s="391"/>
      <c r="W109" s="391"/>
      <c r="X109" s="391"/>
      <c r="Y109" s="391"/>
      <c r="Z109" s="387">
        <f t="shared" si="700"/>
        <v>1</v>
      </c>
      <c r="AA109" s="386"/>
      <c r="AB109" s="386"/>
      <c r="AC109" s="388">
        <f t="shared" ref="AC109:AV109" si="711">F109*$D109</f>
        <v>0</v>
      </c>
      <c r="AD109" s="373">
        <f t="shared" si="711"/>
        <v>0</v>
      </c>
      <c r="AE109" s="388">
        <f t="shared" si="711"/>
        <v>0</v>
      </c>
      <c r="AF109" s="388">
        <f t="shared" si="711"/>
        <v>505.16</v>
      </c>
      <c r="AG109" s="388">
        <f t="shared" si="711"/>
        <v>0</v>
      </c>
      <c r="AH109" s="388">
        <f t="shared" si="711"/>
        <v>0</v>
      </c>
      <c r="AI109" s="388">
        <f t="shared" si="711"/>
        <v>0</v>
      </c>
      <c r="AJ109" s="388">
        <f t="shared" si="711"/>
        <v>0</v>
      </c>
      <c r="AK109" s="372">
        <f t="shared" si="711"/>
        <v>0</v>
      </c>
      <c r="AL109" s="373">
        <f t="shared" si="711"/>
        <v>0</v>
      </c>
      <c r="AM109" s="388">
        <f t="shared" si="711"/>
        <v>0</v>
      </c>
      <c r="AN109" s="373">
        <f t="shared" si="711"/>
        <v>0</v>
      </c>
      <c r="AO109" s="388">
        <f t="shared" si="711"/>
        <v>0</v>
      </c>
      <c r="AP109" s="388">
        <f t="shared" si="711"/>
        <v>0</v>
      </c>
      <c r="AQ109" s="388">
        <f t="shared" si="711"/>
        <v>0</v>
      </c>
      <c r="AR109" s="388">
        <f t="shared" si="711"/>
        <v>0</v>
      </c>
      <c r="AS109" s="388">
        <f t="shared" si="711"/>
        <v>0</v>
      </c>
      <c r="AT109" s="388">
        <f t="shared" si="711"/>
        <v>0</v>
      </c>
      <c r="AU109" s="388">
        <f t="shared" si="711"/>
        <v>0</v>
      </c>
      <c r="AV109" s="388">
        <f t="shared" si="711"/>
        <v>0</v>
      </c>
      <c r="AW109" s="388"/>
      <c r="AX109" s="388">
        <f t="shared" ref="AX109:BQ109" si="712">IF(AX$3=$E109,$D109,0)</f>
        <v>0</v>
      </c>
      <c r="AY109" s="388">
        <f t="shared" si="712"/>
        <v>0</v>
      </c>
      <c r="AZ109" s="388">
        <f t="shared" si="712"/>
        <v>0</v>
      </c>
      <c r="BA109" s="388">
        <f t="shared" si="712"/>
        <v>505.16</v>
      </c>
      <c r="BB109" s="388">
        <f t="shared" si="712"/>
        <v>0</v>
      </c>
      <c r="BC109" s="388">
        <f t="shared" si="712"/>
        <v>0</v>
      </c>
      <c r="BD109" s="388">
        <f t="shared" si="712"/>
        <v>0</v>
      </c>
      <c r="BE109" s="388">
        <f t="shared" si="712"/>
        <v>0</v>
      </c>
      <c r="BF109" s="388">
        <f t="shared" si="712"/>
        <v>0</v>
      </c>
      <c r="BG109" s="388">
        <f t="shared" si="712"/>
        <v>0</v>
      </c>
      <c r="BH109" s="388">
        <f t="shared" si="712"/>
        <v>0</v>
      </c>
      <c r="BI109" s="388">
        <f t="shared" si="712"/>
        <v>0</v>
      </c>
      <c r="BJ109" s="388">
        <f t="shared" si="712"/>
        <v>0</v>
      </c>
      <c r="BK109" s="388">
        <f t="shared" si="712"/>
        <v>0</v>
      </c>
      <c r="BL109" s="388">
        <f t="shared" si="712"/>
        <v>0</v>
      </c>
      <c r="BM109" s="388">
        <f t="shared" si="712"/>
        <v>0</v>
      </c>
      <c r="BN109" s="388">
        <f t="shared" si="712"/>
        <v>0</v>
      </c>
      <c r="BO109" s="388">
        <f t="shared" si="712"/>
        <v>0</v>
      </c>
      <c r="BP109" s="388">
        <f t="shared" si="712"/>
        <v>0</v>
      </c>
      <c r="BQ109" s="388">
        <f t="shared" si="712"/>
        <v>0</v>
      </c>
      <c r="BR109" s="389">
        <f t="shared" si="422"/>
        <v>0</v>
      </c>
    </row>
    <row r="110" spans="1:71" s="288" customFormat="1" ht="14.45" customHeight="1" outlineLevel="1" x14ac:dyDescent="0.25">
      <c r="A110" s="385" t="s">
        <v>141</v>
      </c>
      <c r="B110" s="480"/>
      <c r="C110" s="386"/>
      <c r="D110" s="388">
        <f>SUM(F110:X110)</f>
        <v>122294.38</v>
      </c>
      <c r="E110" s="391" t="s">
        <v>197</v>
      </c>
      <c r="F110" s="392">
        <v>0</v>
      </c>
      <c r="G110" s="392">
        <v>0</v>
      </c>
      <c r="H110" s="392">
        <v>0</v>
      </c>
      <c r="I110" s="392">
        <v>2666.56</v>
      </c>
      <c r="J110" s="392">
        <v>4615.2</v>
      </c>
      <c r="K110" s="392">
        <v>6230.52</v>
      </c>
      <c r="L110" s="392">
        <v>5435.68</v>
      </c>
      <c r="M110" s="392">
        <v>6153.6</v>
      </c>
      <c r="N110" s="392">
        <v>7295.78</v>
      </c>
      <c r="O110" s="392">
        <v>6828.72</v>
      </c>
      <c r="P110" s="392">
        <v>6997.9</v>
      </c>
      <c r="Q110" s="392">
        <v>7228.6</v>
      </c>
      <c r="R110" s="392">
        <v>7819.84</v>
      </c>
      <c r="S110" s="392">
        <v>8392.32</v>
      </c>
      <c r="T110" s="484">
        <v>6987.96</v>
      </c>
      <c r="U110" s="484">
        <v>8248.5</v>
      </c>
      <c r="V110" s="484">
        <v>8248.5</v>
      </c>
      <c r="W110" s="484">
        <v>8248.5</v>
      </c>
      <c r="X110" s="484">
        <v>20896.200000000004</v>
      </c>
      <c r="Y110" s="484">
        <v>0</v>
      </c>
      <c r="Z110" s="388">
        <f t="shared" si="700"/>
        <v>122294.38</v>
      </c>
      <c r="AA110" s="386"/>
      <c r="AB110" s="386"/>
      <c r="AC110" s="388">
        <v>0</v>
      </c>
      <c r="AD110" s="388">
        <v>0</v>
      </c>
      <c r="AE110" s="388">
        <v>0</v>
      </c>
      <c r="AF110" s="388">
        <v>2666.56</v>
      </c>
      <c r="AG110" s="388">
        <v>4615.2</v>
      </c>
      <c r="AH110" s="388">
        <v>6230.52</v>
      </c>
      <c r="AI110" s="388">
        <v>5435.68</v>
      </c>
      <c r="AJ110" s="372">
        <v>6153.6</v>
      </c>
      <c r="AK110" s="372">
        <v>7295.78</v>
      </c>
      <c r="AL110" s="388">
        <v>6828.72</v>
      </c>
      <c r="AM110" s="388">
        <v>6997.9</v>
      </c>
      <c r="AN110" s="373">
        <v>7228.6</v>
      </c>
      <c r="AO110" s="373">
        <v>7819.84</v>
      </c>
      <c r="AP110" s="373">
        <v>8392.32</v>
      </c>
      <c r="AQ110" s="373">
        <v>6987.96</v>
      </c>
      <c r="AR110" s="373">
        <v>8248.5</v>
      </c>
      <c r="AS110" s="373">
        <v>8248.5</v>
      </c>
      <c r="AT110" s="373">
        <v>8248.5</v>
      </c>
      <c r="AU110" s="373">
        <v>20896.200000000004</v>
      </c>
      <c r="AV110" s="373">
        <f t="shared" ref="AV110" si="713">Y110</f>
        <v>0</v>
      </c>
      <c r="AW110" s="388"/>
      <c r="AX110" s="388">
        <v>0</v>
      </c>
      <c r="AY110" s="388">
        <v>0</v>
      </c>
      <c r="AZ110" s="388">
        <v>0</v>
      </c>
      <c r="BA110" s="388">
        <v>3384.48</v>
      </c>
      <c r="BB110" s="388">
        <v>24260.44</v>
      </c>
      <c r="BC110" s="388">
        <v>0</v>
      </c>
      <c r="BD110" s="388">
        <v>0</v>
      </c>
      <c r="BE110" s="388">
        <v>0</v>
      </c>
      <c r="BF110" s="388">
        <v>29991</v>
      </c>
      <c r="BG110" s="388">
        <v>0</v>
      </c>
      <c r="BH110" s="388">
        <v>0</v>
      </c>
      <c r="BI110" s="388">
        <v>-1845.6</v>
      </c>
      <c r="BJ110" s="388">
        <v>16497</v>
      </c>
      <c r="BK110" s="373">
        <v>-1133.6400000000001</v>
      </c>
      <c r="BL110" s="388">
        <v>32994</v>
      </c>
      <c r="BM110" s="388">
        <v>0</v>
      </c>
      <c r="BN110" s="388">
        <v>0</v>
      </c>
      <c r="BO110" s="388">
        <v>0</v>
      </c>
      <c r="BP110" s="388">
        <v>18146.7</v>
      </c>
      <c r="BQ110" s="388">
        <v>0</v>
      </c>
      <c r="BR110" s="485">
        <f t="shared" si="422"/>
        <v>0</v>
      </c>
      <c r="BS110" s="244"/>
    </row>
    <row r="111" spans="1:71" s="288" customFormat="1" ht="14.45" customHeight="1" x14ac:dyDescent="0.25">
      <c r="A111" s="385" t="s">
        <v>144</v>
      </c>
      <c r="B111" s="480"/>
      <c r="C111" s="386"/>
      <c r="D111" s="373">
        <v>1630</v>
      </c>
      <c r="E111" s="386" t="s">
        <v>194</v>
      </c>
      <c r="F111" s="390"/>
      <c r="G111" s="390">
        <v>0</v>
      </c>
      <c r="H111" s="390">
        <v>0</v>
      </c>
      <c r="I111" s="390">
        <v>0</v>
      </c>
      <c r="J111" s="390">
        <v>1</v>
      </c>
      <c r="K111" s="391"/>
      <c r="L111" s="391"/>
      <c r="M111" s="391"/>
      <c r="N111" s="391"/>
      <c r="O111" s="391"/>
      <c r="P111" s="391"/>
      <c r="Q111" s="391"/>
      <c r="R111" s="391"/>
      <c r="S111" s="391"/>
      <c r="T111" s="391"/>
      <c r="U111" s="391"/>
      <c r="V111" s="391"/>
      <c r="W111" s="391"/>
      <c r="X111" s="391"/>
      <c r="Y111" s="391"/>
      <c r="Z111" s="387">
        <f t="shared" si="700"/>
        <v>1</v>
      </c>
      <c r="AA111" s="483"/>
      <c r="AB111" s="386"/>
      <c r="AC111" s="388">
        <f t="shared" ref="AC111" si="714">F111*$D111</f>
        <v>0</v>
      </c>
      <c r="AD111" s="373">
        <f t="shared" ref="AD111" si="715">G111*$D111</f>
        <v>0</v>
      </c>
      <c r="AE111" s="388">
        <f t="shared" ref="AE111" si="716">H111*$D111</f>
        <v>0</v>
      </c>
      <c r="AF111" s="388">
        <f t="shared" ref="AF111" si="717">I111*$D111</f>
        <v>0</v>
      </c>
      <c r="AG111" s="388">
        <f t="shared" si="659"/>
        <v>1630</v>
      </c>
      <c r="AH111" s="388">
        <f t="shared" ref="AH111" si="718">K111*$D111</f>
        <v>0</v>
      </c>
      <c r="AI111" s="388">
        <f t="shared" ref="AI111" si="719">L111*$D111</f>
        <v>0</v>
      </c>
      <c r="AJ111" s="388">
        <f t="shared" ref="AJ111" si="720">M111*$D111</f>
        <v>0</v>
      </c>
      <c r="AK111" s="372">
        <f t="shared" ref="AK111" si="721">N111*$D111</f>
        <v>0</v>
      </c>
      <c r="AL111" s="373">
        <f t="shared" ref="AL111" si="722">O111*$D111</f>
        <v>0</v>
      </c>
      <c r="AM111" s="388">
        <f t="shared" ref="AM111" si="723">P111*$D111</f>
        <v>0</v>
      </c>
      <c r="AN111" s="373">
        <f t="shared" ref="AN111" si="724">Q111*$D111</f>
        <v>0</v>
      </c>
      <c r="AO111" s="388">
        <f t="shared" ref="AO111" si="725">R111*$D111</f>
        <v>0</v>
      </c>
      <c r="AP111" s="388">
        <f t="shared" ref="AP111" si="726">S111*$D111</f>
        <v>0</v>
      </c>
      <c r="AQ111" s="388">
        <f t="shared" ref="AQ111" si="727">T111*$D111</f>
        <v>0</v>
      </c>
      <c r="AR111" s="388">
        <f t="shared" si="399"/>
        <v>0</v>
      </c>
      <c r="AS111" s="388">
        <f t="shared" si="14"/>
        <v>0</v>
      </c>
      <c r="AT111" s="388">
        <f t="shared" si="15"/>
        <v>0</v>
      </c>
      <c r="AU111" s="388">
        <f t="shared" si="16"/>
        <v>0</v>
      </c>
      <c r="AV111" s="388">
        <f t="shared" si="16"/>
        <v>0</v>
      </c>
      <c r="AW111" s="388"/>
      <c r="AX111" s="388">
        <f t="shared" si="675"/>
        <v>0</v>
      </c>
      <c r="AY111" s="388">
        <f t="shared" si="675"/>
        <v>0</v>
      </c>
      <c r="AZ111" s="388">
        <f t="shared" si="675"/>
        <v>0</v>
      </c>
      <c r="BA111" s="388">
        <f t="shared" si="675"/>
        <v>0</v>
      </c>
      <c r="BB111" s="388">
        <f t="shared" si="675"/>
        <v>1630</v>
      </c>
      <c r="BC111" s="388">
        <f t="shared" si="675"/>
        <v>0</v>
      </c>
      <c r="BD111" s="388">
        <f t="shared" si="675"/>
        <v>0</v>
      </c>
      <c r="BE111" s="388">
        <f t="shared" si="675"/>
        <v>0</v>
      </c>
      <c r="BF111" s="388">
        <f t="shared" si="675"/>
        <v>0</v>
      </c>
      <c r="BG111" s="388">
        <f t="shared" si="675"/>
        <v>0</v>
      </c>
      <c r="BH111" s="388">
        <f t="shared" si="675"/>
        <v>0</v>
      </c>
      <c r="BI111" s="388">
        <f t="shared" si="675"/>
        <v>0</v>
      </c>
      <c r="BJ111" s="388">
        <f t="shared" si="675"/>
        <v>0</v>
      </c>
      <c r="BK111" s="388">
        <f t="shared" si="675"/>
        <v>0</v>
      </c>
      <c r="BL111" s="388">
        <f t="shared" si="675"/>
        <v>0</v>
      </c>
      <c r="BM111" s="388">
        <f t="shared" si="449"/>
        <v>0</v>
      </c>
      <c r="BN111" s="388">
        <f t="shared" si="449"/>
        <v>0</v>
      </c>
      <c r="BO111" s="388">
        <f t="shared" si="449"/>
        <v>0</v>
      </c>
      <c r="BP111" s="388">
        <f t="shared" si="449"/>
        <v>0</v>
      </c>
      <c r="BQ111" s="388">
        <f t="shared" si="449"/>
        <v>0</v>
      </c>
      <c r="BR111" s="389">
        <f t="shared" si="422"/>
        <v>0</v>
      </c>
    </row>
    <row r="112" spans="1:71" s="288" customFormat="1" ht="14.45" customHeight="1" x14ac:dyDescent="0.25">
      <c r="A112" s="385" t="s">
        <v>144</v>
      </c>
      <c r="B112" s="480"/>
      <c r="C112" s="386"/>
      <c r="D112" s="373">
        <v>739.99</v>
      </c>
      <c r="E112" s="386" t="s">
        <v>167</v>
      </c>
      <c r="F112" s="390"/>
      <c r="G112" s="390">
        <v>0</v>
      </c>
      <c r="H112" s="390">
        <v>0</v>
      </c>
      <c r="I112" s="390">
        <v>0</v>
      </c>
      <c r="J112" s="391">
        <v>0</v>
      </c>
      <c r="K112" s="390">
        <v>1</v>
      </c>
      <c r="L112" s="390">
        <v>0</v>
      </c>
      <c r="M112" s="391"/>
      <c r="N112" s="391"/>
      <c r="O112" s="391"/>
      <c r="P112" s="391"/>
      <c r="Q112" s="391"/>
      <c r="R112" s="391"/>
      <c r="S112" s="391"/>
      <c r="T112" s="391"/>
      <c r="U112" s="391"/>
      <c r="V112" s="391"/>
      <c r="W112" s="391"/>
      <c r="X112" s="391"/>
      <c r="Y112" s="391"/>
      <c r="Z112" s="387">
        <f t="shared" si="700"/>
        <v>1</v>
      </c>
      <c r="AA112" s="386"/>
      <c r="AB112" s="386"/>
      <c r="AC112" s="388">
        <f t="shared" ref="AC112" si="728">F112*$D112</f>
        <v>0</v>
      </c>
      <c r="AD112" s="373">
        <f t="shared" ref="AD112" si="729">G112*$D112</f>
        <v>0</v>
      </c>
      <c r="AE112" s="388">
        <f t="shared" ref="AE112" si="730">H112*$D112</f>
        <v>0</v>
      </c>
      <c r="AF112" s="388">
        <v>0</v>
      </c>
      <c r="AG112" s="388">
        <f t="shared" si="659"/>
        <v>0</v>
      </c>
      <c r="AH112" s="388">
        <f t="shared" ref="AH112" si="731">K112*$D112</f>
        <v>739.99</v>
      </c>
      <c r="AI112" s="388">
        <f t="shared" ref="AI112" si="732">L112*$D112</f>
        <v>0</v>
      </c>
      <c r="AJ112" s="388">
        <f t="shared" ref="AJ112" si="733">M112*$D112</f>
        <v>0</v>
      </c>
      <c r="AK112" s="372">
        <f t="shared" ref="AK112" si="734">N112*$D112</f>
        <v>0</v>
      </c>
      <c r="AL112" s="373">
        <f t="shared" ref="AL112" si="735">O112*$D112</f>
        <v>0</v>
      </c>
      <c r="AM112" s="388">
        <f t="shared" ref="AM112" si="736">P112*$D112</f>
        <v>0</v>
      </c>
      <c r="AN112" s="373">
        <f t="shared" ref="AN112" si="737">Q112*$D112</f>
        <v>0</v>
      </c>
      <c r="AO112" s="388">
        <f t="shared" ref="AO112" si="738">R112*$D112</f>
        <v>0</v>
      </c>
      <c r="AP112" s="388">
        <f t="shared" ref="AP112" si="739">S112*$D112</f>
        <v>0</v>
      </c>
      <c r="AQ112" s="388">
        <f t="shared" ref="AQ112" si="740">T112*$D112</f>
        <v>0</v>
      </c>
      <c r="AR112" s="388">
        <f t="shared" si="399"/>
        <v>0</v>
      </c>
      <c r="AS112" s="388">
        <f t="shared" si="14"/>
        <v>0</v>
      </c>
      <c r="AT112" s="388">
        <f t="shared" si="15"/>
        <v>0</v>
      </c>
      <c r="AU112" s="388">
        <f t="shared" si="16"/>
        <v>0</v>
      </c>
      <c r="AV112" s="388">
        <f t="shared" si="16"/>
        <v>0</v>
      </c>
      <c r="AW112" s="388"/>
      <c r="AX112" s="388">
        <f t="shared" si="675"/>
        <v>0</v>
      </c>
      <c r="AY112" s="388">
        <f t="shared" si="675"/>
        <v>0</v>
      </c>
      <c r="AZ112" s="388">
        <f t="shared" si="675"/>
        <v>0</v>
      </c>
      <c r="BA112" s="388">
        <f t="shared" si="675"/>
        <v>0</v>
      </c>
      <c r="BB112" s="388">
        <f t="shared" si="675"/>
        <v>0</v>
      </c>
      <c r="BC112" s="388">
        <f t="shared" si="675"/>
        <v>739.99</v>
      </c>
      <c r="BD112" s="388">
        <f t="shared" si="675"/>
        <v>0</v>
      </c>
      <c r="BE112" s="388">
        <f t="shared" si="675"/>
        <v>0</v>
      </c>
      <c r="BF112" s="388">
        <f t="shared" si="675"/>
        <v>0</v>
      </c>
      <c r="BG112" s="388">
        <f t="shared" si="675"/>
        <v>0</v>
      </c>
      <c r="BH112" s="388">
        <f t="shared" si="675"/>
        <v>0</v>
      </c>
      <c r="BI112" s="388">
        <f t="shared" si="675"/>
        <v>0</v>
      </c>
      <c r="BJ112" s="388">
        <f t="shared" si="675"/>
        <v>0</v>
      </c>
      <c r="BK112" s="388">
        <f t="shared" si="675"/>
        <v>0</v>
      </c>
      <c r="BL112" s="388">
        <f t="shared" si="675"/>
        <v>0</v>
      </c>
      <c r="BM112" s="388">
        <f t="shared" si="449"/>
        <v>0</v>
      </c>
      <c r="BN112" s="388">
        <f t="shared" si="449"/>
        <v>0</v>
      </c>
      <c r="BO112" s="388">
        <f t="shared" si="449"/>
        <v>0</v>
      </c>
      <c r="BP112" s="388">
        <f t="shared" si="449"/>
        <v>0</v>
      </c>
      <c r="BQ112" s="388">
        <f t="shared" si="449"/>
        <v>0</v>
      </c>
      <c r="BR112" s="389">
        <f t="shared" si="422"/>
        <v>0</v>
      </c>
    </row>
    <row r="113" spans="1:71" s="288" customFormat="1" ht="14.45" customHeight="1" x14ac:dyDescent="0.25">
      <c r="A113" s="385" t="s">
        <v>144</v>
      </c>
      <c r="B113" s="480"/>
      <c r="C113" s="386"/>
      <c r="D113" s="373">
        <v>1232.1400000000001</v>
      </c>
      <c r="E113" s="386" t="s">
        <v>167</v>
      </c>
      <c r="F113" s="390"/>
      <c r="G113" s="390">
        <v>0</v>
      </c>
      <c r="H113" s="390">
        <v>0</v>
      </c>
      <c r="I113" s="390">
        <v>0</v>
      </c>
      <c r="J113" s="390">
        <v>0</v>
      </c>
      <c r="K113" s="390">
        <v>1</v>
      </c>
      <c r="L113" s="390">
        <v>0</v>
      </c>
      <c r="M113" s="391"/>
      <c r="N113" s="391"/>
      <c r="O113" s="391"/>
      <c r="P113" s="391"/>
      <c r="Q113" s="391"/>
      <c r="R113" s="391"/>
      <c r="S113" s="391"/>
      <c r="T113" s="391"/>
      <c r="U113" s="391"/>
      <c r="V113" s="391"/>
      <c r="W113" s="391"/>
      <c r="X113" s="391"/>
      <c r="Y113" s="391"/>
      <c r="Z113" s="387">
        <f t="shared" ref="Z113:Z115" si="741">SUM(F113:Y113)</f>
        <v>1</v>
      </c>
      <c r="AA113" s="386"/>
      <c r="AB113" s="386"/>
      <c r="AC113" s="388">
        <f t="shared" ref="AC113" si="742">F113*$D113</f>
        <v>0</v>
      </c>
      <c r="AD113" s="373">
        <f t="shared" ref="AD113" si="743">G113*$D113</f>
        <v>0</v>
      </c>
      <c r="AE113" s="388">
        <f t="shared" ref="AE113" si="744">H113*$D113</f>
        <v>0</v>
      </c>
      <c r="AF113" s="388">
        <f t="shared" ref="AF113" si="745">I113*$D113</f>
        <v>0</v>
      </c>
      <c r="AG113" s="388">
        <f t="shared" si="659"/>
        <v>0</v>
      </c>
      <c r="AH113" s="388">
        <f t="shared" ref="AH113" si="746">K113*$D113</f>
        <v>1232.1400000000001</v>
      </c>
      <c r="AI113" s="388">
        <f t="shared" ref="AI113" si="747">L113*$D113</f>
        <v>0</v>
      </c>
      <c r="AJ113" s="388">
        <f t="shared" ref="AJ113" si="748">M113*$D113</f>
        <v>0</v>
      </c>
      <c r="AK113" s="372">
        <f t="shared" ref="AK113" si="749">N113*$D113</f>
        <v>0</v>
      </c>
      <c r="AL113" s="373">
        <f t="shared" ref="AL113" si="750">O113*$D113</f>
        <v>0</v>
      </c>
      <c r="AM113" s="388">
        <f t="shared" ref="AM113" si="751">P113*$D113</f>
        <v>0</v>
      </c>
      <c r="AN113" s="373">
        <f t="shared" ref="AN113" si="752">Q113*$D113</f>
        <v>0</v>
      </c>
      <c r="AO113" s="388">
        <f t="shared" ref="AO113" si="753">R113*$D113</f>
        <v>0</v>
      </c>
      <c r="AP113" s="388">
        <f t="shared" ref="AP113" si="754">S113*$D113</f>
        <v>0</v>
      </c>
      <c r="AQ113" s="388">
        <f t="shared" ref="AQ113" si="755">T113*$D113</f>
        <v>0</v>
      </c>
      <c r="AR113" s="388">
        <f t="shared" si="399"/>
        <v>0</v>
      </c>
      <c r="AS113" s="388">
        <f t="shared" ref="AS113:AS122" si="756">V113*$D113</f>
        <v>0</v>
      </c>
      <c r="AT113" s="388">
        <f t="shared" ref="AT113:AT122" si="757">W113*$D113</f>
        <v>0</v>
      </c>
      <c r="AU113" s="388">
        <f t="shared" ref="AU113:AV122" si="758">X113*$D113</f>
        <v>0</v>
      </c>
      <c r="AV113" s="388">
        <f t="shared" si="758"/>
        <v>0</v>
      </c>
      <c r="AW113" s="388"/>
      <c r="AX113" s="388">
        <f t="shared" si="675"/>
        <v>0</v>
      </c>
      <c r="AY113" s="388">
        <f t="shared" si="675"/>
        <v>0</v>
      </c>
      <c r="AZ113" s="388">
        <f t="shared" si="675"/>
        <v>0</v>
      </c>
      <c r="BA113" s="388">
        <f t="shared" si="675"/>
        <v>0</v>
      </c>
      <c r="BB113" s="388">
        <f t="shared" si="675"/>
        <v>0</v>
      </c>
      <c r="BC113" s="388">
        <f t="shared" si="675"/>
        <v>1232.1400000000001</v>
      </c>
      <c r="BD113" s="388">
        <f t="shared" si="675"/>
        <v>0</v>
      </c>
      <c r="BE113" s="388">
        <f t="shared" si="675"/>
        <v>0</v>
      </c>
      <c r="BF113" s="388">
        <f t="shared" si="675"/>
        <v>0</v>
      </c>
      <c r="BG113" s="388">
        <f t="shared" si="675"/>
        <v>0</v>
      </c>
      <c r="BH113" s="388">
        <f t="shared" si="675"/>
        <v>0</v>
      </c>
      <c r="BI113" s="388">
        <f t="shared" si="675"/>
        <v>0</v>
      </c>
      <c r="BJ113" s="388">
        <f t="shared" si="675"/>
        <v>0</v>
      </c>
      <c r="BK113" s="388">
        <f t="shared" si="675"/>
        <v>0</v>
      </c>
      <c r="BL113" s="388">
        <f t="shared" si="675"/>
        <v>0</v>
      </c>
      <c r="BM113" s="388">
        <f t="shared" si="449"/>
        <v>0</v>
      </c>
      <c r="BN113" s="388">
        <f t="shared" si="449"/>
        <v>0</v>
      </c>
      <c r="BO113" s="388">
        <f t="shared" si="449"/>
        <v>0</v>
      </c>
      <c r="BP113" s="388">
        <f t="shared" si="449"/>
        <v>0</v>
      </c>
      <c r="BQ113" s="388">
        <f t="shared" si="449"/>
        <v>0</v>
      </c>
      <c r="BR113" s="389">
        <f t="shared" si="422"/>
        <v>0</v>
      </c>
    </row>
    <row r="114" spans="1:71" s="288" customFormat="1" ht="14.45" customHeight="1" x14ac:dyDescent="0.25">
      <c r="A114" s="385" t="s">
        <v>144</v>
      </c>
      <c r="B114" s="480"/>
      <c r="C114" s="386"/>
      <c r="D114" s="373">
        <v>1071.43</v>
      </c>
      <c r="E114" s="386" t="s">
        <v>193</v>
      </c>
      <c r="F114" s="390"/>
      <c r="G114" s="390">
        <v>0.24996100005199995</v>
      </c>
      <c r="H114" s="390">
        <v>0.25</v>
      </c>
      <c r="I114" s="390">
        <v>0.25</v>
      </c>
      <c r="J114" s="390">
        <v>0.25</v>
      </c>
      <c r="K114" s="390">
        <f>1-(G114+H114+I114+J114)</f>
        <v>3.8999948000051354E-5</v>
      </c>
      <c r="L114" s="391"/>
      <c r="M114" s="391"/>
      <c r="N114" s="391"/>
      <c r="O114" s="391"/>
      <c r="P114" s="391"/>
      <c r="Q114" s="391"/>
      <c r="R114" s="391"/>
      <c r="S114" s="391"/>
      <c r="T114" s="391"/>
      <c r="U114" s="391"/>
      <c r="V114" s="391"/>
      <c r="W114" s="391"/>
      <c r="X114" s="391"/>
      <c r="Y114" s="391"/>
      <c r="Z114" s="387">
        <f t="shared" si="741"/>
        <v>1</v>
      </c>
      <c r="AA114" s="386"/>
      <c r="AB114" s="386"/>
      <c r="AC114" s="388">
        <f t="shared" ref="AC114" si="759">F114*$D114</f>
        <v>0</v>
      </c>
      <c r="AD114" s="373">
        <f t="shared" ref="AD114" si="760">G114*$D114</f>
        <v>267.81571428571431</v>
      </c>
      <c r="AE114" s="388">
        <f t="shared" ref="AE114" si="761">H114*$D114</f>
        <v>267.85750000000002</v>
      </c>
      <c r="AF114" s="388">
        <f t="shared" ref="AF114" si="762">I114*$D114</f>
        <v>267.85750000000002</v>
      </c>
      <c r="AG114" s="388">
        <f t="shared" si="659"/>
        <v>267.85750000000002</v>
      </c>
      <c r="AH114" s="388">
        <f t="shared" ref="AH114" si="763">K114*$D114</f>
        <v>4.1785714285695025E-2</v>
      </c>
      <c r="AI114" s="388">
        <f t="shared" ref="AI114" si="764">L114*$D114</f>
        <v>0</v>
      </c>
      <c r="AJ114" s="388">
        <f t="shared" ref="AJ114" si="765">M114*$D114</f>
        <v>0</v>
      </c>
      <c r="AK114" s="372">
        <f t="shared" ref="AK114" si="766">N114*$D114</f>
        <v>0</v>
      </c>
      <c r="AL114" s="373">
        <f t="shared" ref="AL114" si="767">O114*$D114</f>
        <v>0</v>
      </c>
      <c r="AM114" s="388">
        <f t="shared" ref="AM114" si="768">P114*$D114</f>
        <v>0</v>
      </c>
      <c r="AN114" s="373">
        <f t="shared" ref="AN114" si="769">Q114*$D114</f>
        <v>0</v>
      </c>
      <c r="AO114" s="388">
        <f t="shared" ref="AO114" si="770">R114*$D114</f>
        <v>0</v>
      </c>
      <c r="AP114" s="388">
        <f t="shared" ref="AP114" si="771">S114*$D114</f>
        <v>0</v>
      </c>
      <c r="AQ114" s="388">
        <f t="shared" ref="AQ114" si="772">T114*$D114</f>
        <v>0</v>
      </c>
      <c r="AR114" s="388">
        <f t="shared" si="399"/>
        <v>0</v>
      </c>
      <c r="AS114" s="388">
        <f t="shared" si="756"/>
        <v>0</v>
      </c>
      <c r="AT114" s="388">
        <f t="shared" si="757"/>
        <v>0</v>
      </c>
      <c r="AU114" s="388">
        <f t="shared" si="758"/>
        <v>0</v>
      </c>
      <c r="AV114" s="388">
        <f t="shared" si="758"/>
        <v>0</v>
      </c>
      <c r="AW114" s="388"/>
      <c r="AX114" s="388">
        <f t="shared" ref="AX114:BL121" si="773">IF(AX$3=$E114,$D114,0)</f>
        <v>0</v>
      </c>
      <c r="AY114" s="388">
        <f t="shared" si="773"/>
        <v>1071.43</v>
      </c>
      <c r="AZ114" s="388">
        <f t="shared" si="773"/>
        <v>0</v>
      </c>
      <c r="BA114" s="388">
        <f t="shared" si="773"/>
        <v>0</v>
      </c>
      <c r="BB114" s="388">
        <f t="shared" si="773"/>
        <v>0</v>
      </c>
      <c r="BC114" s="388">
        <f t="shared" si="773"/>
        <v>0</v>
      </c>
      <c r="BD114" s="388">
        <f t="shared" si="773"/>
        <v>0</v>
      </c>
      <c r="BE114" s="388">
        <f t="shared" si="773"/>
        <v>0</v>
      </c>
      <c r="BF114" s="388">
        <f t="shared" si="773"/>
        <v>0</v>
      </c>
      <c r="BG114" s="388">
        <f t="shared" si="773"/>
        <v>0</v>
      </c>
      <c r="BH114" s="388">
        <f t="shared" si="773"/>
        <v>0</v>
      </c>
      <c r="BI114" s="388">
        <f t="shared" si="773"/>
        <v>0</v>
      </c>
      <c r="BJ114" s="388">
        <f t="shared" si="773"/>
        <v>0</v>
      </c>
      <c r="BK114" s="388">
        <f t="shared" si="773"/>
        <v>0</v>
      </c>
      <c r="BL114" s="388">
        <f t="shared" si="773"/>
        <v>0</v>
      </c>
      <c r="BM114" s="388">
        <f t="shared" si="449"/>
        <v>0</v>
      </c>
      <c r="BN114" s="388">
        <f t="shared" si="449"/>
        <v>0</v>
      </c>
      <c r="BO114" s="388">
        <f t="shared" si="449"/>
        <v>0</v>
      </c>
      <c r="BP114" s="388">
        <f t="shared" si="449"/>
        <v>0</v>
      </c>
      <c r="BQ114" s="388">
        <f t="shared" si="449"/>
        <v>0</v>
      </c>
      <c r="BR114" s="389">
        <f t="shared" si="422"/>
        <v>0</v>
      </c>
    </row>
    <row r="115" spans="1:71" s="288" customFormat="1" ht="14.45" customHeight="1" x14ac:dyDescent="0.25">
      <c r="A115" s="385" t="s">
        <v>144</v>
      </c>
      <c r="B115" s="480"/>
      <c r="C115" s="386"/>
      <c r="D115" s="373">
        <v>982.15</v>
      </c>
      <c r="E115" s="386" t="s">
        <v>167</v>
      </c>
      <c r="F115" s="390"/>
      <c r="G115" s="390">
        <v>0</v>
      </c>
      <c r="H115" s="390">
        <v>0</v>
      </c>
      <c r="I115" s="390">
        <v>0</v>
      </c>
      <c r="J115" s="390"/>
      <c r="K115" s="390">
        <v>0.27271801659624295</v>
      </c>
      <c r="L115" s="390">
        <v>0.27273838008450851</v>
      </c>
      <c r="M115" s="390">
        <v>9.0912793361502833E-2</v>
      </c>
      <c r="N115" s="390">
        <v>0</v>
      </c>
      <c r="O115" s="390">
        <v>0.36363080995774583</v>
      </c>
      <c r="P115" s="390"/>
      <c r="Q115" s="391"/>
      <c r="R115" s="391"/>
      <c r="S115" s="391"/>
      <c r="T115" s="391"/>
      <c r="U115" s="391"/>
      <c r="V115" s="391"/>
      <c r="W115" s="391"/>
      <c r="X115" s="391"/>
      <c r="Y115" s="391"/>
      <c r="Z115" s="387">
        <f t="shared" si="741"/>
        <v>1.0000000000000002</v>
      </c>
      <c r="AA115" s="386"/>
      <c r="AB115" s="386"/>
      <c r="AC115" s="388">
        <f t="shared" ref="AC115" si="774">F115*$D115</f>
        <v>0</v>
      </c>
      <c r="AD115" s="373">
        <f t="shared" ref="AD115" si="775">G115*$D115</f>
        <v>0</v>
      </c>
      <c r="AE115" s="388">
        <f t="shared" ref="AE115" si="776">H115*$D115</f>
        <v>0</v>
      </c>
      <c r="AF115" s="388">
        <f t="shared" ref="AF115" si="777">I115*$D115</f>
        <v>0</v>
      </c>
      <c r="AG115" s="388">
        <f t="shared" ref="AG115" si="778">J115*$D115</f>
        <v>0</v>
      </c>
      <c r="AH115" s="372">
        <f t="shared" ref="AH115" si="779">K115*$D115</f>
        <v>267.85000000000002</v>
      </c>
      <c r="AI115" s="372">
        <f t="shared" ref="AI115" si="780">L115*$D115</f>
        <v>267.87</v>
      </c>
      <c r="AJ115" s="372">
        <f t="shared" ref="AJ115" si="781">M115*$D115</f>
        <v>89.29</v>
      </c>
      <c r="AK115" s="372">
        <f t="shared" ref="AK115" si="782">N115*$D115</f>
        <v>0</v>
      </c>
      <c r="AL115" s="373">
        <f t="shared" ref="AL115" si="783">O115*$D115</f>
        <v>357.14000000000004</v>
      </c>
      <c r="AM115" s="388">
        <f t="shared" ref="AM115" si="784">P115*$D115</f>
        <v>0</v>
      </c>
      <c r="AN115" s="373">
        <f t="shared" ref="AN115" si="785">Q115*$D115</f>
        <v>0</v>
      </c>
      <c r="AO115" s="388">
        <f t="shared" ref="AO115" si="786">R115*$D115</f>
        <v>0</v>
      </c>
      <c r="AP115" s="388">
        <f t="shared" ref="AP115" si="787">S115*$D115</f>
        <v>0</v>
      </c>
      <c r="AQ115" s="388">
        <f t="shared" ref="AQ115" si="788">T115*$D115</f>
        <v>0</v>
      </c>
      <c r="AR115" s="388">
        <f t="shared" si="399"/>
        <v>0</v>
      </c>
      <c r="AS115" s="388">
        <f t="shared" si="756"/>
        <v>0</v>
      </c>
      <c r="AT115" s="388">
        <f t="shared" si="757"/>
        <v>0</v>
      </c>
      <c r="AU115" s="388">
        <f t="shared" si="758"/>
        <v>0</v>
      </c>
      <c r="AV115" s="388">
        <f t="shared" si="758"/>
        <v>0</v>
      </c>
      <c r="AW115" s="388"/>
      <c r="AX115" s="388">
        <f t="shared" si="773"/>
        <v>0</v>
      </c>
      <c r="AY115" s="388">
        <f t="shared" si="773"/>
        <v>0</v>
      </c>
      <c r="AZ115" s="388">
        <f t="shared" si="773"/>
        <v>0</v>
      </c>
      <c r="BA115" s="388">
        <f t="shared" si="773"/>
        <v>0</v>
      </c>
      <c r="BB115" s="388">
        <f t="shared" si="773"/>
        <v>0</v>
      </c>
      <c r="BC115" s="373">
        <f t="shared" si="773"/>
        <v>982.15</v>
      </c>
      <c r="BD115" s="388">
        <f t="shared" si="773"/>
        <v>0</v>
      </c>
      <c r="BE115" s="388">
        <f t="shared" si="773"/>
        <v>0</v>
      </c>
      <c r="BF115" s="388">
        <f t="shared" si="773"/>
        <v>0</v>
      </c>
      <c r="BG115" s="388">
        <f t="shared" si="773"/>
        <v>0</v>
      </c>
      <c r="BH115" s="388">
        <f t="shared" si="773"/>
        <v>0</v>
      </c>
      <c r="BI115" s="388">
        <f t="shared" si="773"/>
        <v>0</v>
      </c>
      <c r="BJ115" s="388">
        <f t="shared" si="773"/>
        <v>0</v>
      </c>
      <c r="BK115" s="388">
        <f t="shared" si="773"/>
        <v>0</v>
      </c>
      <c r="BL115" s="388">
        <f t="shared" si="773"/>
        <v>0</v>
      </c>
      <c r="BM115" s="388">
        <f t="shared" si="449"/>
        <v>0</v>
      </c>
      <c r="BN115" s="388">
        <f t="shared" si="449"/>
        <v>0</v>
      </c>
      <c r="BO115" s="388">
        <f t="shared" si="449"/>
        <v>0</v>
      </c>
      <c r="BP115" s="388">
        <f t="shared" si="449"/>
        <v>0</v>
      </c>
      <c r="BQ115" s="388">
        <f t="shared" si="449"/>
        <v>0</v>
      </c>
      <c r="BR115" s="389">
        <f t="shared" si="422"/>
        <v>0</v>
      </c>
    </row>
    <row r="116" spans="1:71" s="288" customFormat="1" ht="14.45" customHeight="1" outlineLevel="1" x14ac:dyDescent="0.25">
      <c r="A116" s="385" t="s">
        <v>141</v>
      </c>
      <c r="B116" s="480"/>
      <c r="C116" s="386"/>
      <c r="D116" s="388">
        <v>30021.759999999998</v>
      </c>
      <c r="E116" s="391" t="s">
        <v>167</v>
      </c>
      <c r="F116" s="392">
        <v>0</v>
      </c>
      <c r="G116" s="392">
        <v>0</v>
      </c>
      <c r="H116" s="392">
        <v>0</v>
      </c>
      <c r="I116" s="392">
        <v>0</v>
      </c>
      <c r="J116" s="392">
        <v>0</v>
      </c>
      <c r="K116" s="392">
        <v>2706.88</v>
      </c>
      <c r="L116" s="392">
        <v>7628.48</v>
      </c>
      <c r="M116" s="392">
        <v>7505.44</v>
      </c>
      <c r="N116" s="392">
        <v>7751.52</v>
      </c>
      <c r="O116" s="392">
        <v>4429.4399999999996</v>
      </c>
      <c r="P116" s="392"/>
      <c r="Q116" s="392"/>
      <c r="R116" s="392"/>
      <c r="S116" s="392"/>
      <c r="T116" s="484"/>
      <c r="U116" s="484"/>
      <c r="V116" s="484"/>
      <c r="W116" s="484"/>
      <c r="X116" s="484"/>
      <c r="Y116" s="484"/>
      <c r="Z116" s="388">
        <f>SUM(F116:Y116)</f>
        <v>30021.759999999998</v>
      </c>
      <c r="AA116" s="386"/>
      <c r="AB116" s="386"/>
      <c r="AC116" s="388">
        <f t="shared" ref="AC116" si="789">F116</f>
        <v>0</v>
      </c>
      <c r="AD116" s="388">
        <f t="shared" ref="AD116" si="790">G116</f>
        <v>0</v>
      </c>
      <c r="AE116" s="388">
        <f t="shared" ref="AE116" si="791">H116</f>
        <v>0</v>
      </c>
      <c r="AF116" s="388">
        <f t="shared" ref="AF116" si="792">I116</f>
        <v>0</v>
      </c>
      <c r="AG116" s="388">
        <f t="shared" ref="AG116" si="793">J116</f>
        <v>0</v>
      </c>
      <c r="AH116" s="388">
        <f t="shared" ref="AH116" si="794">K116</f>
        <v>2706.88</v>
      </c>
      <c r="AI116" s="388">
        <f t="shared" ref="AI116" si="795">L116</f>
        <v>7628.48</v>
      </c>
      <c r="AJ116" s="372">
        <f t="shared" ref="AJ116" si="796">M116</f>
        <v>7505.44</v>
      </c>
      <c r="AK116" s="372">
        <f t="shared" ref="AK116" si="797">N116</f>
        <v>7751.52</v>
      </c>
      <c r="AL116" s="388">
        <f t="shared" ref="AL116" si="798">O116</f>
        <v>4429.4399999999996</v>
      </c>
      <c r="AM116" s="388">
        <f t="shared" ref="AM116" si="799">P116</f>
        <v>0</v>
      </c>
      <c r="AN116" s="373">
        <f t="shared" ref="AN116" si="800">Q116</f>
        <v>0</v>
      </c>
      <c r="AO116" s="373">
        <f t="shared" ref="AO116" si="801">R116</f>
        <v>0</v>
      </c>
      <c r="AP116" s="388">
        <f t="shared" ref="AP116" si="802">S116</f>
        <v>0</v>
      </c>
      <c r="AQ116" s="388">
        <f t="shared" ref="AQ116" si="803">T116</f>
        <v>0</v>
      </c>
      <c r="AR116" s="388">
        <f>U116</f>
        <v>0</v>
      </c>
      <c r="AS116" s="388">
        <f>V116</f>
        <v>0</v>
      </c>
      <c r="AT116" s="388">
        <f>W116</f>
        <v>0</v>
      </c>
      <c r="AU116" s="388">
        <f>X116</f>
        <v>0</v>
      </c>
      <c r="AV116" s="388">
        <f>Y116</f>
        <v>0</v>
      </c>
      <c r="AW116" s="388"/>
      <c r="AX116" s="388">
        <f>IF(AX$124=$E116,SUM(AC116:AF116),0)</f>
        <v>0</v>
      </c>
      <c r="AY116" s="388">
        <f>IF(AY$124=$E116,SUM(AD116:AG116),0)</f>
        <v>0</v>
      </c>
      <c r="AZ116" s="388">
        <f>IF(AZ$124=$E116,SUM(AE116:AH116),0)</f>
        <v>0</v>
      </c>
      <c r="BA116" s="388">
        <f>IF(BA$124=$E116,SUM(AF116:AI116),0)</f>
        <v>0</v>
      </c>
      <c r="BB116" s="388">
        <f>IF(BB$124=$E116,SUM(AG116:AJ116),0)</f>
        <v>0</v>
      </c>
      <c r="BC116" s="388">
        <v>29991</v>
      </c>
      <c r="BD116" s="388">
        <f>IF(BD$124=$E116,SUM(AI116:AL116),0)</f>
        <v>0</v>
      </c>
      <c r="BE116" s="388">
        <f>IF(BE$124=$E116,SUM(AJ116:AM116),0)</f>
        <v>0</v>
      </c>
      <c r="BF116" s="388">
        <f>IF(BF$124=$E116,SUM(AK116:AN116),0)</f>
        <v>0</v>
      </c>
      <c r="BG116" s="388">
        <v>30.76</v>
      </c>
      <c r="BH116" s="388">
        <f t="shared" ref="BH116:BM116" si="804">IF(BH$124=$E116,SUM(AM116:AP116),0)</f>
        <v>0</v>
      </c>
      <c r="BI116" s="388">
        <f t="shared" si="804"/>
        <v>0</v>
      </c>
      <c r="BJ116" s="388">
        <f t="shared" si="804"/>
        <v>0</v>
      </c>
      <c r="BK116" s="373">
        <f t="shared" si="804"/>
        <v>0</v>
      </c>
      <c r="BL116" s="388">
        <f t="shared" si="804"/>
        <v>0</v>
      </c>
      <c r="BM116" s="388">
        <f t="shared" si="804"/>
        <v>0</v>
      </c>
      <c r="BN116" s="388">
        <f>IF(BN$124=$E116,SUM(AS116:AW116),0)</f>
        <v>0</v>
      </c>
      <c r="BO116" s="388">
        <f>IF(BO$124=$E116,SUM(AT116:AX116),0)</f>
        <v>0</v>
      </c>
      <c r="BP116" s="388">
        <f>IF(BP$124=$E116,SUM(AU116:AY116),0)</f>
        <v>0</v>
      </c>
      <c r="BQ116" s="388">
        <f>IF(BQ$124=$E116,SUM(AV116:AZ116),0)</f>
        <v>0</v>
      </c>
      <c r="BR116" s="389">
        <f t="shared" si="422"/>
        <v>0</v>
      </c>
      <c r="BS116" s="244"/>
    </row>
    <row r="117" spans="1:71" s="288" customFormat="1" ht="14.45" customHeight="1" x14ac:dyDescent="0.25">
      <c r="A117" s="385" t="s">
        <v>144</v>
      </c>
      <c r="B117" s="480"/>
      <c r="C117" s="386"/>
      <c r="D117" s="373">
        <v>714.25</v>
      </c>
      <c r="E117" s="386" t="s">
        <v>179</v>
      </c>
      <c r="F117" s="390"/>
      <c r="G117" s="390">
        <v>0</v>
      </c>
      <c r="H117" s="390">
        <v>0</v>
      </c>
      <c r="I117" s="390">
        <v>0</v>
      </c>
      <c r="J117" s="390"/>
      <c r="K117" s="390"/>
      <c r="L117" s="390">
        <v>0.37499474973748692</v>
      </c>
      <c r="M117" s="390">
        <v>0.12499824991249563</v>
      </c>
      <c r="N117" s="390">
        <v>0</v>
      </c>
      <c r="O117" s="390">
        <v>0.50000700035001755</v>
      </c>
      <c r="P117" s="390"/>
      <c r="Q117" s="391"/>
      <c r="R117" s="391"/>
      <c r="S117" s="391"/>
      <c r="T117" s="391"/>
      <c r="U117" s="391"/>
      <c r="V117" s="391"/>
      <c r="W117" s="391"/>
      <c r="X117" s="391"/>
      <c r="Y117" s="391"/>
      <c r="Z117" s="387">
        <f>SUM(F117:Y117)</f>
        <v>1</v>
      </c>
      <c r="AA117" s="386"/>
      <c r="AB117" s="386"/>
      <c r="AC117" s="388">
        <f t="shared" ref="AC117:AL119" si="805">F117*$D117</f>
        <v>0</v>
      </c>
      <c r="AD117" s="373">
        <f t="shared" si="805"/>
        <v>0</v>
      </c>
      <c r="AE117" s="388">
        <f t="shared" si="805"/>
        <v>0</v>
      </c>
      <c r="AF117" s="388">
        <f t="shared" si="805"/>
        <v>0</v>
      </c>
      <c r="AG117" s="388">
        <f t="shared" si="805"/>
        <v>0</v>
      </c>
      <c r="AH117" s="388">
        <f t="shared" si="805"/>
        <v>0</v>
      </c>
      <c r="AI117" s="372">
        <f t="shared" si="805"/>
        <v>267.84000000000003</v>
      </c>
      <c r="AJ117" s="372">
        <f t="shared" si="805"/>
        <v>89.28</v>
      </c>
      <c r="AK117" s="372">
        <f t="shared" si="805"/>
        <v>0</v>
      </c>
      <c r="AL117" s="373">
        <f t="shared" si="805"/>
        <v>357.13000000000005</v>
      </c>
      <c r="AM117" s="388">
        <f t="shared" ref="AM117:AV119" si="806">P117*$D117</f>
        <v>0</v>
      </c>
      <c r="AN117" s="373">
        <f t="shared" si="806"/>
        <v>0</v>
      </c>
      <c r="AO117" s="388">
        <f t="shared" si="806"/>
        <v>0</v>
      </c>
      <c r="AP117" s="388">
        <f t="shared" si="806"/>
        <v>0</v>
      </c>
      <c r="AQ117" s="388">
        <f t="shared" si="806"/>
        <v>0</v>
      </c>
      <c r="AR117" s="388">
        <f t="shared" si="806"/>
        <v>0</v>
      </c>
      <c r="AS117" s="388">
        <f t="shared" si="806"/>
        <v>0</v>
      </c>
      <c r="AT117" s="388">
        <f t="shared" si="806"/>
        <v>0</v>
      </c>
      <c r="AU117" s="388">
        <f t="shared" si="806"/>
        <v>0</v>
      </c>
      <c r="AV117" s="388">
        <f t="shared" si="806"/>
        <v>0</v>
      </c>
      <c r="AW117" s="388"/>
      <c r="AX117" s="388">
        <f t="shared" ref="AX117:BQ117" si="807">IF(AX$3=$E117,$D117,0)</f>
        <v>0</v>
      </c>
      <c r="AY117" s="388">
        <f t="shared" si="807"/>
        <v>0</v>
      </c>
      <c r="AZ117" s="388">
        <f t="shared" si="807"/>
        <v>0</v>
      </c>
      <c r="BA117" s="388">
        <f t="shared" si="807"/>
        <v>0</v>
      </c>
      <c r="BB117" s="388">
        <f t="shared" si="807"/>
        <v>0</v>
      </c>
      <c r="BC117" s="388">
        <f t="shared" si="807"/>
        <v>0</v>
      </c>
      <c r="BD117" s="373">
        <f t="shared" si="807"/>
        <v>714.25</v>
      </c>
      <c r="BE117" s="388">
        <f t="shared" si="807"/>
        <v>0</v>
      </c>
      <c r="BF117" s="388">
        <f t="shared" si="807"/>
        <v>0</v>
      </c>
      <c r="BG117" s="388">
        <f t="shared" si="807"/>
        <v>0</v>
      </c>
      <c r="BH117" s="388">
        <f t="shared" si="807"/>
        <v>0</v>
      </c>
      <c r="BI117" s="388">
        <f t="shared" si="807"/>
        <v>0</v>
      </c>
      <c r="BJ117" s="388">
        <f t="shared" si="807"/>
        <v>0</v>
      </c>
      <c r="BK117" s="388">
        <f t="shared" si="807"/>
        <v>0</v>
      </c>
      <c r="BL117" s="388">
        <f t="shared" si="807"/>
        <v>0</v>
      </c>
      <c r="BM117" s="388">
        <f t="shared" si="807"/>
        <v>0</v>
      </c>
      <c r="BN117" s="388">
        <f t="shared" si="807"/>
        <v>0</v>
      </c>
      <c r="BO117" s="388">
        <f t="shared" si="807"/>
        <v>0</v>
      </c>
      <c r="BP117" s="388">
        <f t="shared" si="807"/>
        <v>0</v>
      </c>
      <c r="BQ117" s="388">
        <f t="shared" si="807"/>
        <v>0</v>
      </c>
      <c r="BR117" s="389">
        <f t="shared" si="422"/>
        <v>0</v>
      </c>
    </row>
    <row r="118" spans="1:71" s="288" customFormat="1" ht="14.45" customHeight="1" x14ac:dyDescent="0.25">
      <c r="A118" s="385" t="s">
        <v>144</v>
      </c>
      <c r="B118" s="480"/>
      <c r="C118" s="386"/>
      <c r="D118" s="373">
        <v>7714.32</v>
      </c>
      <c r="E118" s="386" t="s">
        <v>240</v>
      </c>
      <c r="F118" s="390"/>
      <c r="G118" s="390">
        <v>0</v>
      </c>
      <c r="H118" s="390">
        <v>0</v>
      </c>
      <c r="I118" s="390">
        <v>0</v>
      </c>
      <c r="J118" s="390"/>
      <c r="K118" s="390">
        <v>0</v>
      </c>
      <c r="L118" s="390">
        <v>0</v>
      </c>
      <c r="M118" s="390">
        <v>0</v>
      </c>
      <c r="N118" s="390">
        <v>0</v>
      </c>
      <c r="O118" s="390">
        <v>0.33333333333333337</v>
      </c>
      <c r="P118" s="390">
        <v>0.25</v>
      </c>
      <c r="Q118" s="390">
        <v>0.25</v>
      </c>
      <c r="R118" s="390">
        <f>1-(O118+P118+Q118)</f>
        <v>0.16666666666666663</v>
      </c>
      <c r="S118" s="391"/>
      <c r="T118" s="391"/>
      <c r="U118" s="391"/>
      <c r="V118" s="391"/>
      <c r="W118" s="391"/>
      <c r="X118" s="391"/>
      <c r="Y118" s="391"/>
      <c r="Z118" s="387">
        <f t="shared" ref="Z118:Z120" si="808">SUM(F118:Y118)</f>
        <v>1</v>
      </c>
      <c r="AA118" s="386"/>
      <c r="AB118" s="386"/>
      <c r="AC118" s="388">
        <f t="shared" si="805"/>
        <v>0</v>
      </c>
      <c r="AD118" s="373">
        <f t="shared" si="805"/>
        <v>0</v>
      </c>
      <c r="AE118" s="388">
        <f t="shared" si="805"/>
        <v>0</v>
      </c>
      <c r="AF118" s="388">
        <f t="shared" si="805"/>
        <v>0</v>
      </c>
      <c r="AG118" s="388">
        <f t="shared" si="805"/>
        <v>0</v>
      </c>
      <c r="AH118" s="372">
        <f t="shared" si="805"/>
        <v>0</v>
      </c>
      <c r="AI118" s="372">
        <f t="shared" si="805"/>
        <v>0</v>
      </c>
      <c r="AJ118" s="372">
        <f t="shared" si="805"/>
        <v>0</v>
      </c>
      <c r="AK118" s="372">
        <f t="shared" si="805"/>
        <v>0</v>
      </c>
      <c r="AL118" s="373">
        <f t="shared" si="805"/>
        <v>2571.44</v>
      </c>
      <c r="AM118" s="388">
        <f t="shared" si="806"/>
        <v>1928.58</v>
      </c>
      <c r="AN118" s="373">
        <f t="shared" si="806"/>
        <v>1928.58</v>
      </c>
      <c r="AO118" s="373">
        <f t="shared" si="806"/>
        <v>1285.7199999999996</v>
      </c>
      <c r="AP118" s="388">
        <f t="shared" si="806"/>
        <v>0</v>
      </c>
      <c r="AQ118" s="388">
        <f t="shared" si="806"/>
        <v>0</v>
      </c>
      <c r="AR118" s="388">
        <f t="shared" si="806"/>
        <v>0</v>
      </c>
      <c r="AS118" s="388">
        <f t="shared" si="806"/>
        <v>0</v>
      </c>
      <c r="AT118" s="388">
        <f t="shared" si="806"/>
        <v>0</v>
      </c>
      <c r="AU118" s="388">
        <f t="shared" si="806"/>
        <v>0</v>
      </c>
      <c r="AV118" s="388">
        <f t="shared" si="806"/>
        <v>0</v>
      </c>
      <c r="AW118" s="388"/>
      <c r="AX118" s="388">
        <f t="shared" si="773"/>
        <v>0</v>
      </c>
      <c r="AY118" s="388">
        <f t="shared" si="773"/>
        <v>0</v>
      </c>
      <c r="AZ118" s="388">
        <f t="shared" si="773"/>
        <v>0</v>
      </c>
      <c r="BA118" s="388">
        <f t="shared" si="773"/>
        <v>0</v>
      </c>
      <c r="BB118" s="388">
        <f t="shared" si="773"/>
        <v>0</v>
      </c>
      <c r="BC118" s="388">
        <f t="shared" si="773"/>
        <v>0</v>
      </c>
      <c r="BD118" s="388">
        <f t="shared" si="773"/>
        <v>0</v>
      </c>
      <c r="BE118" s="388">
        <f t="shared" si="773"/>
        <v>0</v>
      </c>
      <c r="BF118" s="388">
        <f t="shared" si="773"/>
        <v>7714.32</v>
      </c>
      <c r="BG118" s="388">
        <f t="shared" si="773"/>
        <v>0</v>
      </c>
      <c r="BH118" s="388">
        <f t="shared" si="773"/>
        <v>0</v>
      </c>
      <c r="BI118" s="388">
        <f t="shared" si="773"/>
        <v>0</v>
      </c>
      <c r="BJ118" s="388">
        <f t="shared" si="773"/>
        <v>0</v>
      </c>
      <c r="BK118" s="388">
        <f t="shared" si="773"/>
        <v>0</v>
      </c>
      <c r="BL118" s="388">
        <f t="shared" si="773"/>
        <v>0</v>
      </c>
      <c r="BM118" s="388">
        <f t="shared" si="449"/>
        <v>0</v>
      </c>
      <c r="BN118" s="388">
        <f t="shared" si="449"/>
        <v>0</v>
      </c>
      <c r="BO118" s="388">
        <f t="shared" si="449"/>
        <v>0</v>
      </c>
      <c r="BP118" s="388">
        <f t="shared" si="449"/>
        <v>0</v>
      </c>
      <c r="BQ118" s="388">
        <f t="shared" si="449"/>
        <v>0</v>
      </c>
      <c r="BR118" s="389">
        <f t="shared" si="422"/>
        <v>0</v>
      </c>
    </row>
    <row r="119" spans="1:71" s="288" customFormat="1" ht="14.45" customHeight="1" x14ac:dyDescent="0.25">
      <c r="A119" s="385" t="s">
        <v>144</v>
      </c>
      <c r="B119" s="480"/>
      <c r="C119" s="386"/>
      <c r="D119" s="373">
        <v>7714.32</v>
      </c>
      <c r="E119" s="386" t="s">
        <v>259</v>
      </c>
      <c r="F119" s="390"/>
      <c r="G119" s="390">
        <v>0</v>
      </c>
      <c r="H119" s="390">
        <v>0</v>
      </c>
      <c r="I119" s="390">
        <v>0</v>
      </c>
      <c r="J119" s="390"/>
      <c r="K119" s="390">
        <v>0</v>
      </c>
      <c r="L119" s="390">
        <v>0</v>
      </c>
      <c r="M119" s="390">
        <v>0</v>
      </c>
      <c r="N119" s="390">
        <v>0</v>
      </c>
      <c r="O119" s="390">
        <v>0</v>
      </c>
      <c r="P119" s="390">
        <v>0</v>
      </c>
      <c r="Q119" s="390">
        <v>0</v>
      </c>
      <c r="R119" s="390">
        <v>0</v>
      </c>
      <c r="S119" s="482">
        <v>0.33333333333333337</v>
      </c>
      <c r="T119" s="482">
        <v>0.25</v>
      </c>
      <c r="U119" s="482">
        <v>0.25</v>
      </c>
      <c r="V119" s="482">
        <v>0.16666666666666663</v>
      </c>
      <c r="W119" s="391"/>
      <c r="X119" s="391"/>
      <c r="Y119" s="391"/>
      <c r="Z119" s="387">
        <f t="shared" ref="Z119" si="809">SUM(F119:Y119)</f>
        <v>1</v>
      </c>
      <c r="AA119" s="386"/>
      <c r="AB119" s="386"/>
      <c r="AC119" s="388">
        <f t="shared" si="805"/>
        <v>0</v>
      </c>
      <c r="AD119" s="373">
        <f t="shared" si="805"/>
        <v>0</v>
      </c>
      <c r="AE119" s="388">
        <f t="shared" si="805"/>
        <v>0</v>
      </c>
      <c r="AF119" s="388">
        <f t="shared" si="805"/>
        <v>0</v>
      </c>
      <c r="AG119" s="388">
        <f t="shared" si="805"/>
        <v>0</v>
      </c>
      <c r="AH119" s="372">
        <f t="shared" si="805"/>
        <v>0</v>
      </c>
      <c r="AI119" s="372">
        <f t="shared" si="805"/>
        <v>0</v>
      </c>
      <c r="AJ119" s="372">
        <f t="shared" si="805"/>
        <v>0</v>
      </c>
      <c r="AK119" s="372">
        <f t="shared" si="805"/>
        <v>0</v>
      </c>
      <c r="AL119" s="373">
        <f t="shared" si="805"/>
        <v>0</v>
      </c>
      <c r="AM119" s="388">
        <f t="shared" si="806"/>
        <v>0</v>
      </c>
      <c r="AN119" s="373">
        <f t="shared" si="806"/>
        <v>0</v>
      </c>
      <c r="AO119" s="373">
        <f t="shared" si="806"/>
        <v>0</v>
      </c>
      <c r="AP119" s="388">
        <f t="shared" si="806"/>
        <v>2571.44</v>
      </c>
      <c r="AQ119" s="388">
        <f t="shared" si="806"/>
        <v>1928.58</v>
      </c>
      <c r="AR119" s="388">
        <f t="shared" si="806"/>
        <v>1928.58</v>
      </c>
      <c r="AS119" s="388">
        <f t="shared" si="806"/>
        <v>1285.7199999999996</v>
      </c>
      <c r="AT119" s="388">
        <f t="shared" si="806"/>
        <v>0</v>
      </c>
      <c r="AU119" s="388">
        <f t="shared" si="806"/>
        <v>0</v>
      </c>
      <c r="AV119" s="388">
        <f t="shared" si="806"/>
        <v>0</v>
      </c>
      <c r="AW119" s="388"/>
      <c r="AX119" s="388">
        <f t="shared" si="773"/>
        <v>0</v>
      </c>
      <c r="AY119" s="388">
        <f t="shared" si="773"/>
        <v>0</v>
      </c>
      <c r="AZ119" s="388">
        <f t="shared" si="773"/>
        <v>0</v>
      </c>
      <c r="BA119" s="388">
        <f t="shared" si="773"/>
        <v>0</v>
      </c>
      <c r="BB119" s="388">
        <f t="shared" si="773"/>
        <v>0</v>
      </c>
      <c r="BC119" s="388">
        <f t="shared" si="773"/>
        <v>0</v>
      </c>
      <c r="BD119" s="388">
        <f t="shared" si="773"/>
        <v>0</v>
      </c>
      <c r="BE119" s="388">
        <f t="shared" si="773"/>
        <v>0</v>
      </c>
      <c r="BF119" s="388">
        <f t="shared" si="773"/>
        <v>0</v>
      </c>
      <c r="BG119" s="388">
        <f t="shared" si="773"/>
        <v>0</v>
      </c>
      <c r="BH119" s="388">
        <f t="shared" si="773"/>
        <v>0</v>
      </c>
      <c r="BI119" s="388">
        <f t="shared" si="773"/>
        <v>0</v>
      </c>
      <c r="BJ119" s="373">
        <v>7214</v>
      </c>
      <c r="BK119" s="388">
        <v>500.32</v>
      </c>
      <c r="BL119" s="388">
        <f t="shared" si="773"/>
        <v>0</v>
      </c>
      <c r="BM119" s="388">
        <f t="shared" si="449"/>
        <v>0</v>
      </c>
      <c r="BN119" s="388">
        <f t="shared" si="449"/>
        <v>0</v>
      </c>
      <c r="BO119" s="388">
        <f t="shared" si="449"/>
        <v>0</v>
      </c>
      <c r="BP119" s="388">
        <f t="shared" si="449"/>
        <v>0</v>
      </c>
      <c r="BQ119" s="388">
        <f t="shared" si="449"/>
        <v>0</v>
      </c>
      <c r="BR119" s="389">
        <f t="shared" ref="BR119" si="810">SUM(AC119:AV119)-SUM(AX119:BQ119)</f>
        <v>0</v>
      </c>
    </row>
    <row r="120" spans="1:71" s="288" customFormat="1" ht="14.45" customHeight="1" x14ac:dyDescent="0.25">
      <c r="A120" s="385" t="s">
        <v>144</v>
      </c>
      <c r="B120" s="480"/>
      <c r="C120" s="386"/>
      <c r="D120" s="373">
        <v>4500.0200000000004</v>
      </c>
      <c r="E120" s="386" t="s">
        <v>266</v>
      </c>
      <c r="F120" s="390"/>
      <c r="G120" s="390">
        <v>0</v>
      </c>
      <c r="H120" s="390">
        <v>0</v>
      </c>
      <c r="I120" s="390">
        <v>0</v>
      </c>
      <c r="J120" s="390"/>
      <c r="K120" s="390">
        <v>0</v>
      </c>
      <c r="L120" s="390">
        <v>0</v>
      </c>
      <c r="M120" s="390">
        <v>0</v>
      </c>
      <c r="N120" s="390">
        <v>0</v>
      </c>
      <c r="O120" s="390">
        <v>0</v>
      </c>
      <c r="P120" s="390">
        <v>0</v>
      </c>
      <c r="Q120" s="390">
        <v>0</v>
      </c>
      <c r="R120" s="390">
        <v>0</v>
      </c>
      <c r="S120" s="390">
        <v>0</v>
      </c>
      <c r="T120" s="390">
        <v>0</v>
      </c>
      <c r="U120" s="390">
        <v>0</v>
      </c>
      <c r="V120" s="482">
        <v>0.1428571428571429</v>
      </c>
      <c r="W120" s="482">
        <v>0.42857142857142849</v>
      </c>
      <c r="X120" s="482">
        <v>0.42857142857142849</v>
      </c>
      <c r="Y120" s="391"/>
      <c r="Z120" s="387">
        <f t="shared" si="808"/>
        <v>0.99999999999999989</v>
      </c>
      <c r="AA120" s="386"/>
      <c r="AB120" s="386"/>
      <c r="AC120" s="388">
        <f t="shared" ref="AC120" si="811">F120*$D120</f>
        <v>0</v>
      </c>
      <c r="AD120" s="373">
        <f t="shared" ref="AD120" si="812">G120*$D120</f>
        <v>0</v>
      </c>
      <c r="AE120" s="388">
        <f t="shared" ref="AE120" si="813">H120*$D120</f>
        <v>0</v>
      </c>
      <c r="AF120" s="388">
        <f t="shared" ref="AF120" si="814">I120*$D120</f>
        <v>0</v>
      </c>
      <c r="AG120" s="388">
        <f t="shared" ref="AG120" si="815">J120*$D120</f>
        <v>0</v>
      </c>
      <c r="AH120" s="372">
        <f t="shared" ref="AH120" si="816">K120*$D120</f>
        <v>0</v>
      </c>
      <c r="AI120" s="372">
        <f t="shared" ref="AI120" si="817">L120*$D120</f>
        <v>0</v>
      </c>
      <c r="AJ120" s="372">
        <f t="shared" ref="AJ120" si="818">M120*$D120</f>
        <v>0</v>
      </c>
      <c r="AK120" s="372">
        <f t="shared" ref="AK120" si="819">N120*$D120</f>
        <v>0</v>
      </c>
      <c r="AL120" s="373">
        <f t="shared" ref="AL120" si="820">O120*$D120</f>
        <v>0</v>
      </c>
      <c r="AM120" s="388">
        <f t="shared" ref="AM120" si="821">P120*$D120</f>
        <v>0</v>
      </c>
      <c r="AN120" s="373">
        <f t="shared" ref="AN120" si="822">Q120*$D120</f>
        <v>0</v>
      </c>
      <c r="AO120" s="373">
        <f t="shared" ref="AO120" si="823">R120*$D120</f>
        <v>0</v>
      </c>
      <c r="AP120" s="388">
        <f t="shared" ref="AP120" si="824">S120*$D120</f>
        <v>0</v>
      </c>
      <c r="AQ120" s="388">
        <f t="shared" ref="AQ120" si="825">T120*$D120</f>
        <v>0</v>
      </c>
      <c r="AR120" s="388">
        <f t="shared" ref="AR120" si="826">U120*$D120</f>
        <v>0</v>
      </c>
      <c r="AS120" s="373">
        <f t="shared" ref="AS120" si="827">V120*$D120</f>
        <v>642.86000000000024</v>
      </c>
      <c r="AT120" s="388">
        <f t="shared" ref="AT120" si="828">W120*$D120</f>
        <v>1928.58</v>
      </c>
      <c r="AU120" s="388">
        <f t="shared" ref="AU120:AV120" si="829">X120*$D120</f>
        <v>1928.58</v>
      </c>
      <c r="AV120" s="388">
        <f t="shared" si="829"/>
        <v>0</v>
      </c>
      <c r="AW120" s="388"/>
      <c r="AX120" s="388">
        <f t="shared" si="773"/>
        <v>0</v>
      </c>
      <c r="AY120" s="388">
        <f t="shared" si="773"/>
        <v>0</v>
      </c>
      <c r="AZ120" s="388">
        <f t="shared" si="773"/>
        <v>0</v>
      </c>
      <c r="BA120" s="388">
        <f t="shared" si="773"/>
        <v>0</v>
      </c>
      <c r="BB120" s="388">
        <f t="shared" si="773"/>
        <v>0</v>
      </c>
      <c r="BC120" s="388">
        <f t="shared" si="773"/>
        <v>0</v>
      </c>
      <c r="BD120" s="388">
        <f t="shared" si="773"/>
        <v>0</v>
      </c>
      <c r="BE120" s="388">
        <f t="shared" si="773"/>
        <v>0</v>
      </c>
      <c r="BF120" s="388">
        <f t="shared" si="773"/>
        <v>0</v>
      </c>
      <c r="BG120" s="388">
        <f t="shared" si="773"/>
        <v>0</v>
      </c>
      <c r="BH120" s="388">
        <f t="shared" si="773"/>
        <v>0</v>
      </c>
      <c r="BI120" s="388">
        <f t="shared" si="773"/>
        <v>0</v>
      </c>
      <c r="BJ120" s="373">
        <f t="shared" si="773"/>
        <v>0</v>
      </c>
      <c r="BK120" s="388">
        <f t="shared" si="773"/>
        <v>0</v>
      </c>
      <c r="BL120" s="388">
        <f t="shared" si="773"/>
        <v>0</v>
      </c>
      <c r="BM120" s="388">
        <f t="shared" si="449"/>
        <v>0</v>
      </c>
      <c r="BN120" s="388">
        <f t="shared" si="449"/>
        <v>4500.0200000000004</v>
      </c>
      <c r="BO120" s="388">
        <f t="shared" si="449"/>
        <v>0</v>
      </c>
      <c r="BP120" s="388">
        <f t="shared" si="449"/>
        <v>0</v>
      </c>
      <c r="BQ120" s="388">
        <f t="shared" si="449"/>
        <v>0</v>
      </c>
      <c r="BR120" s="389">
        <f t="shared" si="422"/>
        <v>0</v>
      </c>
    </row>
    <row r="121" spans="1:71" s="288" customFormat="1" ht="14.45" customHeight="1" x14ac:dyDescent="0.25">
      <c r="A121" s="385" t="s">
        <v>144</v>
      </c>
      <c r="B121" s="480"/>
      <c r="C121" s="386"/>
      <c r="D121" s="373">
        <v>1071.43</v>
      </c>
      <c r="E121" s="386" t="s">
        <v>258</v>
      </c>
      <c r="F121" s="390"/>
      <c r="G121" s="390">
        <v>0</v>
      </c>
      <c r="H121" s="390">
        <v>0</v>
      </c>
      <c r="I121" s="390">
        <v>0</v>
      </c>
      <c r="J121" s="390"/>
      <c r="K121" s="390">
        <v>0</v>
      </c>
      <c r="L121" s="390">
        <v>0</v>
      </c>
      <c r="M121" s="390">
        <v>0</v>
      </c>
      <c r="N121" s="390">
        <v>0</v>
      </c>
      <c r="O121" s="390">
        <v>0</v>
      </c>
      <c r="P121" s="390">
        <v>0</v>
      </c>
      <c r="Q121" s="390">
        <v>0</v>
      </c>
      <c r="R121" s="390">
        <v>0</v>
      </c>
      <c r="S121" s="390">
        <v>0</v>
      </c>
      <c r="T121" s="390">
        <v>0.33333333333333337</v>
      </c>
      <c r="U121" s="390">
        <v>0.25</v>
      </c>
      <c r="V121" s="482">
        <v>0.25</v>
      </c>
      <c r="W121" s="482">
        <v>0.16666666666666663</v>
      </c>
      <c r="X121" s="482">
        <v>0</v>
      </c>
      <c r="Y121" s="391"/>
      <c r="Z121" s="387">
        <f t="shared" ref="Z121" si="830">SUM(F121:Y121)</f>
        <v>1</v>
      </c>
      <c r="AA121" s="386"/>
      <c r="AB121" s="386"/>
      <c r="AC121" s="388">
        <f t="shared" ref="AC121" si="831">F121*$D121</f>
        <v>0</v>
      </c>
      <c r="AD121" s="373">
        <f t="shared" ref="AD121" si="832">G121*$D121</f>
        <v>0</v>
      </c>
      <c r="AE121" s="388">
        <f t="shared" ref="AE121" si="833">H121*$D121</f>
        <v>0</v>
      </c>
      <c r="AF121" s="388">
        <f t="shared" ref="AF121" si="834">I121*$D121</f>
        <v>0</v>
      </c>
      <c r="AG121" s="388">
        <f t="shared" ref="AG121" si="835">J121*$D121</f>
        <v>0</v>
      </c>
      <c r="AH121" s="372">
        <f t="shared" ref="AH121" si="836">K121*$D121</f>
        <v>0</v>
      </c>
      <c r="AI121" s="372">
        <f t="shared" ref="AI121" si="837">L121*$D121</f>
        <v>0</v>
      </c>
      <c r="AJ121" s="372">
        <f t="shared" ref="AJ121" si="838">M121*$D121</f>
        <v>0</v>
      </c>
      <c r="AK121" s="372">
        <f t="shared" ref="AK121" si="839">N121*$D121</f>
        <v>0</v>
      </c>
      <c r="AL121" s="373">
        <f t="shared" ref="AL121" si="840">O121*$D121</f>
        <v>0</v>
      </c>
      <c r="AM121" s="388">
        <f t="shared" ref="AM121" si="841">P121*$D121</f>
        <v>0</v>
      </c>
      <c r="AN121" s="373">
        <f t="shared" ref="AN121" si="842">Q121*$D121</f>
        <v>0</v>
      </c>
      <c r="AO121" s="373">
        <f t="shared" ref="AO121" si="843">R121*$D121</f>
        <v>0</v>
      </c>
      <c r="AP121" s="388">
        <f t="shared" ref="AP121" si="844">S121*$D121</f>
        <v>0</v>
      </c>
      <c r="AQ121" s="373">
        <f t="shared" ref="AQ121" si="845">T121*$D121</f>
        <v>357.14333333333337</v>
      </c>
      <c r="AR121" s="388">
        <f t="shared" ref="AR121" si="846">U121*$D121</f>
        <v>267.85750000000002</v>
      </c>
      <c r="AS121" s="373">
        <f t="shared" ref="AS121" si="847">V121*$D121</f>
        <v>267.85750000000002</v>
      </c>
      <c r="AT121" s="388">
        <f t="shared" ref="AT121" si="848">W121*$D121</f>
        <v>178.57166666666663</v>
      </c>
      <c r="AU121" s="388">
        <f t="shared" ref="AU121" si="849">X121*$D121</f>
        <v>0</v>
      </c>
      <c r="AV121" s="388">
        <f t="shared" ref="AV121" si="850">Y121*$D121</f>
        <v>0</v>
      </c>
      <c r="AW121" s="388"/>
      <c r="AX121" s="388">
        <f t="shared" si="773"/>
        <v>0</v>
      </c>
      <c r="AY121" s="388">
        <f t="shared" si="773"/>
        <v>0</v>
      </c>
      <c r="AZ121" s="388">
        <f t="shared" si="773"/>
        <v>0</v>
      </c>
      <c r="BA121" s="388">
        <f t="shared" si="773"/>
        <v>0</v>
      </c>
      <c r="BB121" s="388">
        <f t="shared" si="773"/>
        <v>0</v>
      </c>
      <c r="BC121" s="388">
        <f t="shared" si="773"/>
        <v>0</v>
      </c>
      <c r="BD121" s="388">
        <f t="shared" si="773"/>
        <v>0</v>
      </c>
      <c r="BE121" s="388">
        <f t="shared" si="773"/>
        <v>0</v>
      </c>
      <c r="BF121" s="388">
        <f t="shared" si="773"/>
        <v>0</v>
      </c>
      <c r="BG121" s="388">
        <f t="shared" si="773"/>
        <v>0</v>
      </c>
      <c r="BH121" s="388">
        <f t="shared" si="773"/>
        <v>0</v>
      </c>
      <c r="BI121" s="388">
        <f t="shared" si="773"/>
        <v>0</v>
      </c>
      <c r="BJ121" s="373">
        <f t="shared" si="773"/>
        <v>0</v>
      </c>
      <c r="BK121" s="388">
        <f t="shared" si="773"/>
        <v>1071.43</v>
      </c>
      <c r="BL121" s="388">
        <f t="shared" si="773"/>
        <v>0</v>
      </c>
      <c r="BM121" s="388">
        <f t="shared" si="449"/>
        <v>0</v>
      </c>
      <c r="BN121" s="388">
        <f t="shared" si="449"/>
        <v>0</v>
      </c>
      <c r="BO121" s="388">
        <f t="shared" si="449"/>
        <v>0</v>
      </c>
      <c r="BP121" s="388">
        <f t="shared" si="449"/>
        <v>0</v>
      </c>
      <c r="BQ121" s="388">
        <f t="shared" si="449"/>
        <v>0</v>
      </c>
      <c r="BR121" s="389">
        <f t="shared" ref="BR121" si="851">SUM(AC121:AV121)-SUM(AX121:BQ121)</f>
        <v>0</v>
      </c>
    </row>
    <row r="122" spans="1:71" ht="14.45" customHeight="1" x14ac:dyDescent="0.25">
      <c r="A122" s="238"/>
      <c r="B122" s="238"/>
      <c r="C122" s="349"/>
      <c r="D122" s="351"/>
      <c r="E122" s="349"/>
      <c r="F122" s="349"/>
      <c r="G122" s="349"/>
      <c r="H122" s="349"/>
      <c r="I122" s="350"/>
      <c r="J122" s="350"/>
      <c r="K122" s="350"/>
      <c r="L122" s="350"/>
      <c r="M122" s="350"/>
      <c r="N122" s="350"/>
      <c r="O122" s="350"/>
      <c r="P122" s="350"/>
      <c r="Q122" s="349"/>
      <c r="R122" s="337"/>
      <c r="S122" s="349"/>
      <c r="T122" s="349"/>
      <c r="U122" s="349"/>
      <c r="V122" s="349"/>
      <c r="W122" s="349"/>
      <c r="X122" s="349"/>
      <c r="Y122" s="349"/>
      <c r="Z122" s="349"/>
      <c r="AA122" s="349"/>
      <c r="AB122" s="349"/>
      <c r="AC122" s="351">
        <f t="shared" ref="AC122" si="852">F122*$D122</f>
        <v>0</v>
      </c>
      <c r="AD122" s="337">
        <f t="shared" ref="AD122" si="853">G122*$D122</f>
        <v>0</v>
      </c>
      <c r="AE122" s="351">
        <f t="shared" ref="AE122" si="854">H122*$D122</f>
        <v>0</v>
      </c>
      <c r="AF122" s="351">
        <f t="shared" ref="AF122" si="855">I122*$D122</f>
        <v>0</v>
      </c>
      <c r="AG122" s="351">
        <f t="shared" ref="AG122" si="856">J122*$D122</f>
        <v>0</v>
      </c>
      <c r="AH122" s="351">
        <f t="shared" ref="AH122" si="857">K122*$D122</f>
        <v>0</v>
      </c>
      <c r="AI122" s="351">
        <f t="shared" ref="AI122" si="858">L122*$D122</f>
        <v>0</v>
      </c>
      <c r="AJ122" s="351">
        <f t="shared" ref="AJ122" si="859">M122*$D122</f>
        <v>0</v>
      </c>
      <c r="AK122" s="351">
        <f t="shared" ref="AK122" si="860">N122*$D122</f>
        <v>0</v>
      </c>
      <c r="AL122" s="337">
        <f t="shared" ref="AL122" si="861">O122*$D122</f>
        <v>0</v>
      </c>
      <c r="AM122" s="351">
        <f t="shared" ref="AM122" si="862">P122*$D122</f>
        <v>0</v>
      </c>
      <c r="AN122" s="351">
        <f t="shared" ref="AN122" si="863">Q122*$D122</f>
        <v>0</v>
      </c>
      <c r="AO122" s="379">
        <f t="shared" ref="AO122" si="864">R122*$D122</f>
        <v>0</v>
      </c>
      <c r="AP122" s="351">
        <f t="shared" ref="AP122" si="865">S122*$D122</f>
        <v>0</v>
      </c>
      <c r="AQ122" s="351">
        <f t="shared" ref="AQ122" si="866">T122*$D122</f>
        <v>0</v>
      </c>
      <c r="AR122" s="351">
        <f t="shared" si="399"/>
        <v>0</v>
      </c>
      <c r="AS122" s="351">
        <f t="shared" si="756"/>
        <v>0</v>
      </c>
      <c r="AT122" s="351">
        <f t="shared" si="757"/>
        <v>0</v>
      </c>
      <c r="AU122" s="351">
        <f t="shared" si="758"/>
        <v>0</v>
      </c>
      <c r="AV122" s="351"/>
      <c r="AW122" s="351"/>
      <c r="AX122" s="351">
        <f t="shared" ref="AX122:BQ122" si="867">IF(AX$3=$E122,$D122,0)</f>
        <v>0</v>
      </c>
      <c r="AY122" s="351">
        <f t="shared" si="867"/>
        <v>0</v>
      </c>
      <c r="AZ122" s="351">
        <f t="shared" si="867"/>
        <v>0</v>
      </c>
      <c r="BA122" s="351">
        <f t="shared" si="867"/>
        <v>0</v>
      </c>
      <c r="BB122" s="351">
        <f t="shared" si="867"/>
        <v>0</v>
      </c>
      <c r="BC122" s="351">
        <f t="shared" si="867"/>
        <v>0</v>
      </c>
      <c r="BD122" s="351">
        <f t="shared" si="867"/>
        <v>0</v>
      </c>
      <c r="BE122" s="351">
        <f t="shared" si="867"/>
        <v>0</v>
      </c>
      <c r="BF122" s="351">
        <f t="shared" si="867"/>
        <v>0</v>
      </c>
      <c r="BG122" s="351">
        <f t="shared" si="867"/>
        <v>0</v>
      </c>
      <c r="BH122" s="351">
        <f t="shared" si="867"/>
        <v>0</v>
      </c>
      <c r="BI122" s="351">
        <f t="shared" si="867"/>
        <v>0</v>
      </c>
      <c r="BJ122" s="351">
        <f t="shared" si="867"/>
        <v>0</v>
      </c>
      <c r="BK122" s="351">
        <f t="shared" si="867"/>
        <v>0</v>
      </c>
      <c r="BL122" s="351">
        <f t="shared" si="867"/>
        <v>0</v>
      </c>
      <c r="BM122" s="351">
        <f t="shared" si="867"/>
        <v>0</v>
      </c>
      <c r="BN122" s="351">
        <f t="shared" si="867"/>
        <v>0</v>
      </c>
      <c r="BO122" s="351">
        <f t="shared" si="867"/>
        <v>0</v>
      </c>
      <c r="BP122" s="351">
        <f t="shared" si="867"/>
        <v>0</v>
      </c>
      <c r="BQ122" s="351">
        <f t="shared" si="867"/>
        <v>0</v>
      </c>
      <c r="BR122" s="374">
        <f t="shared" si="422"/>
        <v>0</v>
      </c>
    </row>
    <row r="123" spans="1:71" ht="14.45" customHeight="1" x14ac:dyDescent="0.25">
      <c r="A123" s="238"/>
      <c r="B123" s="238"/>
      <c r="C123" s="349"/>
      <c r="D123" s="349" t="s">
        <v>163</v>
      </c>
      <c r="E123" s="349"/>
      <c r="F123" s="349" t="s">
        <v>146</v>
      </c>
      <c r="G123" s="349" t="s">
        <v>150</v>
      </c>
      <c r="H123" s="349" t="s">
        <v>151</v>
      </c>
      <c r="I123" s="350" t="s">
        <v>152</v>
      </c>
      <c r="J123" s="350" t="s">
        <v>153</v>
      </c>
      <c r="K123" s="350" t="s">
        <v>154</v>
      </c>
      <c r="L123" s="350" t="s">
        <v>155</v>
      </c>
      <c r="M123" s="350" t="s">
        <v>156</v>
      </c>
      <c r="N123" s="350" t="s">
        <v>157</v>
      </c>
      <c r="O123" s="350" t="s">
        <v>158</v>
      </c>
      <c r="P123" s="350" t="s">
        <v>159</v>
      </c>
      <c r="Q123" s="349" t="s">
        <v>160</v>
      </c>
      <c r="R123" s="349" t="s">
        <v>161</v>
      </c>
      <c r="S123" s="349" t="s">
        <v>162</v>
      </c>
      <c r="T123" s="349" t="s">
        <v>164</v>
      </c>
      <c r="U123" s="363" t="s">
        <v>242</v>
      </c>
      <c r="V123" s="363"/>
      <c r="W123" s="363"/>
      <c r="X123" s="363"/>
      <c r="Y123" s="363"/>
      <c r="Z123" s="349" t="s">
        <v>163</v>
      </c>
      <c r="AA123" s="349"/>
      <c r="AB123" s="349"/>
      <c r="AC123" s="351"/>
      <c r="AD123" s="337"/>
      <c r="AE123" s="351"/>
      <c r="AF123" s="351"/>
      <c r="AG123" s="351"/>
      <c r="AH123" s="351"/>
      <c r="AI123" s="351"/>
      <c r="AJ123" s="351"/>
      <c r="AK123" s="351"/>
      <c r="AL123" s="337"/>
      <c r="AM123" s="351"/>
      <c r="AN123" s="351"/>
      <c r="AO123" s="379"/>
      <c r="AP123" s="351"/>
      <c r="AQ123" s="351"/>
      <c r="AR123" s="351"/>
      <c r="AS123" s="351"/>
      <c r="AT123" s="351"/>
      <c r="AU123" s="351"/>
      <c r="AV123" s="351"/>
      <c r="AW123" s="351"/>
      <c r="AX123" s="351"/>
      <c r="AY123" s="351"/>
      <c r="AZ123" s="351"/>
      <c r="BA123" s="351"/>
      <c r="BB123" s="351"/>
      <c r="BC123" s="351"/>
      <c r="BD123" s="351"/>
      <c r="BE123" s="351"/>
      <c r="BF123" s="349"/>
      <c r="BG123" s="349"/>
      <c r="BH123" s="349"/>
      <c r="BI123" s="349"/>
      <c r="BJ123" s="349"/>
      <c r="BK123" s="349"/>
      <c r="BL123" s="349"/>
      <c r="BM123" s="349"/>
      <c r="BN123" s="349"/>
      <c r="BO123" s="349"/>
      <c r="BP123" s="349"/>
      <c r="BQ123" s="349"/>
      <c r="BR123" s="374">
        <f t="shared" si="422"/>
        <v>0</v>
      </c>
    </row>
    <row r="124" spans="1:71" ht="14.45" customHeight="1" x14ac:dyDescent="0.25">
      <c r="A124" s="238" t="s">
        <v>190</v>
      </c>
      <c r="B124" s="238"/>
      <c r="C124" s="349"/>
      <c r="D124" s="351"/>
      <c r="E124" s="349"/>
      <c r="F124" s="349"/>
      <c r="G124" s="349"/>
      <c r="H124" s="349"/>
      <c r="I124" s="350"/>
      <c r="J124" s="350"/>
      <c r="K124" s="350"/>
      <c r="L124" s="350"/>
      <c r="M124" s="350"/>
      <c r="N124" s="350"/>
      <c r="O124" s="350"/>
      <c r="P124" s="350"/>
      <c r="Q124" s="349"/>
      <c r="R124" s="349"/>
      <c r="S124" s="349"/>
      <c r="T124" s="349"/>
      <c r="U124" s="349"/>
      <c r="V124" s="349"/>
      <c r="W124" s="349"/>
      <c r="X124" s="349"/>
      <c r="Y124" s="349"/>
      <c r="Z124" s="349"/>
      <c r="AA124" s="349"/>
      <c r="AB124" s="349"/>
      <c r="AC124" s="351"/>
      <c r="AD124" s="337"/>
      <c r="AE124" s="351"/>
      <c r="AF124" s="351"/>
      <c r="AG124" s="351"/>
      <c r="AH124" s="351"/>
      <c r="AI124" s="351"/>
      <c r="AJ124" s="351"/>
      <c r="AK124" s="351"/>
      <c r="AL124" s="337"/>
      <c r="AM124" s="351"/>
      <c r="AN124" s="351"/>
      <c r="AO124" s="379"/>
      <c r="AP124" s="351"/>
      <c r="AQ124" s="351"/>
      <c r="AR124" s="351"/>
      <c r="AS124" s="351"/>
      <c r="AT124" s="351"/>
      <c r="AU124" s="351"/>
      <c r="AV124" s="351"/>
      <c r="AW124" s="351"/>
      <c r="AX124" s="351" t="s">
        <v>146</v>
      </c>
      <c r="AY124" s="351" t="s">
        <v>150</v>
      </c>
      <c r="AZ124" s="351" t="s">
        <v>151</v>
      </c>
      <c r="BA124" s="351" t="s">
        <v>152</v>
      </c>
      <c r="BB124" s="351" t="s">
        <v>146</v>
      </c>
      <c r="BC124" s="351" t="s">
        <v>150</v>
      </c>
      <c r="BD124" s="351" t="s">
        <v>151</v>
      </c>
      <c r="BE124" s="351" t="s">
        <v>152</v>
      </c>
      <c r="BF124" s="349" t="s">
        <v>146</v>
      </c>
      <c r="BG124" s="349" t="s">
        <v>150</v>
      </c>
      <c r="BH124" s="349" t="s">
        <v>151</v>
      </c>
      <c r="BI124" s="349" t="s">
        <v>152</v>
      </c>
      <c r="BJ124" s="349"/>
      <c r="BK124" s="349"/>
      <c r="BL124" s="349"/>
      <c r="BM124" s="349"/>
      <c r="BN124" s="349"/>
      <c r="BO124" s="349"/>
      <c r="BP124" s="349"/>
      <c r="BQ124" s="349"/>
      <c r="BR124" s="374">
        <f t="shared" si="422"/>
        <v>0</v>
      </c>
    </row>
    <row r="125" spans="1:71" s="288" customFormat="1" ht="14.45" customHeight="1" x14ac:dyDescent="0.25">
      <c r="A125" s="446" t="s">
        <v>132</v>
      </c>
      <c r="B125" s="446"/>
      <c r="C125" s="447"/>
      <c r="D125" s="448">
        <v>198.71</v>
      </c>
      <c r="E125" s="447" t="s">
        <v>218</v>
      </c>
      <c r="F125" s="458"/>
      <c r="G125" s="458"/>
      <c r="H125" s="458"/>
      <c r="I125" s="450"/>
      <c r="J125" s="450">
        <v>0</v>
      </c>
      <c r="K125" s="450">
        <v>0</v>
      </c>
      <c r="L125" s="450">
        <v>0</v>
      </c>
      <c r="M125" s="450">
        <v>1</v>
      </c>
      <c r="N125" s="450"/>
      <c r="O125" s="450"/>
      <c r="P125" s="450"/>
      <c r="Q125" s="458"/>
      <c r="R125" s="458"/>
      <c r="S125" s="458"/>
      <c r="T125" s="450"/>
      <c r="U125" s="450"/>
      <c r="V125" s="450"/>
      <c r="W125" s="450"/>
      <c r="X125" s="450"/>
      <c r="Y125" s="450"/>
      <c r="Z125" s="451">
        <f t="shared" ref="Z125" si="868">SUM(F125:U125)</f>
        <v>1</v>
      </c>
      <c r="AA125" s="447"/>
      <c r="AB125" s="447"/>
      <c r="AC125" s="453">
        <f t="shared" ref="AC125" si="869">F125*$D125</f>
        <v>0</v>
      </c>
      <c r="AD125" s="448">
        <f t="shared" ref="AD125" si="870">G125*$D125</f>
        <v>0</v>
      </c>
      <c r="AE125" s="448">
        <f t="shared" ref="AE125" si="871">H125*$D125</f>
        <v>0</v>
      </c>
      <c r="AF125" s="448">
        <f t="shared" ref="AF125" si="872">I125*$D125</f>
        <v>0</v>
      </c>
      <c r="AG125" s="448">
        <f t="shared" ref="AG125" si="873">J125*$D125</f>
        <v>0</v>
      </c>
      <c r="AH125" s="448">
        <f t="shared" ref="AH125" si="874">K125*$D125</f>
        <v>0</v>
      </c>
      <c r="AI125" s="448">
        <f t="shared" ref="AI125" si="875">L125*$D125</f>
        <v>0</v>
      </c>
      <c r="AJ125" s="448">
        <f t="shared" ref="AJ125" si="876">M125*$D125</f>
        <v>198.71</v>
      </c>
      <c r="AK125" s="448">
        <f t="shared" ref="AK125" si="877">N125*$D125</f>
        <v>0</v>
      </c>
      <c r="AL125" s="453">
        <f t="shared" ref="AL125" si="878">O125*$D125</f>
        <v>0</v>
      </c>
      <c r="AM125" s="453">
        <f t="shared" ref="AM125" si="879">P125*$D125</f>
        <v>0</v>
      </c>
      <c r="AN125" s="453">
        <f t="shared" ref="AN125" si="880">Q125*$D125</f>
        <v>0</v>
      </c>
      <c r="AO125" s="453">
        <f t="shared" ref="AO125" si="881">R125*$D125</f>
        <v>0</v>
      </c>
      <c r="AP125" s="453">
        <f t="shared" ref="AP125" si="882">S125*$D125</f>
        <v>0</v>
      </c>
      <c r="AQ125" s="453">
        <f t="shared" ref="AQ125" si="883">T125*$D125</f>
        <v>0</v>
      </c>
      <c r="AR125" s="453">
        <f t="shared" ref="AR125" si="884">U125*$D125</f>
        <v>0</v>
      </c>
      <c r="AS125" s="453">
        <f t="shared" ref="AS125" si="885">V125*$D125</f>
        <v>0</v>
      </c>
      <c r="AT125" s="453">
        <f t="shared" ref="AT125" si="886">W125*$D125</f>
        <v>0</v>
      </c>
      <c r="AU125" s="453">
        <f t="shared" ref="AU125" si="887">X125*$D125</f>
        <v>0</v>
      </c>
      <c r="AV125" s="453"/>
      <c r="AW125" s="453"/>
      <c r="AX125" s="453">
        <f t="shared" ref="AX125:BM126" si="888">IF(AX$3=$E125,$D125,0)</f>
        <v>0</v>
      </c>
      <c r="AY125" s="452">
        <f t="shared" si="888"/>
        <v>0</v>
      </c>
      <c r="AZ125" s="452">
        <f t="shared" si="888"/>
        <v>0</v>
      </c>
      <c r="BA125" s="452">
        <f t="shared" si="888"/>
        <v>0</v>
      </c>
      <c r="BB125" s="452">
        <v>0</v>
      </c>
      <c r="BC125" s="452">
        <v>0</v>
      </c>
      <c r="BD125" s="452">
        <f t="shared" si="888"/>
        <v>0</v>
      </c>
      <c r="BE125" s="452">
        <f t="shared" si="888"/>
        <v>198.71</v>
      </c>
      <c r="BF125" s="452">
        <f t="shared" si="888"/>
        <v>0</v>
      </c>
      <c r="BG125" s="452">
        <f t="shared" si="888"/>
        <v>0</v>
      </c>
      <c r="BH125" s="452">
        <f t="shared" si="888"/>
        <v>0</v>
      </c>
      <c r="BI125" s="453">
        <f t="shared" si="888"/>
        <v>0</v>
      </c>
      <c r="BJ125" s="453">
        <f t="shared" si="888"/>
        <v>0</v>
      </c>
      <c r="BK125" s="453">
        <f t="shared" si="888"/>
        <v>0</v>
      </c>
      <c r="BL125" s="453">
        <f t="shared" si="888"/>
        <v>0</v>
      </c>
      <c r="BM125" s="453">
        <f t="shared" si="888"/>
        <v>0</v>
      </c>
      <c r="BN125" s="453">
        <f t="shared" ref="BN125:BQ128" si="889">IF(BN$3=$E125,$D125,0)</f>
        <v>0</v>
      </c>
      <c r="BO125" s="453">
        <f t="shared" si="889"/>
        <v>0</v>
      </c>
      <c r="BP125" s="453">
        <f t="shared" si="889"/>
        <v>0</v>
      </c>
      <c r="BQ125" s="453">
        <f t="shared" si="889"/>
        <v>0</v>
      </c>
      <c r="BR125" s="426">
        <f t="shared" si="422"/>
        <v>0</v>
      </c>
    </row>
    <row r="126" spans="1:71" s="288" customFormat="1" ht="14.45" customHeight="1" x14ac:dyDescent="0.25">
      <c r="A126" s="446" t="s">
        <v>132</v>
      </c>
      <c r="B126" s="446"/>
      <c r="C126" s="447"/>
      <c r="D126" s="448">
        <v>136.99</v>
      </c>
      <c r="E126" s="447" t="s">
        <v>240</v>
      </c>
      <c r="F126" s="458"/>
      <c r="G126" s="458"/>
      <c r="H126" s="458"/>
      <c r="I126" s="450"/>
      <c r="J126" s="450">
        <v>0</v>
      </c>
      <c r="K126" s="450">
        <v>0</v>
      </c>
      <c r="L126" s="450">
        <v>0</v>
      </c>
      <c r="M126" s="450">
        <v>0</v>
      </c>
      <c r="N126" s="450">
        <v>1</v>
      </c>
      <c r="O126" s="450"/>
      <c r="P126" s="450"/>
      <c r="Q126" s="458"/>
      <c r="R126" s="458"/>
      <c r="S126" s="458"/>
      <c r="T126" s="450"/>
      <c r="U126" s="450"/>
      <c r="V126" s="450"/>
      <c r="W126" s="450"/>
      <c r="X126" s="450"/>
      <c r="Y126" s="450"/>
      <c r="Z126" s="451">
        <f t="shared" ref="Z126" si="890">SUM(F126:U126)</f>
        <v>1</v>
      </c>
      <c r="AA126" s="447"/>
      <c r="AB126" s="447"/>
      <c r="AC126" s="453">
        <f t="shared" ref="AC126" si="891">F126*$D126</f>
        <v>0</v>
      </c>
      <c r="AD126" s="448">
        <f t="shared" ref="AD126" si="892">G126*$D126</f>
        <v>0</v>
      </c>
      <c r="AE126" s="448">
        <f t="shared" ref="AE126" si="893">H126*$D126</f>
        <v>0</v>
      </c>
      <c r="AF126" s="448">
        <f t="shared" ref="AF126" si="894">I126*$D126</f>
        <v>0</v>
      </c>
      <c r="AG126" s="448">
        <f t="shared" ref="AG126" si="895">J126*$D126</f>
        <v>0</v>
      </c>
      <c r="AH126" s="448">
        <f t="shared" ref="AH126" si="896">K126*$D126</f>
        <v>0</v>
      </c>
      <c r="AI126" s="448">
        <f t="shared" ref="AI126" si="897">L126*$D126</f>
        <v>0</v>
      </c>
      <c r="AJ126" s="448">
        <f t="shared" ref="AJ126" si="898">M126*$D126</f>
        <v>0</v>
      </c>
      <c r="AK126" s="448">
        <f t="shared" ref="AK126" si="899">N126*$D126</f>
        <v>136.99</v>
      </c>
      <c r="AL126" s="453">
        <f t="shared" ref="AL126" si="900">O126*$D126</f>
        <v>0</v>
      </c>
      <c r="AM126" s="453">
        <f t="shared" ref="AM126" si="901">P126*$D126</f>
        <v>0</v>
      </c>
      <c r="AN126" s="453">
        <f t="shared" ref="AN126" si="902">Q126*$D126</f>
        <v>0</v>
      </c>
      <c r="AO126" s="453">
        <f t="shared" ref="AO126" si="903">R126*$D126</f>
        <v>0</v>
      </c>
      <c r="AP126" s="453">
        <f t="shared" ref="AP126" si="904">S126*$D126</f>
        <v>0</v>
      </c>
      <c r="AQ126" s="453">
        <f t="shared" ref="AQ126" si="905">T126*$D126</f>
        <v>0</v>
      </c>
      <c r="AR126" s="453">
        <f t="shared" ref="AR126" si="906">U126*$D126</f>
        <v>0</v>
      </c>
      <c r="AS126" s="453">
        <f t="shared" ref="AS126" si="907">V126*$D126</f>
        <v>0</v>
      </c>
      <c r="AT126" s="453">
        <f t="shared" ref="AT126" si="908">W126*$D126</f>
        <v>0</v>
      </c>
      <c r="AU126" s="453">
        <f t="shared" ref="AU126" si="909">X126*$D126</f>
        <v>0</v>
      </c>
      <c r="AV126" s="453"/>
      <c r="AW126" s="453"/>
      <c r="AX126" s="453">
        <f t="shared" si="888"/>
        <v>0</v>
      </c>
      <c r="AY126" s="452">
        <f t="shared" si="888"/>
        <v>0</v>
      </c>
      <c r="AZ126" s="452">
        <f t="shared" si="888"/>
        <v>0</v>
      </c>
      <c r="BA126" s="452">
        <f t="shared" si="888"/>
        <v>0</v>
      </c>
      <c r="BB126" s="452">
        <v>0</v>
      </c>
      <c r="BC126" s="452">
        <v>0</v>
      </c>
      <c r="BD126" s="452">
        <f t="shared" si="888"/>
        <v>0</v>
      </c>
      <c r="BE126" s="452">
        <f t="shared" si="888"/>
        <v>0</v>
      </c>
      <c r="BF126" s="452">
        <f t="shared" si="888"/>
        <v>136.99</v>
      </c>
      <c r="BG126" s="452">
        <f t="shared" si="888"/>
        <v>0</v>
      </c>
      <c r="BH126" s="452">
        <f t="shared" si="888"/>
        <v>0</v>
      </c>
      <c r="BI126" s="453">
        <f t="shared" si="888"/>
        <v>0</v>
      </c>
      <c r="BJ126" s="453">
        <f t="shared" si="888"/>
        <v>0</v>
      </c>
      <c r="BK126" s="453">
        <f t="shared" si="888"/>
        <v>0</v>
      </c>
      <c r="BL126" s="453">
        <f t="shared" si="888"/>
        <v>0</v>
      </c>
      <c r="BM126" s="453">
        <f t="shared" si="888"/>
        <v>0</v>
      </c>
      <c r="BN126" s="453">
        <f t="shared" si="889"/>
        <v>0</v>
      </c>
      <c r="BO126" s="453">
        <f t="shared" si="889"/>
        <v>0</v>
      </c>
      <c r="BP126" s="453">
        <f t="shared" si="889"/>
        <v>0</v>
      </c>
      <c r="BQ126" s="453">
        <f t="shared" si="889"/>
        <v>0</v>
      </c>
      <c r="BR126" s="426">
        <f t="shared" si="422"/>
        <v>0</v>
      </c>
    </row>
    <row r="127" spans="1:71" ht="14.45" customHeight="1" outlineLevel="1" x14ac:dyDescent="0.25">
      <c r="A127" s="446" t="s">
        <v>131</v>
      </c>
      <c r="B127" s="446"/>
      <c r="C127" s="447"/>
      <c r="D127" s="448">
        <f>SUM(F127:Y127)</f>
        <v>213248.77750000003</v>
      </c>
      <c r="E127" s="454" t="s">
        <v>193</v>
      </c>
      <c r="F127" s="454">
        <v>0</v>
      </c>
      <c r="G127" s="460">
        <v>1400</v>
      </c>
      <c r="H127" s="460">
        <v>9000</v>
      </c>
      <c r="I127" s="460">
        <v>9000</v>
      </c>
      <c r="J127" s="460">
        <v>10232.64</v>
      </c>
      <c r="K127" s="460">
        <v>11130.24</v>
      </c>
      <c r="L127" s="460">
        <v>10367.280000000001</v>
      </c>
      <c r="M127" s="460">
        <v>11152.68</v>
      </c>
      <c r="N127" s="460">
        <v>11848.32</v>
      </c>
      <c r="O127" s="460">
        <v>10232.64</v>
      </c>
      <c r="P127" s="460">
        <v>10985.279999999999</v>
      </c>
      <c r="Q127" s="460">
        <v>11945.12</v>
      </c>
      <c r="R127" s="460">
        <v>12438.720000000001</v>
      </c>
      <c r="S127" s="460">
        <v>12043.84</v>
      </c>
      <c r="T127" s="460">
        <v>11579.79</v>
      </c>
      <c r="U127" s="460">
        <v>12631.125</v>
      </c>
      <c r="V127" s="460">
        <v>12631.125</v>
      </c>
      <c r="W127" s="460">
        <v>12631.125</v>
      </c>
      <c r="X127" s="460">
        <v>31998.852500000001</v>
      </c>
      <c r="Y127" s="460">
        <v>0</v>
      </c>
      <c r="Z127" s="452">
        <f>SUM(F127:Y127)</f>
        <v>213248.77750000003</v>
      </c>
      <c r="AA127" s="447"/>
      <c r="AB127" s="447"/>
      <c r="AC127" s="452">
        <f t="shared" ref="AC127:AC133" si="910">F127</f>
        <v>0</v>
      </c>
      <c r="AD127" s="452">
        <f t="shared" ref="AD127:AM129" si="911">G127</f>
        <v>1400</v>
      </c>
      <c r="AE127" s="452">
        <f t="shared" si="911"/>
        <v>9000</v>
      </c>
      <c r="AF127" s="452">
        <f t="shared" si="911"/>
        <v>9000</v>
      </c>
      <c r="AG127" s="452">
        <f t="shared" si="911"/>
        <v>10232.64</v>
      </c>
      <c r="AH127" s="452">
        <f t="shared" si="911"/>
        <v>11130.24</v>
      </c>
      <c r="AI127" s="452">
        <f t="shared" si="911"/>
        <v>10367.280000000001</v>
      </c>
      <c r="AJ127" s="452">
        <f t="shared" si="911"/>
        <v>11152.68</v>
      </c>
      <c r="AK127" s="452">
        <f t="shared" si="911"/>
        <v>11848.32</v>
      </c>
      <c r="AL127" s="452">
        <f t="shared" si="911"/>
        <v>10232.64</v>
      </c>
      <c r="AM127" s="452">
        <f t="shared" si="911"/>
        <v>10985.279999999999</v>
      </c>
      <c r="AN127" s="452">
        <f t="shared" ref="AN127:AV130" si="912">Q127</f>
        <v>11945.12</v>
      </c>
      <c r="AO127" s="452">
        <f t="shared" si="912"/>
        <v>12438.720000000001</v>
      </c>
      <c r="AP127" s="452">
        <f t="shared" si="912"/>
        <v>12043.84</v>
      </c>
      <c r="AQ127" s="452">
        <f t="shared" si="912"/>
        <v>11579.79</v>
      </c>
      <c r="AR127" s="452">
        <f t="shared" si="912"/>
        <v>12631.125</v>
      </c>
      <c r="AS127" s="452">
        <f t="shared" si="912"/>
        <v>12631.125</v>
      </c>
      <c r="AT127" s="452">
        <f t="shared" si="912"/>
        <v>12631.125</v>
      </c>
      <c r="AU127" s="452">
        <f t="shared" si="912"/>
        <v>31998.852500000001</v>
      </c>
      <c r="AV127" s="452">
        <f t="shared" si="912"/>
        <v>0</v>
      </c>
      <c r="AW127" s="453"/>
      <c r="AX127" s="452">
        <v>0</v>
      </c>
      <c r="AY127" s="452">
        <v>43635.199999999997</v>
      </c>
      <c r="AZ127" s="452">
        <v>0</v>
      </c>
      <c r="BA127" s="452">
        <v>0</v>
      </c>
      <c r="BB127" s="452">
        <v>0</v>
      </c>
      <c r="BC127" s="452">
        <v>0</v>
      </c>
      <c r="BD127" s="452">
        <v>43421.4</v>
      </c>
      <c r="BE127" s="452">
        <v>0</v>
      </c>
      <c r="BF127" s="452">
        <v>0</v>
      </c>
      <c r="BG127" s="452">
        <v>0</v>
      </c>
      <c r="BH127" s="452">
        <v>48122</v>
      </c>
      <c r="BI127" s="453">
        <v>0</v>
      </c>
      <c r="BJ127" s="453">
        <v>0</v>
      </c>
      <c r="BK127" s="453">
        <v>-242.8</v>
      </c>
      <c r="BL127" s="453">
        <v>50524.5</v>
      </c>
      <c r="BM127" s="453">
        <v>0</v>
      </c>
      <c r="BN127" s="453">
        <v>0</v>
      </c>
      <c r="BO127" s="453">
        <v>0</v>
      </c>
      <c r="BP127" s="453">
        <v>27788.477500000001</v>
      </c>
      <c r="BQ127" s="453">
        <v>0</v>
      </c>
      <c r="BR127" s="426">
        <f t="shared" si="422"/>
        <v>0</v>
      </c>
      <c r="BS127" s="244"/>
    </row>
    <row r="128" spans="1:71" ht="14.45" customHeight="1" outlineLevel="1" x14ac:dyDescent="0.25">
      <c r="A128" s="446" t="s">
        <v>131</v>
      </c>
      <c r="B128" s="446"/>
      <c r="C128" s="447"/>
      <c r="D128" s="448">
        <f>SUM(F128:Y128)</f>
        <v>111545.1</v>
      </c>
      <c r="E128" s="454" t="s">
        <v>167</v>
      </c>
      <c r="F128" s="454">
        <v>0</v>
      </c>
      <c r="G128" s="460">
        <v>0</v>
      </c>
      <c r="H128" s="460">
        <v>0</v>
      </c>
      <c r="I128" s="460">
        <v>0</v>
      </c>
      <c r="J128" s="460">
        <v>0</v>
      </c>
      <c r="K128" s="460">
        <v>2358.88</v>
      </c>
      <c r="L128" s="460">
        <v>6256.16</v>
      </c>
      <c r="M128" s="460">
        <v>6410</v>
      </c>
      <c r="N128" s="460">
        <v>6486.92</v>
      </c>
      <c r="O128" s="460">
        <v>6193.92</v>
      </c>
      <c r="P128" s="460">
        <v>7382.4</v>
      </c>
      <c r="Q128" s="460">
        <v>7505.44</v>
      </c>
      <c r="R128" s="460">
        <v>7628.4800000000005</v>
      </c>
      <c r="S128" s="460">
        <v>7881.0800000000008</v>
      </c>
      <c r="T128" s="460">
        <v>9800.1200000000008</v>
      </c>
      <c r="U128" s="460">
        <v>6248.5</v>
      </c>
      <c r="V128" s="460">
        <v>8248.5</v>
      </c>
      <c r="W128" s="460">
        <v>8248.5</v>
      </c>
      <c r="X128" s="460">
        <v>20896.200000000004</v>
      </c>
      <c r="Y128" s="460">
        <v>0</v>
      </c>
      <c r="Z128" s="452">
        <f>SUM(F128:Y128)</f>
        <v>111545.1</v>
      </c>
      <c r="AA128" s="447"/>
      <c r="AB128" s="447"/>
      <c r="AC128" s="452">
        <f t="shared" si="910"/>
        <v>0</v>
      </c>
      <c r="AD128" s="452">
        <f t="shared" si="911"/>
        <v>0</v>
      </c>
      <c r="AE128" s="452">
        <f t="shared" si="911"/>
        <v>0</v>
      </c>
      <c r="AF128" s="452">
        <f t="shared" si="911"/>
        <v>0</v>
      </c>
      <c r="AG128" s="452">
        <f t="shared" si="911"/>
        <v>0</v>
      </c>
      <c r="AH128" s="452">
        <f t="shared" si="911"/>
        <v>2358.88</v>
      </c>
      <c r="AI128" s="452">
        <f t="shared" si="911"/>
        <v>6256.16</v>
      </c>
      <c r="AJ128" s="452">
        <f t="shared" si="911"/>
        <v>6410</v>
      </c>
      <c r="AK128" s="452">
        <f t="shared" si="911"/>
        <v>6486.92</v>
      </c>
      <c r="AL128" s="452">
        <f t="shared" si="911"/>
        <v>6193.92</v>
      </c>
      <c r="AM128" s="452">
        <f t="shared" si="911"/>
        <v>7382.4</v>
      </c>
      <c r="AN128" s="452">
        <f t="shared" si="912"/>
        <v>7505.44</v>
      </c>
      <c r="AO128" s="452">
        <f t="shared" si="912"/>
        <v>7628.4800000000005</v>
      </c>
      <c r="AP128" s="452">
        <f t="shared" si="912"/>
        <v>7881.0800000000008</v>
      </c>
      <c r="AQ128" s="452">
        <f t="shared" si="912"/>
        <v>9800.1200000000008</v>
      </c>
      <c r="AR128" s="452">
        <f t="shared" si="912"/>
        <v>6248.5</v>
      </c>
      <c r="AS128" s="452">
        <f t="shared" si="912"/>
        <v>8248.5</v>
      </c>
      <c r="AT128" s="452">
        <f t="shared" si="912"/>
        <v>8248.5</v>
      </c>
      <c r="AU128" s="452">
        <f t="shared" si="912"/>
        <v>20896.200000000004</v>
      </c>
      <c r="AV128" s="452">
        <f t="shared" si="912"/>
        <v>0</v>
      </c>
      <c r="AW128" s="453"/>
      <c r="AX128" s="452">
        <v>0</v>
      </c>
      <c r="AY128" s="452">
        <v>0</v>
      </c>
      <c r="AZ128" s="452">
        <v>0</v>
      </c>
      <c r="BA128" s="452">
        <v>0</v>
      </c>
      <c r="BB128" s="452">
        <v>0</v>
      </c>
      <c r="BC128" s="452">
        <v>25000</v>
      </c>
      <c r="BD128" s="452">
        <v>0</v>
      </c>
      <c r="BE128" s="452">
        <v>0</v>
      </c>
      <c r="BF128" s="452">
        <v>0</v>
      </c>
      <c r="BG128" s="452">
        <v>29991</v>
      </c>
      <c r="BH128" s="452">
        <v>0</v>
      </c>
      <c r="BI128" s="453">
        <v>-1</v>
      </c>
      <c r="BJ128" s="453">
        <v>0</v>
      </c>
      <c r="BK128" s="452">
        <v>5414.4000000000005</v>
      </c>
      <c r="BL128" s="453">
        <v>32994</v>
      </c>
      <c r="BM128" s="453">
        <v>0</v>
      </c>
      <c r="BN128" s="453">
        <v>0</v>
      </c>
      <c r="BO128" s="453">
        <v>0</v>
      </c>
      <c r="BP128" s="453">
        <v>18146.7</v>
      </c>
      <c r="BQ128" s="453">
        <f t="shared" si="889"/>
        <v>0</v>
      </c>
      <c r="BR128" s="461">
        <f t="shared" si="422"/>
        <v>0</v>
      </c>
      <c r="BS128" s="292"/>
    </row>
    <row r="129" spans="1:71" s="288" customFormat="1" ht="14.45" customHeight="1" outlineLevel="1" x14ac:dyDescent="0.25">
      <c r="A129" s="406" t="s">
        <v>133</v>
      </c>
      <c r="B129" s="406"/>
      <c r="C129" s="408"/>
      <c r="D129" s="409">
        <v>5000</v>
      </c>
      <c r="E129" s="464" t="s">
        <v>230</v>
      </c>
      <c r="F129" s="466">
        <v>0</v>
      </c>
      <c r="G129" s="466">
        <v>0</v>
      </c>
      <c r="H129" s="466">
        <v>0</v>
      </c>
      <c r="I129" s="466">
        <v>0</v>
      </c>
      <c r="J129" s="466">
        <v>0</v>
      </c>
      <c r="K129" s="466">
        <v>0</v>
      </c>
      <c r="L129" s="466">
        <v>0</v>
      </c>
      <c r="M129" s="466">
        <v>0</v>
      </c>
      <c r="N129" s="466">
        <v>0</v>
      </c>
      <c r="O129" s="466">
        <v>0</v>
      </c>
      <c r="P129" s="466">
        <v>0</v>
      </c>
      <c r="Q129" s="466">
        <v>1369.14</v>
      </c>
      <c r="R129" s="466">
        <v>0</v>
      </c>
      <c r="S129" s="466">
        <v>0</v>
      </c>
      <c r="T129" s="466">
        <v>3630.86</v>
      </c>
      <c r="U129" s="466">
        <v>0</v>
      </c>
      <c r="V129" s="466">
        <v>0</v>
      </c>
      <c r="W129" s="466">
        <v>0</v>
      </c>
      <c r="X129" s="466">
        <v>0</v>
      </c>
      <c r="Y129" s="466"/>
      <c r="Z129" s="412">
        <f t="shared" ref="Z129" si="913">SUM(F129:X129)</f>
        <v>5000</v>
      </c>
      <c r="AA129" s="408"/>
      <c r="AB129" s="408"/>
      <c r="AC129" s="412">
        <f t="shared" ref="AC129" si="914">F129</f>
        <v>0</v>
      </c>
      <c r="AD129" s="412">
        <f t="shared" si="911"/>
        <v>0</v>
      </c>
      <c r="AE129" s="412">
        <f t="shared" si="911"/>
        <v>0</v>
      </c>
      <c r="AF129" s="412">
        <f t="shared" si="911"/>
        <v>0</v>
      </c>
      <c r="AG129" s="412">
        <f t="shared" si="911"/>
        <v>0</v>
      </c>
      <c r="AH129" s="412">
        <f t="shared" si="911"/>
        <v>0</v>
      </c>
      <c r="AI129" s="409">
        <f t="shared" si="911"/>
        <v>0</v>
      </c>
      <c r="AJ129" s="409">
        <f t="shared" si="911"/>
        <v>0</v>
      </c>
      <c r="AK129" s="409">
        <f t="shared" si="911"/>
        <v>0</v>
      </c>
      <c r="AL129" s="409">
        <f t="shared" si="911"/>
        <v>0</v>
      </c>
      <c r="AM129" s="412">
        <f t="shared" si="911"/>
        <v>0</v>
      </c>
      <c r="AN129" s="413">
        <f t="shared" si="912"/>
        <v>1369.14</v>
      </c>
      <c r="AO129" s="412">
        <f t="shared" si="912"/>
        <v>0</v>
      </c>
      <c r="AP129" s="412">
        <f t="shared" ref="AP129" si="915">S129</f>
        <v>0</v>
      </c>
      <c r="AQ129" s="412">
        <f t="shared" ref="AQ129" si="916">T129</f>
        <v>3630.86</v>
      </c>
      <c r="AR129" s="412">
        <f t="shared" si="912"/>
        <v>0</v>
      </c>
      <c r="AS129" s="412">
        <f t="shared" si="912"/>
        <v>0</v>
      </c>
      <c r="AT129" s="412">
        <f t="shared" si="912"/>
        <v>0</v>
      </c>
      <c r="AU129" s="412">
        <f t="shared" si="912"/>
        <v>0</v>
      </c>
      <c r="AV129" s="412"/>
      <c r="AW129" s="412"/>
      <c r="AX129" s="412">
        <f t="shared" ref="AX129:AX138" si="917">IF(AX$124=$E129,SUM(AC129:AF129),0)</f>
        <v>0</v>
      </c>
      <c r="AY129" s="412">
        <f t="shared" ref="AY129" si="918">IF(AY$124=$E129,SUM(AD129:AG129),0)</f>
        <v>0</v>
      </c>
      <c r="AZ129" s="412">
        <f>IF(AZ$124=$E129,SUM(AE129:AH129),0)</f>
        <v>0</v>
      </c>
      <c r="BA129" s="412">
        <f>IF(BA$124=$E129,SUM(AF129:AI129),0)</f>
        <v>0</v>
      </c>
      <c r="BB129" s="412">
        <f t="shared" ref="BB129" si="919">IF(BB$124=$E129,SUM(AG129:AJ129),0)</f>
        <v>0</v>
      </c>
      <c r="BC129" s="412">
        <f t="shared" ref="BC129" si="920">IF(BC$124=$E129,SUM(AH129:AK129),0)</f>
        <v>0</v>
      </c>
      <c r="BD129" s="412">
        <f t="shared" ref="BD129" si="921">IF(BD$124=$E129,SUM(AI129:AL129),0)</f>
        <v>0</v>
      </c>
      <c r="BE129" s="412">
        <f t="shared" ref="BE129" si="922">IF(BE$124=$E129,SUM(AJ129:AM129),0)</f>
        <v>0</v>
      </c>
      <c r="BF129" s="412">
        <f t="shared" ref="BF129" si="923">IF(BF$124=$E129,SUM(AK129:AN129),0)</f>
        <v>0</v>
      </c>
      <c r="BG129" s="412">
        <f t="shared" ref="BG129" si="924">IF(BG$124=$E129,SUM(AL129:AO129),0)</f>
        <v>0</v>
      </c>
      <c r="BH129" s="412">
        <f>IF(BH$124=$E129,SUM(AM129:AP129),0)</f>
        <v>0</v>
      </c>
      <c r="BI129" s="412">
        <v>1369.14</v>
      </c>
      <c r="BJ129" s="412">
        <f t="shared" ref="BJ129" si="925">IF(BJ$124=$E129,SUM(AO129:AR129),0)</f>
        <v>0</v>
      </c>
      <c r="BK129" s="412">
        <f t="shared" ref="BK129" si="926">IF(BK$124=$E129,SUM(AP129:AS129),0)</f>
        <v>0</v>
      </c>
      <c r="BL129" s="412">
        <v>3630.86</v>
      </c>
      <c r="BM129" s="412">
        <f t="shared" ref="BM129" si="927">IF(BM$124=$E129,SUM(AR129:AU129),0)</f>
        <v>0</v>
      </c>
      <c r="BN129" s="412">
        <f t="shared" ref="BN129" si="928">IF(BN$124=$E129,SUM(AS129:AW129),0)</f>
        <v>0</v>
      </c>
      <c r="BO129" s="412">
        <f t="shared" ref="BO129" si="929">IF(BO$124=$E129,SUM(AT129:AX129),0)</f>
        <v>0</v>
      </c>
      <c r="BP129" s="412">
        <f t="shared" ref="BP129:BQ129" si="930">IF(BP$124=$E129,SUM(AU129:AY129),0)</f>
        <v>0</v>
      </c>
      <c r="BQ129" s="412">
        <f t="shared" si="930"/>
        <v>0</v>
      </c>
      <c r="BR129" s="414">
        <f>SUM(AC129:AV129)-SUM(AX129:BQ129)</f>
        <v>0</v>
      </c>
    </row>
    <row r="130" spans="1:71" ht="14.45" customHeight="1" outlineLevel="1" x14ac:dyDescent="0.25">
      <c r="A130" s="385" t="s">
        <v>141</v>
      </c>
      <c r="B130" s="486"/>
      <c r="C130" s="487"/>
      <c r="D130" s="388">
        <f>SUM(F130:Y130)</f>
        <v>194577.98500000002</v>
      </c>
      <c r="E130" s="391" t="s">
        <v>195</v>
      </c>
      <c r="F130" s="392">
        <v>10000</v>
      </c>
      <c r="G130" s="392">
        <v>12000</v>
      </c>
      <c r="H130" s="392">
        <v>11000</v>
      </c>
      <c r="I130" s="392">
        <v>12000</v>
      </c>
      <c r="J130" s="392">
        <v>4000</v>
      </c>
      <c r="K130" s="392">
        <v>0</v>
      </c>
      <c r="L130" s="392">
        <v>0</v>
      </c>
      <c r="M130" s="392">
        <v>0</v>
      </c>
      <c r="N130" s="392">
        <v>0</v>
      </c>
      <c r="O130" s="392">
        <v>12204.64</v>
      </c>
      <c r="P130" s="392">
        <v>11666.2</v>
      </c>
      <c r="Q130" s="392">
        <v>12486.68</v>
      </c>
      <c r="R130" s="392">
        <v>12717.44</v>
      </c>
      <c r="S130" s="392">
        <v>13298.32</v>
      </c>
      <c r="T130" s="392">
        <v>11963.73</v>
      </c>
      <c r="U130" s="392">
        <v>12874.875</v>
      </c>
      <c r="V130" s="392">
        <v>12874.875</v>
      </c>
      <c r="W130" s="392">
        <v>12874.875</v>
      </c>
      <c r="X130" s="392">
        <v>32616.350000000006</v>
      </c>
      <c r="Y130" s="392">
        <v>0</v>
      </c>
      <c r="Z130" s="373">
        <f t="shared" ref="Z130:Z137" si="931">SUM(F130:Y130)</f>
        <v>194577.98500000002</v>
      </c>
      <c r="AA130" s="386"/>
      <c r="AB130" s="386"/>
      <c r="AC130" s="388">
        <f>F130</f>
        <v>10000</v>
      </c>
      <c r="AD130" s="388">
        <f>G130</f>
        <v>12000</v>
      </c>
      <c r="AE130" s="388">
        <f t="shared" ref="AD130:AQ133" si="932">H130</f>
        <v>11000</v>
      </c>
      <c r="AF130" s="388">
        <f t="shared" si="932"/>
        <v>12000</v>
      </c>
      <c r="AG130" s="388">
        <f t="shared" si="932"/>
        <v>4000</v>
      </c>
      <c r="AH130" s="388">
        <f t="shared" si="932"/>
        <v>0</v>
      </c>
      <c r="AI130" s="372">
        <f t="shared" si="932"/>
        <v>0</v>
      </c>
      <c r="AJ130" s="372">
        <f t="shared" si="932"/>
        <v>0</v>
      </c>
      <c r="AK130" s="372">
        <f t="shared" si="932"/>
        <v>0</v>
      </c>
      <c r="AL130" s="372">
        <f t="shared" si="932"/>
        <v>12204.64</v>
      </c>
      <c r="AM130" s="388">
        <f t="shared" si="932"/>
        <v>11666.2</v>
      </c>
      <c r="AN130" s="373">
        <f t="shared" si="932"/>
        <v>12486.68</v>
      </c>
      <c r="AO130" s="373">
        <f t="shared" si="912"/>
        <v>12717.44</v>
      </c>
      <c r="AP130" s="373">
        <f t="shared" ref="AP130" si="933">S130</f>
        <v>13298.32</v>
      </c>
      <c r="AQ130" s="373">
        <f t="shared" si="912"/>
        <v>11963.73</v>
      </c>
      <c r="AR130" s="373">
        <f t="shared" si="912"/>
        <v>12874.875</v>
      </c>
      <c r="AS130" s="373">
        <f t="shared" si="912"/>
        <v>12874.875</v>
      </c>
      <c r="AT130" s="373">
        <f t="shared" si="912"/>
        <v>12874.875</v>
      </c>
      <c r="AU130" s="373">
        <f t="shared" si="912"/>
        <v>32616.350000000006</v>
      </c>
      <c r="AV130" s="373">
        <f t="shared" ref="AV130" si="934">Y130</f>
        <v>0</v>
      </c>
      <c r="AW130" s="388"/>
      <c r="AX130" s="388">
        <f t="shared" si="917"/>
        <v>45000</v>
      </c>
      <c r="AY130" s="388">
        <f t="shared" ref="AY130" si="935">IF(AY$124=$E130,SUM(AD130:AG130),0)</f>
        <v>0</v>
      </c>
      <c r="AZ130" s="388">
        <f t="shared" ref="AZ130" si="936">IF(AZ$124=$E130,SUM(AE130:AH130),0)</f>
        <v>0</v>
      </c>
      <c r="BA130" s="388">
        <f t="shared" ref="BA130" si="937">IF(BA$124=$E130,SUM(AF130:AI130),0)</f>
        <v>0</v>
      </c>
      <c r="BB130" s="388">
        <f t="shared" ref="BB130" si="938">IF(BB$124=$E130,SUM(AG130:AJ130),0)</f>
        <v>4000</v>
      </c>
      <c r="BC130" s="388">
        <f t="shared" ref="BC130" si="939">IF(BC$124=$E130,SUM(AH130:AK130),0)</f>
        <v>0</v>
      </c>
      <c r="BD130" s="388">
        <f t="shared" ref="BD130" si="940">IF(BD$124=$E130,SUM(AI130:AL130),0)</f>
        <v>0</v>
      </c>
      <c r="BE130" s="388">
        <f t="shared" ref="BE130" si="941">IF(BE$124=$E130,SUM(AJ130:AM130),0)</f>
        <v>0</v>
      </c>
      <c r="BF130" s="388">
        <v>49998</v>
      </c>
      <c r="BG130" s="388">
        <f t="shared" ref="BG130" si="942">IF(BG$124=$E130,SUM(AL130:AO130),0)</f>
        <v>0</v>
      </c>
      <c r="BH130" s="388">
        <f t="shared" ref="BH130" si="943">IF(BH$124=$E130,SUM(AM130:AP130),0)</f>
        <v>0</v>
      </c>
      <c r="BI130" s="388">
        <f t="shared" ref="BI130" si="944">IF(BI$124=$E130,SUM(AN130:AQ130),0)</f>
        <v>0</v>
      </c>
      <c r="BJ130" s="388">
        <v>16600.88</v>
      </c>
      <c r="BK130" s="373">
        <v>-845.12</v>
      </c>
      <c r="BL130" s="373">
        <v>51499.5</v>
      </c>
      <c r="BM130" s="388">
        <v>0</v>
      </c>
      <c r="BN130" s="388">
        <v>0</v>
      </c>
      <c r="BO130" s="388">
        <v>0</v>
      </c>
      <c r="BP130" s="388">
        <v>28324.725000000002</v>
      </c>
      <c r="BQ130" s="388">
        <f t="shared" ref="BQ130" si="945">IF(BQ$124=$E130,SUM(AV130:AZ130),0)</f>
        <v>0</v>
      </c>
      <c r="BR130" s="389">
        <f t="shared" si="422"/>
        <v>0</v>
      </c>
      <c r="BS130" s="292"/>
    </row>
    <row r="131" spans="1:71" ht="14.45" customHeight="1" outlineLevel="1" x14ac:dyDescent="0.25">
      <c r="A131" s="385" t="s">
        <v>141</v>
      </c>
      <c r="B131" s="486"/>
      <c r="C131" s="386"/>
      <c r="D131" s="388">
        <f>SUM(F131:Y131)</f>
        <v>195614.81</v>
      </c>
      <c r="E131" s="391" t="s">
        <v>193</v>
      </c>
      <c r="F131" s="392"/>
      <c r="G131" s="392">
        <v>6666.67</v>
      </c>
      <c r="H131" s="392">
        <v>10500</v>
      </c>
      <c r="I131" s="392">
        <v>10500</v>
      </c>
      <c r="J131" s="392">
        <v>11489.28</v>
      </c>
      <c r="K131" s="392">
        <v>11130.24</v>
      </c>
      <c r="L131" s="392">
        <v>6103.68</v>
      </c>
      <c r="M131" s="392">
        <v>0</v>
      </c>
      <c r="N131" s="392">
        <v>10053.119999999999</v>
      </c>
      <c r="O131" s="392">
        <v>11489.28</v>
      </c>
      <c r="P131" s="392">
        <v>9469.68</v>
      </c>
      <c r="Q131" s="392">
        <v>10950.720000000001</v>
      </c>
      <c r="R131" s="392">
        <v>11515.52</v>
      </c>
      <c r="S131" s="392">
        <v>11520.84</v>
      </c>
      <c r="T131" s="484">
        <v>10672.68</v>
      </c>
      <c r="U131" s="484">
        <v>11485.5</v>
      </c>
      <c r="V131" s="484">
        <v>11485.5</v>
      </c>
      <c r="W131" s="484">
        <v>11485.5</v>
      </c>
      <c r="X131" s="484">
        <v>29096.6</v>
      </c>
      <c r="Y131" s="484">
        <v>0</v>
      </c>
      <c r="Z131" s="373">
        <f t="shared" si="931"/>
        <v>195614.81</v>
      </c>
      <c r="AA131" s="386"/>
      <c r="AB131" s="386"/>
      <c r="AC131" s="388">
        <f t="shared" si="910"/>
        <v>0</v>
      </c>
      <c r="AD131" s="388">
        <f t="shared" si="932"/>
        <v>6666.67</v>
      </c>
      <c r="AE131" s="388">
        <f t="shared" si="932"/>
        <v>10500</v>
      </c>
      <c r="AF131" s="388">
        <f t="shared" si="932"/>
        <v>10500</v>
      </c>
      <c r="AG131" s="388">
        <f t="shared" si="932"/>
        <v>11489.28</v>
      </c>
      <c r="AH131" s="388">
        <f t="shared" si="932"/>
        <v>11130.24</v>
      </c>
      <c r="AI131" s="388">
        <f t="shared" si="932"/>
        <v>6103.68</v>
      </c>
      <c r="AJ131" s="388">
        <f t="shared" si="932"/>
        <v>0</v>
      </c>
      <c r="AK131" s="372">
        <f t="shared" si="932"/>
        <v>10053.119999999999</v>
      </c>
      <c r="AL131" s="388">
        <f t="shared" si="932"/>
        <v>11489.28</v>
      </c>
      <c r="AM131" s="388">
        <f t="shared" si="932"/>
        <v>9469.68</v>
      </c>
      <c r="AN131" s="373">
        <f t="shared" si="932"/>
        <v>10950.720000000001</v>
      </c>
      <c r="AO131" s="373">
        <f t="shared" si="932"/>
        <v>11515.52</v>
      </c>
      <c r="AP131" s="388">
        <f t="shared" si="932"/>
        <v>11520.84</v>
      </c>
      <c r="AQ131" s="388">
        <f t="shared" si="932"/>
        <v>10672.68</v>
      </c>
      <c r="AR131" s="388">
        <f t="shared" ref="AR131" si="946">U131</f>
        <v>11485.5</v>
      </c>
      <c r="AS131" s="388">
        <f t="shared" ref="AS131:AS133" si="947">V131</f>
        <v>11485.5</v>
      </c>
      <c r="AT131" s="388">
        <f t="shared" ref="AT131:AT133" si="948">W131</f>
        <v>11485.5</v>
      </c>
      <c r="AU131" s="388">
        <f t="shared" ref="AU131:AV133" si="949">X131</f>
        <v>29096.6</v>
      </c>
      <c r="AV131" s="388">
        <f t="shared" si="949"/>
        <v>0</v>
      </c>
      <c r="AW131" s="388"/>
      <c r="AX131" s="388">
        <f t="shared" si="917"/>
        <v>0</v>
      </c>
      <c r="AY131" s="388">
        <v>42000</v>
      </c>
      <c r="AZ131" s="388">
        <f>IF(AZ$124=$E131,SUM(AE131:AH131),0)</f>
        <v>0</v>
      </c>
      <c r="BA131" s="388">
        <v>7000</v>
      </c>
      <c r="BB131" s="388">
        <f>IF(BB$124=$E131,SUM(AG131:AJ131),0)</f>
        <v>0</v>
      </c>
      <c r="BC131" s="388">
        <v>3440.43</v>
      </c>
      <c r="BD131" s="388">
        <v>3949.44</v>
      </c>
      <c r="BE131" s="388">
        <v>0</v>
      </c>
      <c r="BF131" s="388">
        <v>43758</v>
      </c>
      <c r="BG131" s="388">
        <v>0</v>
      </c>
      <c r="BH131" s="388">
        <v>0</v>
      </c>
      <c r="BI131" s="373">
        <v>1615.68</v>
      </c>
      <c r="BJ131" s="388">
        <v>22971</v>
      </c>
      <c r="BK131" s="373">
        <v>-329.84</v>
      </c>
      <c r="BL131" s="373">
        <v>45942</v>
      </c>
      <c r="BM131" s="388">
        <v>0</v>
      </c>
      <c r="BN131" s="388">
        <v>0</v>
      </c>
      <c r="BO131" s="388">
        <v>0</v>
      </c>
      <c r="BP131" s="388">
        <v>25268.1</v>
      </c>
      <c r="BQ131" s="388">
        <v>0</v>
      </c>
      <c r="BR131" s="488">
        <f t="shared" si="422"/>
        <v>0</v>
      </c>
    </row>
    <row r="132" spans="1:71" ht="14.45" customHeight="1" outlineLevel="1" x14ac:dyDescent="0.25">
      <c r="A132" s="385" t="s">
        <v>141</v>
      </c>
      <c r="B132" s="486"/>
      <c r="C132" s="386"/>
      <c r="D132" s="388">
        <f>SUM(F132:Y132)</f>
        <v>143704.59</v>
      </c>
      <c r="E132" s="391" t="s">
        <v>193</v>
      </c>
      <c r="F132" s="392">
        <v>0</v>
      </c>
      <c r="G132" s="392">
        <v>1760</v>
      </c>
      <c r="H132" s="392">
        <v>4400</v>
      </c>
      <c r="I132" s="392">
        <v>0</v>
      </c>
      <c r="J132" s="392">
        <v>8981.92</v>
      </c>
      <c r="K132" s="392">
        <v>7628.48</v>
      </c>
      <c r="L132" s="392">
        <v>7136.32</v>
      </c>
      <c r="M132" s="392">
        <v>7351.64</v>
      </c>
      <c r="N132" s="392">
        <v>8059.12</v>
      </c>
      <c r="O132" s="392">
        <v>7382.4</v>
      </c>
      <c r="P132" s="392">
        <v>7653.76</v>
      </c>
      <c r="Q132" s="392">
        <v>8392.32</v>
      </c>
      <c r="R132" s="392">
        <v>7986.24</v>
      </c>
      <c r="S132" s="392">
        <v>8527.68</v>
      </c>
      <c r="T132" s="392">
        <v>8217.26</v>
      </c>
      <c r="U132" s="392">
        <v>9077.25</v>
      </c>
      <c r="V132" s="392">
        <v>9077.25</v>
      </c>
      <c r="W132" s="392">
        <v>9077.25</v>
      </c>
      <c r="X132" s="392">
        <v>22995.700000000004</v>
      </c>
      <c r="Y132" s="392">
        <v>0</v>
      </c>
      <c r="Z132" s="373">
        <f t="shared" si="931"/>
        <v>143704.59</v>
      </c>
      <c r="AA132" s="386"/>
      <c r="AB132" s="386"/>
      <c r="AC132" s="372">
        <v>0</v>
      </c>
      <c r="AD132" s="372">
        <v>1760</v>
      </c>
      <c r="AE132" s="372">
        <v>4400</v>
      </c>
      <c r="AF132" s="372">
        <v>0</v>
      </c>
      <c r="AG132" s="372">
        <v>8981.92</v>
      </c>
      <c r="AH132" s="372">
        <v>7628.48</v>
      </c>
      <c r="AI132" s="372">
        <v>7136.32</v>
      </c>
      <c r="AJ132" s="372">
        <v>7351.64</v>
      </c>
      <c r="AK132" s="372">
        <v>8059.12</v>
      </c>
      <c r="AL132" s="372">
        <v>7382.4</v>
      </c>
      <c r="AM132" s="388">
        <v>7653.76</v>
      </c>
      <c r="AN132" s="373">
        <v>8392.32</v>
      </c>
      <c r="AO132" s="373">
        <v>7986.24</v>
      </c>
      <c r="AP132" s="373">
        <v>8527.68</v>
      </c>
      <c r="AQ132" s="373">
        <v>8217.26</v>
      </c>
      <c r="AR132" s="373">
        <v>9077.25</v>
      </c>
      <c r="AS132" s="373">
        <v>9077.25</v>
      </c>
      <c r="AT132" s="373">
        <v>9077.25</v>
      </c>
      <c r="AU132" s="373">
        <v>22995.700000000004</v>
      </c>
      <c r="AV132" s="373">
        <v>0</v>
      </c>
      <c r="AW132" s="388"/>
      <c r="AX132" s="388">
        <v>0</v>
      </c>
      <c r="AY132" s="388">
        <v>6160</v>
      </c>
      <c r="AZ132" s="388">
        <v>0</v>
      </c>
      <c r="BA132" s="388">
        <v>29991</v>
      </c>
      <c r="BB132" s="388">
        <v>0</v>
      </c>
      <c r="BC132" s="388">
        <v>0</v>
      </c>
      <c r="BD132" s="388">
        <v>0</v>
      </c>
      <c r="BE132" s="388">
        <v>18517.52</v>
      </c>
      <c r="BF132" s="388">
        <v>0</v>
      </c>
      <c r="BG132" s="388">
        <v>0</v>
      </c>
      <c r="BH132" s="372">
        <v>32994</v>
      </c>
      <c r="BI132" s="373">
        <v>0</v>
      </c>
      <c r="BJ132" s="388">
        <v>0</v>
      </c>
      <c r="BK132" s="373">
        <v>-236.88</v>
      </c>
      <c r="BL132" s="373">
        <v>36309</v>
      </c>
      <c r="BM132" s="388">
        <v>0</v>
      </c>
      <c r="BN132" s="388">
        <v>0</v>
      </c>
      <c r="BO132" s="388">
        <v>0</v>
      </c>
      <c r="BP132" s="388">
        <v>19969.95</v>
      </c>
      <c r="BQ132" s="388">
        <v>0</v>
      </c>
      <c r="BR132" s="389">
        <f>SUM(AC132:AV132)-SUM(AX132:BQ132)</f>
        <v>0</v>
      </c>
      <c r="BS132" s="292"/>
    </row>
    <row r="133" spans="1:71" ht="14.45" customHeight="1" outlineLevel="1" x14ac:dyDescent="0.25">
      <c r="A133" s="385" t="s">
        <v>141</v>
      </c>
      <c r="B133" s="486"/>
      <c r="C133" s="386"/>
      <c r="D133" s="388">
        <f>SUM(F133:Y133)</f>
        <v>151000.41</v>
      </c>
      <c r="E133" s="391" t="s">
        <v>193</v>
      </c>
      <c r="F133" s="392"/>
      <c r="G133" s="392">
        <v>1760</v>
      </c>
      <c r="H133" s="392">
        <f>2200*3</f>
        <v>6600</v>
      </c>
      <c r="I133" s="392">
        <f t="shared" ref="I133" si="950">2200*3</f>
        <v>6600</v>
      </c>
      <c r="J133" s="392">
        <v>7874.56</v>
      </c>
      <c r="K133" s="392">
        <v>7628.48</v>
      </c>
      <c r="L133" s="392">
        <v>6767.2</v>
      </c>
      <c r="M133" s="392">
        <v>7520.82</v>
      </c>
      <c r="N133" s="392">
        <v>7997.6</v>
      </c>
      <c r="O133" s="392">
        <v>7505.44</v>
      </c>
      <c r="P133" s="392">
        <v>7395.36</v>
      </c>
      <c r="Q133" s="392">
        <v>8121.6000000000013</v>
      </c>
      <c r="R133" s="392">
        <v>8392.32</v>
      </c>
      <c r="S133" s="392">
        <v>8392.32</v>
      </c>
      <c r="T133" s="392">
        <v>8217.26</v>
      </c>
      <c r="U133" s="392">
        <v>9077.25</v>
      </c>
      <c r="V133" s="392">
        <v>9077.25</v>
      </c>
      <c r="W133" s="392">
        <v>9077.25</v>
      </c>
      <c r="X133" s="392">
        <v>22995.700000000004</v>
      </c>
      <c r="Y133" s="392">
        <v>0</v>
      </c>
      <c r="Z133" s="373">
        <f t="shared" si="931"/>
        <v>151000.41</v>
      </c>
      <c r="AA133" s="386"/>
      <c r="AB133" s="386"/>
      <c r="AC133" s="388">
        <f t="shared" si="910"/>
        <v>0</v>
      </c>
      <c r="AD133" s="388">
        <f t="shared" si="932"/>
        <v>1760</v>
      </c>
      <c r="AE133" s="388">
        <f t="shared" si="932"/>
        <v>6600</v>
      </c>
      <c r="AF133" s="388">
        <f t="shared" si="932"/>
        <v>6600</v>
      </c>
      <c r="AG133" s="388">
        <f t="shared" si="932"/>
        <v>7874.56</v>
      </c>
      <c r="AH133" s="388">
        <f t="shared" si="932"/>
        <v>7628.48</v>
      </c>
      <c r="AI133" s="388">
        <f t="shared" si="932"/>
        <v>6767.2</v>
      </c>
      <c r="AJ133" s="372">
        <f t="shared" si="932"/>
        <v>7520.82</v>
      </c>
      <c r="AK133" s="372">
        <f t="shared" si="932"/>
        <v>7997.6</v>
      </c>
      <c r="AL133" s="388">
        <f t="shared" si="932"/>
        <v>7505.44</v>
      </c>
      <c r="AM133" s="388">
        <f t="shared" si="932"/>
        <v>7395.36</v>
      </c>
      <c r="AN133" s="373">
        <f t="shared" si="932"/>
        <v>8121.6000000000013</v>
      </c>
      <c r="AO133" s="373">
        <f t="shared" si="932"/>
        <v>8392.32</v>
      </c>
      <c r="AP133" s="373">
        <f t="shared" si="932"/>
        <v>8392.32</v>
      </c>
      <c r="AQ133" s="373">
        <f t="shared" si="932"/>
        <v>8217.26</v>
      </c>
      <c r="AR133" s="373">
        <f>U133</f>
        <v>9077.25</v>
      </c>
      <c r="AS133" s="373">
        <f t="shared" si="947"/>
        <v>9077.25</v>
      </c>
      <c r="AT133" s="373">
        <f t="shared" si="948"/>
        <v>9077.25</v>
      </c>
      <c r="AU133" s="373">
        <f t="shared" si="949"/>
        <v>22995.700000000004</v>
      </c>
      <c r="AV133" s="373">
        <f t="shared" si="949"/>
        <v>0</v>
      </c>
      <c r="AW133" s="388"/>
      <c r="AX133" s="372">
        <f t="shared" si="917"/>
        <v>0</v>
      </c>
      <c r="AY133" s="372">
        <v>32185.599999999999</v>
      </c>
      <c r="AZ133" s="372">
        <f>IF(AZ$124=$E133,SUM(AE133:AH133),0)</f>
        <v>0</v>
      </c>
      <c r="BA133" s="372">
        <f>IF(BA$124=$E133,SUM(AF133:AI133),0)</f>
        <v>0</v>
      </c>
      <c r="BB133" s="372">
        <f>IF(BB$124=$E133,SUM(AG133:AJ133),0)</f>
        <v>0</v>
      </c>
      <c r="BC133" s="372">
        <v>0</v>
      </c>
      <c r="BD133" s="372">
        <f>29991-76.9</f>
        <v>29914.1</v>
      </c>
      <c r="BE133" s="388">
        <f>IF(BE$124=$E133,SUM(AJ133:AM133),0)</f>
        <v>0</v>
      </c>
      <c r="BF133" s="388">
        <f>IF(BF$124=$E133,SUM(AK133:AN133),0)</f>
        <v>0</v>
      </c>
      <c r="BG133" s="388">
        <v>0</v>
      </c>
      <c r="BH133" s="372">
        <v>32994</v>
      </c>
      <c r="BI133" s="373">
        <f>IF(BI$124=$E133,SUM(AN133:AQ133),0)</f>
        <v>0</v>
      </c>
      <c r="BJ133" s="388">
        <v>0</v>
      </c>
      <c r="BK133" s="373">
        <v>-372.24</v>
      </c>
      <c r="BL133" s="373">
        <v>36309</v>
      </c>
      <c r="BM133" s="388">
        <v>0</v>
      </c>
      <c r="BN133" s="388">
        <v>0</v>
      </c>
      <c r="BO133" s="388">
        <v>0</v>
      </c>
      <c r="BP133" s="388">
        <v>19969.95</v>
      </c>
      <c r="BQ133" s="388">
        <v>0</v>
      </c>
      <c r="BR133" s="389">
        <f t="shared" si="422"/>
        <v>0</v>
      </c>
    </row>
    <row r="134" spans="1:71" s="288" customFormat="1" ht="14.45" customHeight="1" x14ac:dyDescent="0.25">
      <c r="A134" s="385" t="s">
        <v>144</v>
      </c>
      <c r="B134" s="486"/>
      <c r="C134" s="386"/>
      <c r="D134" s="388">
        <v>6802.75</v>
      </c>
      <c r="E134" s="386" t="s">
        <v>239</v>
      </c>
      <c r="F134" s="390"/>
      <c r="G134" s="390">
        <v>0</v>
      </c>
      <c r="H134" s="390">
        <v>0</v>
      </c>
      <c r="I134" s="390">
        <v>0</v>
      </c>
      <c r="J134" s="391"/>
      <c r="K134" s="391"/>
      <c r="L134" s="391">
        <v>0</v>
      </c>
      <c r="M134" s="391">
        <v>0</v>
      </c>
      <c r="N134" s="391">
        <v>0</v>
      </c>
      <c r="O134" s="481">
        <v>1</v>
      </c>
      <c r="P134" s="391"/>
      <c r="Q134" s="391"/>
      <c r="R134" s="391"/>
      <c r="S134" s="391"/>
      <c r="T134" s="391"/>
      <c r="U134" s="391"/>
      <c r="V134" s="391"/>
      <c r="W134" s="391"/>
      <c r="X134" s="391"/>
      <c r="Y134" s="391"/>
      <c r="Z134" s="387">
        <f t="shared" si="931"/>
        <v>1</v>
      </c>
      <c r="AA134" s="386"/>
      <c r="AB134" s="386"/>
      <c r="AC134" s="388">
        <f t="shared" ref="AC134:AU134" si="951">F134*$D134</f>
        <v>0</v>
      </c>
      <c r="AD134" s="373">
        <f t="shared" si="951"/>
        <v>0</v>
      </c>
      <c r="AE134" s="388">
        <f t="shared" si="951"/>
        <v>0</v>
      </c>
      <c r="AF134" s="388">
        <f t="shared" si="951"/>
        <v>0</v>
      </c>
      <c r="AG134" s="388">
        <f t="shared" si="951"/>
        <v>0</v>
      </c>
      <c r="AH134" s="388">
        <f t="shared" si="951"/>
        <v>0</v>
      </c>
      <c r="AI134" s="388">
        <f t="shared" si="951"/>
        <v>0</v>
      </c>
      <c r="AJ134" s="388">
        <f t="shared" si="951"/>
        <v>0</v>
      </c>
      <c r="AK134" s="372">
        <f t="shared" si="951"/>
        <v>0</v>
      </c>
      <c r="AL134" s="373">
        <f t="shared" si="951"/>
        <v>6802.75</v>
      </c>
      <c r="AM134" s="388">
        <f t="shared" si="951"/>
        <v>0</v>
      </c>
      <c r="AN134" s="373">
        <f t="shared" si="951"/>
        <v>0</v>
      </c>
      <c r="AO134" s="388">
        <f t="shared" si="951"/>
        <v>0</v>
      </c>
      <c r="AP134" s="388">
        <f t="shared" si="951"/>
        <v>0</v>
      </c>
      <c r="AQ134" s="388">
        <f t="shared" si="951"/>
        <v>0</v>
      </c>
      <c r="AR134" s="388">
        <f t="shared" si="951"/>
        <v>0</v>
      </c>
      <c r="AS134" s="388">
        <f t="shared" si="951"/>
        <v>0</v>
      </c>
      <c r="AT134" s="388">
        <f t="shared" si="951"/>
        <v>0</v>
      </c>
      <c r="AU134" s="388">
        <f t="shared" si="951"/>
        <v>0</v>
      </c>
      <c r="AV134" s="388"/>
      <c r="AW134" s="388"/>
      <c r="AX134" s="388">
        <f t="shared" ref="AX134:BQ134" si="952">IF(AX$3=$E134,$D134,0)</f>
        <v>0</v>
      </c>
      <c r="AY134" s="388">
        <f t="shared" si="952"/>
        <v>0</v>
      </c>
      <c r="AZ134" s="388">
        <f t="shared" si="952"/>
        <v>0</v>
      </c>
      <c r="BA134" s="388">
        <f t="shared" si="952"/>
        <v>0</v>
      </c>
      <c r="BB134" s="388">
        <f t="shared" si="952"/>
        <v>0</v>
      </c>
      <c r="BC134" s="388">
        <f t="shared" si="952"/>
        <v>0</v>
      </c>
      <c r="BD134" s="388">
        <f t="shared" si="952"/>
        <v>0</v>
      </c>
      <c r="BE134" s="388">
        <f t="shared" si="952"/>
        <v>0</v>
      </c>
      <c r="BF134" s="388">
        <f t="shared" si="952"/>
        <v>0</v>
      </c>
      <c r="BG134" s="388">
        <f t="shared" si="952"/>
        <v>6802.75</v>
      </c>
      <c r="BH134" s="388">
        <f t="shared" si="952"/>
        <v>0</v>
      </c>
      <c r="BI134" s="388">
        <f t="shared" si="952"/>
        <v>0</v>
      </c>
      <c r="BJ134" s="388">
        <f t="shared" si="952"/>
        <v>0</v>
      </c>
      <c r="BK134" s="388">
        <f t="shared" si="952"/>
        <v>0</v>
      </c>
      <c r="BL134" s="388">
        <f t="shared" si="952"/>
        <v>0</v>
      </c>
      <c r="BM134" s="388">
        <f t="shared" si="952"/>
        <v>0</v>
      </c>
      <c r="BN134" s="388">
        <f t="shared" si="952"/>
        <v>0</v>
      </c>
      <c r="BO134" s="388">
        <f t="shared" si="952"/>
        <v>0</v>
      </c>
      <c r="BP134" s="388">
        <f t="shared" si="952"/>
        <v>0</v>
      </c>
      <c r="BQ134" s="388">
        <f t="shared" si="952"/>
        <v>0</v>
      </c>
      <c r="BR134" s="389">
        <f t="shared" si="422"/>
        <v>0</v>
      </c>
    </row>
    <row r="135" spans="1:71" s="288" customFormat="1" ht="14.45" customHeight="1" outlineLevel="1" x14ac:dyDescent="0.25">
      <c r="A135" s="385" t="s">
        <v>141</v>
      </c>
      <c r="B135" s="486"/>
      <c r="C135" s="386"/>
      <c r="D135" s="388">
        <f>SUM(F135:Y135)</f>
        <v>42720.885000000002</v>
      </c>
      <c r="E135" s="391" t="s">
        <v>259</v>
      </c>
      <c r="F135" s="392"/>
      <c r="G135" s="392"/>
      <c r="H135" s="392"/>
      <c r="I135" s="392">
        <v>0</v>
      </c>
      <c r="J135" s="392">
        <v>0</v>
      </c>
      <c r="K135" s="392">
        <v>0</v>
      </c>
      <c r="L135" s="392">
        <v>0</v>
      </c>
      <c r="M135" s="392">
        <v>0</v>
      </c>
      <c r="N135" s="392">
        <v>0</v>
      </c>
      <c r="O135" s="392">
        <v>0</v>
      </c>
      <c r="P135" s="392">
        <v>0</v>
      </c>
      <c r="Q135" s="392">
        <v>0</v>
      </c>
      <c r="R135" s="392">
        <v>0</v>
      </c>
      <c r="S135" s="392">
        <v>2741.04</v>
      </c>
      <c r="T135" s="484">
        <v>5748.57</v>
      </c>
      <c r="U135" s="484">
        <v>6186.375</v>
      </c>
      <c r="V135" s="484">
        <v>6186.375</v>
      </c>
      <c r="W135" s="484">
        <v>6186.375</v>
      </c>
      <c r="X135" s="484">
        <v>15672.150000000001</v>
      </c>
      <c r="Y135" s="484">
        <v>0</v>
      </c>
      <c r="Z135" s="373">
        <f t="shared" si="931"/>
        <v>42720.885000000002</v>
      </c>
      <c r="AA135" s="386"/>
      <c r="AB135" s="386"/>
      <c r="AC135" s="388">
        <f t="shared" ref="AC135" si="953">F135</f>
        <v>0</v>
      </c>
      <c r="AD135" s="388">
        <f t="shared" ref="AD135" si="954">G135</f>
        <v>0</v>
      </c>
      <c r="AE135" s="388">
        <f t="shared" ref="AE135" si="955">H135</f>
        <v>0</v>
      </c>
      <c r="AF135" s="388">
        <f t="shared" ref="AF135" si="956">I135</f>
        <v>0</v>
      </c>
      <c r="AG135" s="388">
        <f t="shared" ref="AG135" si="957">J135</f>
        <v>0</v>
      </c>
      <c r="AH135" s="388">
        <f t="shared" ref="AH135" si="958">K135</f>
        <v>0</v>
      </c>
      <c r="AI135" s="388">
        <f t="shared" ref="AI135" si="959">L135</f>
        <v>0</v>
      </c>
      <c r="AJ135" s="372">
        <f t="shared" ref="AJ135" si="960">M135</f>
        <v>0</v>
      </c>
      <c r="AK135" s="372">
        <f t="shared" ref="AK135" si="961">N135</f>
        <v>0</v>
      </c>
      <c r="AL135" s="388">
        <f t="shared" ref="AL135" si="962">O135</f>
        <v>0</v>
      </c>
      <c r="AM135" s="388">
        <f t="shared" ref="AM135" si="963">P135</f>
        <v>0</v>
      </c>
      <c r="AN135" s="373">
        <f t="shared" ref="AN135" si="964">Q135</f>
        <v>0</v>
      </c>
      <c r="AO135" s="373">
        <f t="shared" ref="AO135" si="965">R135</f>
        <v>0</v>
      </c>
      <c r="AP135" s="373">
        <f t="shared" ref="AP135" si="966">S135</f>
        <v>2741.04</v>
      </c>
      <c r="AQ135" s="388">
        <f t="shared" ref="AQ135" si="967">T135</f>
        <v>5748.57</v>
      </c>
      <c r="AR135" s="388">
        <f>U135</f>
        <v>6186.375</v>
      </c>
      <c r="AS135" s="388">
        <f t="shared" ref="AS135" si="968">V135</f>
        <v>6186.375</v>
      </c>
      <c r="AT135" s="388">
        <f t="shared" ref="AT135" si="969">W135</f>
        <v>6186.375</v>
      </c>
      <c r="AU135" s="388">
        <f t="shared" ref="AU135" si="970">X135</f>
        <v>15672.150000000001</v>
      </c>
      <c r="AV135" s="388">
        <f t="shared" ref="AV135" si="971">Y135</f>
        <v>0</v>
      </c>
      <c r="AW135" s="388"/>
      <c r="AX135" s="388">
        <f t="shared" ref="AX135" si="972">IF(AX$124=$E135,SUM(AC135:AF135),0)</f>
        <v>0</v>
      </c>
      <c r="AY135" s="388">
        <f t="shared" ref="AY135" si="973">IF(AY$124=$E135,SUM(AD135:AG135),0)</f>
        <v>0</v>
      </c>
      <c r="AZ135" s="388">
        <f t="shared" ref="AZ135" si="974">IF(AZ$124=$E135,SUM(AE135:AH135),0)</f>
        <v>0</v>
      </c>
      <c r="BA135" s="388">
        <f t="shared" ref="BA135" si="975">IF(BA$124=$E135,SUM(AF135:AI135),0)</f>
        <v>0</v>
      </c>
      <c r="BB135" s="388">
        <f t="shared" ref="BB135" si="976">IF(BB$124=$E135,SUM(AG135:AJ135),0)</f>
        <v>0</v>
      </c>
      <c r="BC135" s="388">
        <f t="shared" ref="BC135" si="977">IF(BC$124=$E135,SUM(AH135:AK135),0)</f>
        <v>0</v>
      </c>
      <c r="BD135" s="388">
        <f t="shared" ref="BD135" si="978">IF(BD$124=$E135,SUM(AI135:AL135),0)</f>
        <v>0</v>
      </c>
      <c r="BE135" s="388">
        <f t="shared" ref="BE135" si="979">IF(BE$124=$E135,SUM(AJ135:AM135),0)</f>
        <v>0</v>
      </c>
      <c r="BF135" s="388">
        <f t="shared" ref="BF135" si="980">IF(BF$124=$E135,SUM(AK135:AN135),0)</f>
        <v>0</v>
      </c>
      <c r="BG135" s="388">
        <f t="shared" ref="BG135" si="981">IF(BG$124=$E135,SUM(AL135:AO135),0)</f>
        <v>0</v>
      </c>
      <c r="BH135" s="388">
        <v>0</v>
      </c>
      <c r="BI135" s="388">
        <v>0</v>
      </c>
      <c r="BJ135" s="388">
        <v>0</v>
      </c>
      <c r="BK135" s="373">
        <v>4365.3599999999997</v>
      </c>
      <c r="BL135" s="373">
        <v>24745.5</v>
      </c>
      <c r="BM135" s="388">
        <v>0</v>
      </c>
      <c r="BN135" s="388">
        <v>0</v>
      </c>
      <c r="BO135" s="388">
        <v>0</v>
      </c>
      <c r="BP135" s="388">
        <v>13610.025000000001</v>
      </c>
      <c r="BQ135" s="388">
        <v>0</v>
      </c>
      <c r="BR135" s="389">
        <f>SUM(AC135:AV135)-SUM(AX135:BQ135)</f>
        <v>0</v>
      </c>
      <c r="BS135" s="244"/>
    </row>
    <row r="136" spans="1:71" s="288" customFormat="1" ht="14.45" customHeight="1" outlineLevel="1" x14ac:dyDescent="0.25">
      <c r="A136" s="385" t="s">
        <v>141</v>
      </c>
      <c r="B136" s="486"/>
      <c r="C136" s="386"/>
      <c r="D136" s="388">
        <f>SUM(F136:Y136)</f>
        <v>55203.925000000003</v>
      </c>
      <c r="E136" s="391" t="s">
        <v>230</v>
      </c>
      <c r="F136" s="392"/>
      <c r="G136" s="392"/>
      <c r="H136" s="392"/>
      <c r="I136" s="392">
        <v>0</v>
      </c>
      <c r="J136" s="392">
        <v>0</v>
      </c>
      <c r="K136" s="392">
        <v>0</v>
      </c>
      <c r="L136" s="392">
        <v>0</v>
      </c>
      <c r="M136" s="392">
        <v>0</v>
      </c>
      <c r="N136" s="392">
        <v>0</v>
      </c>
      <c r="O136" s="392">
        <v>0</v>
      </c>
      <c r="P136" s="392">
        <v>0</v>
      </c>
      <c r="Q136" s="392">
        <v>3785.12</v>
      </c>
      <c r="R136" s="392">
        <v>5677.68</v>
      </c>
      <c r="S136" s="392">
        <v>5631.52</v>
      </c>
      <c r="T136" s="484">
        <v>5878.33</v>
      </c>
      <c r="U136" s="484">
        <v>6186.375</v>
      </c>
      <c r="V136" s="484">
        <v>6186.375</v>
      </c>
      <c r="W136" s="484">
        <v>6186.375</v>
      </c>
      <c r="X136" s="484">
        <v>15672.150000000001</v>
      </c>
      <c r="Y136" s="484">
        <v>0</v>
      </c>
      <c r="Z136" s="373">
        <f t="shared" si="931"/>
        <v>55203.925000000003</v>
      </c>
      <c r="AA136" s="386"/>
      <c r="AB136" s="386"/>
      <c r="AC136" s="388">
        <f t="shared" ref="AC136" si="982">F136</f>
        <v>0</v>
      </c>
      <c r="AD136" s="388">
        <f t="shared" ref="AD136" si="983">G136</f>
        <v>0</v>
      </c>
      <c r="AE136" s="388">
        <f t="shared" ref="AE136" si="984">H136</f>
        <v>0</v>
      </c>
      <c r="AF136" s="388">
        <f t="shared" ref="AF136" si="985">I136</f>
        <v>0</v>
      </c>
      <c r="AG136" s="388">
        <f t="shared" ref="AG136" si="986">J136</f>
        <v>0</v>
      </c>
      <c r="AH136" s="388">
        <f t="shared" ref="AH136" si="987">K136</f>
        <v>0</v>
      </c>
      <c r="AI136" s="388">
        <f t="shared" ref="AI136" si="988">L136</f>
        <v>0</v>
      </c>
      <c r="AJ136" s="372">
        <f t="shared" ref="AJ136" si="989">M136</f>
        <v>0</v>
      </c>
      <c r="AK136" s="372">
        <f t="shared" ref="AK136" si="990">N136</f>
        <v>0</v>
      </c>
      <c r="AL136" s="388">
        <f t="shared" ref="AL136" si="991">O136</f>
        <v>0</v>
      </c>
      <c r="AM136" s="388">
        <f t="shared" ref="AM136" si="992">P136</f>
        <v>0</v>
      </c>
      <c r="AN136" s="373">
        <f t="shared" ref="AN136" si="993">Q136</f>
        <v>3785.12</v>
      </c>
      <c r="AO136" s="373">
        <f t="shared" ref="AO136" si="994">R136</f>
        <v>5677.68</v>
      </c>
      <c r="AP136" s="388">
        <f t="shared" ref="AP136" si="995">S136</f>
        <v>5631.52</v>
      </c>
      <c r="AQ136" s="388">
        <f t="shared" ref="AQ136" si="996">T136</f>
        <v>5878.33</v>
      </c>
      <c r="AR136" s="388">
        <f>U136</f>
        <v>6186.375</v>
      </c>
      <c r="AS136" s="388">
        <f t="shared" ref="AS136" si="997">V136</f>
        <v>6186.375</v>
      </c>
      <c r="AT136" s="388">
        <f t="shared" ref="AT136" si="998">W136</f>
        <v>6186.375</v>
      </c>
      <c r="AU136" s="388">
        <f t="shared" ref="AU136:AV136" si="999">X136</f>
        <v>15672.150000000001</v>
      </c>
      <c r="AV136" s="388">
        <f t="shared" si="999"/>
        <v>0</v>
      </c>
      <c r="AW136" s="388"/>
      <c r="AX136" s="388">
        <f t="shared" ref="AX136" si="1000">IF(AX$124=$E136,SUM(AC136:AF136),0)</f>
        <v>0</v>
      </c>
      <c r="AY136" s="388">
        <f t="shared" ref="AY136" si="1001">IF(AY$124=$E136,SUM(AD136:AG136),0)</f>
        <v>0</v>
      </c>
      <c r="AZ136" s="388">
        <f t="shared" ref="AZ136:BG136" si="1002">IF(AZ$124=$E136,SUM(AE136:AH136),0)</f>
        <v>0</v>
      </c>
      <c r="BA136" s="388">
        <f t="shared" si="1002"/>
        <v>0</v>
      </c>
      <c r="BB136" s="388">
        <f t="shared" si="1002"/>
        <v>0</v>
      </c>
      <c r="BC136" s="388">
        <f t="shared" si="1002"/>
        <v>0</v>
      </c>
      <c r="BD136" s="388">
        <f t="shared" si="1002"/>
        <v>0</v>
      </c>
      <c r="BE136" s="388">
        <f t="shared" si="1002"/>
        <v>0</v>
      </c>
      <c r="BF136" s="388">
        <f t="shared" si="1002"/>
        <v>0</v>
      </c>
      <c r="BG136" s="388">
        <f t="shared" si="1002"/>
        <v>0</v>
      </c>
      <c r="BH136" s="388">
        <v>0</v>
      </c>
      <c r="BI136" s="373">
        <f>16877.25+5625.75</f>
        <v>22503</v>
      </c>
      <c r="BJ136" s="388">
        <v>0</v>
      </c>
      <c r="BK136" s="373">
        <v>-5654.6</v>
      </c>
      <c r="BL136" s="373">
        <v>24745.5</v>
      </c>
      <c r="BM136" s="388">
        <v>0</v>
      </c>
      <c r="BN136" s="388">
        <v>0</v>
      </c>
      <c r="BO136" s="388">
        <v>0</v>
      </c>
      <c r="BP136" s="388">
        <v>13610.025000000001</v>
      </c>
      <c r="BQ136" s="388">
        <v>0</v>
      </c>
      <c r="BR136" s="393">
        <f>SUM(AC136:AV136)-SUM(AX136:BQ136)</f>
        <v>0</v>
      </c>
      <c r="BS136" s="244"/>
    </row>
    <row r="137" spans="1:71" s="288" customFormat="1" ht="14.45" customHeight="1" x14ac:dyDescent="0.25">
      <c r="A137" s="385" t="s">
        <v>144</v>
      </c>
      <c r="B137" s="486"/>
      <c r="C137" s="386"/>
      <c r="D137" s="372">
        <v>36750</v>
      </c>
      <c r="E137" s="386" t="s">
        <v>259</v>
      </c>
      <c r="F137" s="391"/>
      <c r="G137" s="391"/>
      <c r="H137" s="391"/>
      <c r="I137" s="390"/>
      <c r="J137" s="390">
        <v>0</v>
      </c>
      <c r="K137" s="390"/>
      <c r="L137" s="390"/>
      <c r="M137" s="390"/>
      <c r="N137" s="391"/>
      <c r="O137" s="391"/>
      <c r="P137" s="391">
        <v>0</v>
      </c>
      <c r="Q137" s="482">
        <v>0</v>
      </c>
      <c r="R137" s="482">
        <v>8.7619047619047624E-2</v>
      </c>
      <c r="S137" s="482">
        <v>0.22857142857142856</v>
      </c>
      <c r="T137" s="482">
        <v>0.24489795918367346</v>
      </c>
      <c r="U137" s="390">
        <f>1-(T137+S137+R137)</f>
        <v>0.43891156462585035</v>
      </c>
      <c r="V137" s="391"/>
      <c r="W137" s="391"/>
      <c r="X137" s="391"/>
      <c r="Y137" s="391"/>
      <c r="Z137" s="387">
        <f t="shared" si="931"/>
        <v>1</v>
      </c>
      <c r="AA137" s="386"/>
      <c r="AB137" s="386"/>
      <c r="AC137" s="372">
        <f t="shared" ref="AC137" si="1003">F137*$D137</f>
        <v>0</v>
      </c>
      <c r="AD137" s="373">
        <f t="shared" ref="AD137" si="1004">G137*$D137</f>
        <v>0</v>
      </c>
      <c r="AE137" s="372">
        <f t="shared" ref="AE137" si="1005">H137*$D137</f>
        <v>0</v>
      </c>
      <c r="AF137" s="372">
        <f t="shared" ref="AF137" si="1006">I137*$D137</f>
        <v>0</v>
      </c>
      <c r="AG137" s="372">
        <f t="shared" ref="AG137" si="1007">J137*$D137</f>
        <v>0</v>
      </c>
      <c r="AH137" s="372">
        <f t="shared" ref="AH137" si="1008">K137*$D137</f>
        <v>0</v>
      </c>
      <c r="AI137" s="372">
        <f t="shared" ref="AI137" si="1009">L137*$D137</f>
        <v>0</v>
      </c>
      <c r="AJ137" s="372">
        <f t="shared" ref="AJ137" si="1010">M137*$D137</f>
        <v>0</v>
      </c>
      <c r="AK137" s="372">
        <f t="shared" ref="AK137" si="1011">N137*$D137</f>
        <v>0</v>
      </c>
      <c r="AL137" s="373">
        <f t="shared" ref="AL137" si="1012">O137*$D137</f>
        <v>0</v>
      </c>
      <c r="AM137" s="489">
        <f t="shared" ref="AM137" si="1013">P137*$D137</f>
        <v>0</v>
      </c>
      <c r="AN137" s="373">
        <f t="shared" ref="AN137" si="1014">Q137*$D137</f>
        <v>0</v>
      </c>
      <c r="AO137" s="373">
        <f t="shared" ref="AO137" si="1015">R137*$D137</f>
        <v>3220</v>
      </c>
      <c r="AP137" s="373">
        <f t="shared" ref="AP137" si="1016">S137*$D137</f>
        <v>8400</v>
      </c>
      <c r="AQ137" s="373">
        <f t="shared" ref="AQ137" si="1017">T137*$D137</f>
        <v>9000</v>
      </c>
      <c r="AR137" s="373">
        <f t="shared" ref="AR137" si="1018">U137*$D137</f>
        <v>16130</v>
      </c>
      <c r="AS137" s="388">
        <f t="shared" ref="AS137" si="1019">V137*$D137</f>
        <v>0</v>
      </c>
      <c r="AT137" s="388">
        <f t="shared" ref="AT137" si="1020">W137*$D137</f>
        <v>0</v>
      </c>
      <c r="AU137" s="388">
        <f t="shared" ref="AU137" si="1021">X137*$D137</f>
        <v>0</v>
      </c>
      <c r="AV137" s="388"/>
      <c r="AW137" s="388"/>
      <c r="AX137" s="388">
        <f t="shared" ref="AX137:BQ137" si="1022">IF(AX$3=$E137,$D137,0)</f>
        <v>0</v>
      </c>
      <c r="AY137" s="388">
        <f t="shared" si="1022"/>
        <v>0</v>
      </c>
      <c r="AZ137" s="388">
        <f t="shared" si="1022"/>
        <v>0</v>
      </c>
      <c r="BA137" s="388">
        <f t="shared" si="1022"/>
        <v>0</v>
      </c>
      <c r="BB137" s="388">
        <f t="shared" si="1022"/>
        <v>0</v>
      </c>
      <c r="BC137" s="388">
        <f t="shared" si="1022"/>
        <v>0</v>
      </c>
      <c r="BD137" s="388">
        <f t="shared" si="1022"/>
        <v>0</v>
      </c>
      <c r="BE137" s="388">
        <f t="shared" si="1022"/>
        <v>0</v>
      </c>
      <c r="BF137" s="388">
        <f t="shared" si="1022"/>
        <v>0</v>
      </c>
      <c r="BG137" s="388">
        <f t="shared" si="1022"/>
        <v>0</v>
      </c>
      <c r="BH137" s="388">
        <f t="shared" si="1022"/>
        <v>0</v>
      </c>
      <c r="BI137" s="388">
        <f t="shared" si="1022"/>
        <v>0</v>
      </c>
      <c r="BJ137" s="388">
        <f t="shared" si="1022"/>
        <v>36750</v>
      </c>
      <c r="BK137" s="388">
        <f t="shared" si="1022"/>
        <v>0</v>
      </c>
      <c r="BL137" s="388">
        <f t="shared" si="1022"/>
        <v>0</v>
      </c>
      <c r="BM137" s="388">
        <f t="shared" si="1022"/>
        <v>0</v>
      </c>
      <c r="BN137" s="388">
        <f t="shared" si="1022"/>
        <v>0</v>
      </c>
      <c r="BO137" s="388">
        <f t="shared" si="1022"/>
        <v>0</v>
      </c>
      <c r="BP137" s="388">
        <f t="shared" si="1022"/>
        <v>0</v>
      </c>
      <c r="BQ137" s="388">
        <f t="shared" si="1022"/>
        <v>0</v>
      </c>
      <c r="BR137" s="389">
        <f t="shared" si="422"/>
        <v>0</v>
      </c>
      <c r="BS137" s="244"/>
    </row>
    <row r="138" spans="1:71" s="288" customFormat="1" ht="14.45" customHeight="1" x14ac:dyDescent="0.25">
      <c r="A138" s="446" t="s">
        <v>129</v>
      </c>
      <c r="B138" s="446"/>
      <c r="C138" s="447"/>
      <c r="D138" s="448">
        <v>318.43</v>
      </c>
      <c r="E138" s="449" t="s">
        <v>218</v>
      </c>
      <c r="F138" s="454"/>
      <c r="G138" s="454"/>
      <c r="H138" s="454"/>
      <c r="I138" s="454"/>
      <c r="J138" s="454"/>
      <c r="K138" s="450">
        <v>0</v>
      </c>
      <c r="L138" s="450">
        <v>0</v>
      </c>
      <c r="M138" s="450">
        <v>1</v>
      </c>
      <c r="N138" s="450">
        <v>0</v>
      </c>
      <c r="O138" s="450">
        <v>0</v>
      </c>
      <c r="P138" s="450">
        <v>0</v>
      </c>
      <c r="Q138" s="450">
        <v>0</v>
      </c>
      <c r="R138" s="450">
        <v>0</v>
      </c>
      <c r="S138" s="450">
        <v>0</v>
      </c>
      <c r="T138" s="450">
        <v>0</v>
      </c>
      <c r="U138" s="450">
        <v>0</v>
      </c>
      <c r="V138" s="450"/>
      <c r="W138" s="450"/>
      <c r="X138" s="450"/>
      <c r="Y138" s="450"/>
      <c r="Z138" s="451">
        <f t="shared" ref="Z138" si="1023">SUM(F138:U138)</f>
        <v>1</v>
      </c>
      <c r="AA138" s="447"/>
      <c r="AB138" s="447"/>
      <c r="AC138" s="452">
        <f t="shared" ref="AC138" si="1024">F138*$D138</f>
        <v>0</v>
      </c>
      <c r="AD138" s="452">
        <f t="shared" ref="AD138" si="1025">G138*$D138</f>
        <v>0</v>
      </c>
      <c r="AE138" s="452">
        <f t="shared" ref="AE138" si="1026">H138*$D138</f>
        <v>0</v>
      </c>
      <c r="AF138" s="452">
        <f t="shared" ref="AF138" si="1027">I138*$D138</f>
        <v>0</v>
      </c>
      <c r="AG138" s="452">
        <f>J138*$D138</f>
        <v>0</v>
      </c>
      <c r="AH138" s="452">
        <f>K138*$D138</f>
        <v>0</v>
      </c>
      <c r="AI138" s="452">
        <f t="shared" ref="AI138" si="1028">L138*$D138</f>
        <v>0</v>
      </c>
      <c r="AJ138" s="452">
        <f t="shared" ref="AJ138" si="1029">M138*$D138</f>
        <v>318.43</v>
      </c>
      <c r="AK138" s="452">
        <f t="shared" ref="AK138" si="1030">N138*$D138</f>
        <v>0</v>
      </c>
      <c r="AL138" s="452">
        <f t="shared" ref="AL138" si="1031">O138*$D138</f>
        <v>0</v>
      </c>
      <c r="AM138" s="452">
        <f t="shared" ref="AM138" si="1032">P138*$D138</f>
        <v>0</v>
      </c>
      <c r="AN138" s="452">
        <f t="shared" ref="AN138" si="1033">Q138*$D138</f>
        <v>0</v>
      </c>
      <c r="AO138" s="452">
        <f t="shared" ref="AO138" si="1034">R138*$D138</f>
        <v>0</v>
      </c>
      <c r="AP138" s="452">
        <f t="shared" ref="AP138" si="1035">S138*$D138</f>
        <v>0</v>
      </c>
      <c r="AQ138" s="452">
        <f t="shared" ref="AQ138" si="1036">T138*$D138</f>
        <v>0</v>
      </c>
      <c r="AR138" s="452">
        <f t="shared" ref="AR138:AT139" si="1037">U138*$D138</f>
        <v>0</v>
      </c>
      <c r="AS138" s="452">
        <f t="shared" si="1037"/>
        <v>0</v>
      </c>
      <c r="AT138" s="452">
        <f t="shared" si="1037"/>
        <v>0</v>
      </c>
      <c r="AU138" s="452">
        <f t="shared" ref="AU138:AU139" si="1038">X138*$D138</f>
        <v>0</v>
      </c>
      <c r="AV138" s="448"/>
      <c r="AW138" s="453"/>
      <c r="AX138" s="453">
        <f t="shared" si="917"/>
        <v>0</v>
      </c>
      <c r="AY138" s="453">
        <f t="shared" ref="AY138:AY139" si="1039">IF(AY$124=$E138,SUM(AD138:AG138),0)</f>
        <v>0</v>
      </c>
      <c r="AZ138" s="453">
        <f t="shared" ref="AZ138:BO139" si="1040">IF(AZ$3=$E138,$D138,0)</f>
        <v>0</v>
      </c>
      <c r="BA138" s="453">
        <f t="shared" si="1040"/>
        <v>0</v>
      </c>
      <c r="BB138" s="453">
        <f t="shared" si="1040"/>
        <v>0</v>
      </c>
      <c r="BC138" s="453">
        <f t="shared" si="1040"/>
        <v>0</v>
      </c>
      <c r="BD138" s="453">
        <f t="shared" si="1040"/>
        <v>0</v>
      </c>
      <c r="BE138" s="448">
        <f t="shared" si="1040"/>
        <v>318.43</v>
      </c>
      <c r="BF138" s="453">
        <f t="shared" si="1040"/>
        <v>0</v>
      </c>
      <c r="BG138" s="453">
        <f t="shared" si="1040"/>
        <v>0</v>
      </c>
      <c r="BH138" s="453">
        <f t="shared" si="1040"/>
        <v>0</v>
      </c>
      <c r="BI138" s="453">
        <f t="shared" si="1040"/>
        <v>0</v>
      </c>
      <c r="BJ138" s="453">
        <f t="shared" si="1040"/>
        <v>0</v>
      </c>
      <c r="BK138" s="453">
        <f t="shared" si="1040"/>
        <v>0</v>
      </c>
      <c r="BL138" s="453">
        <f t="shared" si="1040"/>
        <v>0</v>
      </c>
      <c r="BM138" s="453">
        <f t="shared" si="1040"/>
        <v>0</v>
      </c>
      <c r="BN138" s="453">
        <f t="shared" si="1040"/>
        <v>0</v>
      </c>
      <c r="BO138" s="453">
        <f t="shared" si="1040"/>
        <v>0</v>
      </c>
      <c r="BP138" s="453">
        <f t="shared" ref="BP138:BQ139" si="1041">IF(BP$3=$E138,$D138,0)</f>
        <v>0</v>
      </c>
      <c r="BQ138" s="453">
        <f t="shared" si="1041"/>
        <v>0</v>
      </c>
      <c r="BR138" s="426">
        <f t="shared" si="422"/>
        <v>0</v>
      </c>
    </row>
    <row r="139" spans="1:71" s="288" customFormat="1" ht="14.45" customHeight="1" x14ac:dyDescent="0.25">
      <c r="A139" s="446" t="s">
        <v>129</v>
      </c>
      <c r="B139" s="446"/>
      <c r="C139" s="447"/>
      <c r="D139" s="448">
        <v>884.24</v>
      </c>
      <c r="E139" s="449" t="s">
        <v>218</v>
      </c>
      <c r="F139" s="454"/>
      <c r="G139" s="454"/>
      <c r="H139" s="454"/>
      <c r="I139" s="454"/>
      <c r="J139" s="454"/>
      <c r="K139" s="450">
        <v>0</v>
      </c>
      <c r="L139" s="450">
        <v>0</v>
      </c>
      <c r="M139" s="450">
        <v>1</v>
      </c>
      <c r="N139" s="450">
        <v>0</v>
      </c>
      <c r="O139" s="450">
        <v>0</v>
      </c>
      <c r="P139" s="450">
        <v>0</v>
      </c>
      <c r="Q139" s="450">
        <v>0</v>
      </c>
      <c r="R139" s="450">
        <v>0</v>
      </c>
      <c r="S139" s="450">
        <v>0</v>
      </c>
      <c r="T139" s="450">
        <v>0</v>
      </c>
      <c r="U139" s="450">
        <v>0</v>
      </c>
      <c r="V139" s="450"/>
      <c r="W139" s="450"/>
      <c r="X139" s="450"/>
      <c r="Y139" s="450"/>
      <c r="Z139" s="451">
        <f t="shared" ref="Z139" si="1042">SUM(F139:U139)</f>
        <v>1</v>
      </c>
      <c r="AA139" s="447"/>
      <c r="AB139" s="447"/>
      <c r="AC139" s="452">
        <f t="shared" ref="AC139" si="1043">F139*$D139</f>
        <v>0</v>
      </c>
      <c r="AD139" s="452">
        <f t="shared" ref="AD139" si="1044">G139*$D139</f>
        <v>0</v>
      </c>
      <c r="AE139" s="452">
        <f t="shared" ref="AE139" si="1045">H139*$D139</f>
        <v>0</v>
      </c>
      <c r="AF139" s="452">
        <f t="shared" ref="AF139" si="1046">I139*$D139</f>
        <v>0</v>
      </c>
      <c r="AG139" s="452">
        <f t="shared" ref="AG139" si="1047">J139*$D139</f>
        <v>0</v>
      </c>
      <c r="AH139" s="452">
        <f t="shared" ref="AH139" si="1048">K139*$D139</f>
        <v>0</v>
      </c>
      <c r="AI139" s="452">
        <f t="shared" ref="AI139" si="1049">L139*$D139</f>
        <v>0</v>
      </c>
      <c r="AJ139" s="452">
        <f t="shared" ref="AJ139" si="1050">M139*$D139</f>
        <v>884.24</v>
      </c>
      <c r="AK139" s="452">
        <f t="shared" ref="AK139" si="1051">N139*$D139</f>
        <v>0</v>
      </c>
      <c r="AL139" s="452">
        <f t="shared" ref="AL139" si="1052">O139*$D139</f>
        <v>0</v>
      </c>
      <c r="AM139" s="452">
        <f t="shared" ref="AM139" si="1053">P139*$D139</f>
        <v>0</v>
      </c>
      <c r="AN139" s="452">
        <f t="shared" ref="AN139" si="1054">Q139*$D139</f>
        <v>0</v>
      </c>
      <c r="AO139" s="452">
        <f t="shared" ref="AO139" si="1055">R139*$D139</f>
        <v>0</v>
      </c>
      <c r="AP139" s="452">
        <f t="shared" ref="AP139" si="1056">S139*$D139</f>
        <v>0</v>
      </c>
      <c r="AQ139" s="452">
        <f t="shared" ref="AQ139" si="1057">T139*$D139</f>
        <v>0</v>
      </c>
      <c r="AR139" s="452">
        <f t="shared" si="1037"/>
        <v>0</v>
      </c>
      <c r="AS139" s="452">
        <f t="shared" si="1037"/>
        <v>0</v>
      </c>
      <c r="AT139" s="452">
        <f t="shared" si="1037"/>
        <v>0</v>
      </c>
      <c r="AU139" s="452">
        <f t="shared" si="1038"/>
        <v>0</v>
      </c>
      <c r="AV139" s="448"/>
      <c r="AW139" s="453"/>
      <c r="AX139" s="453">
        <f t="shared" ref="AX139" si="1058">IF(AX$124=$E139,SUM(AC139:AF139),0)</f>
        <v>0</v>
      </c>
      <c r="AY139" s="453">
        <f t="shared" si="1039"/>
        <v>0</v>
      </c>
      <c r="AZ139" s="453">
        <f t="shared" si="1040"/>
        <v>0</v>
      </c>
      <c r="BA139" s="453">
        <f t="shared" si="1040"/>
        <v>0</v>
      </c>
      <c r="BB139" s="453">
        <f t="shared" si="1040"/>
        <v>0</v>
      </c>
      <c r="BC139" s="453">
        <f t="shared" si="1040"/>
        <v>0</v>
      </c>
      <c r="BD139" s="453">
        <f t="shared" si="1040"/>
        <v>0</v>
      </c>
      <c r="BE139" s="453">
        <f t="shared" si="1040"/>
        <v>884.24</v>
      </c>
      <c r="BF139" s="453">
        <f t="shared" si="1040"/>
        <v>0</v>
      </c>
      <c r="BG139" s="453">
        <f t="shared" si="1040"/>
        <v>0</v>
      </c>
      <c r="BH139" s="453">
        <f t="shared" si="1040"/>
        <v>0</v>
      </c>
      <c r="BI139" s="453">
        <f t="shared" si="1040"/>
        <v>0</v>
      </c>
      <c r="BJ139" s="453">
        <f t="shared" si="1040"/>
        <v>0</v>
      </c>
      <c r="BK139" s="453">
        <f t="shared" si="1040"/>
        <v>0</v>
      </c>
      <c r="BL139" s="453">
        <f t="shared" si="1040"/>
        <v>0</v>
      </c>
      <c r="BM139" s="453">
        <f t="shared" si="1040"/>
        <v>0</v>
      </c>
      <c r="BN139" s="453">
        <f t="shared" si="1040"/>
        <v>0</v>
      </c>
      <c r="BO139" s="453">
        <f t="shared" si="1040"/>
        <v>0</v>
      </c>
      <c r="BP139" s="453">
        <f t="shared" si="1041"/>
        <v>0</v>
      </c>
      <c r="BQ139" s="453">
        <f t="shared" si="1041"/>
        <v>0</v>
      </c>
      <c r="BR139" s="426">
        <f t="shared" si="422"/>
        <v>0</v>
      </c>
    </row>
    <row r="140" spans="1:71" s="336" customFormat="1" ht="14.45" customHeight="1" outlineLevel="1" x14ac:dyDescent="0.25">
      <c r="A140" s="462" t="s">
        <v>129</v>
      </c>
      <c r="B140" s="462"/>
      <c r="C140" s="448"/>
      <c r="D140" s="448">
        <f>SUM(F140:Y140)</f>
        <v>146075.875</v>
      </c>
      <c r="E140" s="463" t="s">
        <v>197</v>
      </c>
      <c r="F140" s="448">
        <v>0</v>
      </c>
      <c r="G140" s="448">
        <v>0</v>
      </c>
      <c r="H140" s="448">
        <v>0</v>
      </c>
      <c r="I140" s="448">
        <v>0</v>
      </c>
      <c r="J140" s="448">
        <v>8041.6</v>
      </c>
      <c r="K140" s="448">
        <v>8903.2000000000007</v>
      </c>
      <c r="L140" s="448">
        <v>8185.2</v>
      </c>
      <c r="M140" s="448">
        <v>8616</v>
      </c>
      <c r="N140" s="448">
        <v>9190.4</v>
      </c>
      <c r="O140" s="448">
        <v>8616</v>
      </c>
      <c r="P140" s="448">
        <v>8185.2</v>
      </c>
      <c r="Q140" s="448">
        <v>8400.6</v>
      </c>
      <c r="R140" s="448">
        <v>9069.2000000000007</v>
      </c>
      <c r="S140" s="448">
        <v>9651.2000000000007</v>
      </c>
      <c r="T140" s="448">
        <f>8369.4+2000</f>
        <v>10369.4</v>
      </c>
      <c r="U140" s="448">
        <f>9189.375-2000</f>
        <v>7189.375</v>
      </c>
      <c r="V140" s="448">
        <v>9189.375</v>
      </c>
      <c r="W140" s="448">
        <v>9189.375</v>
      </c>
      <c r="X140" s="448">
        <v>23279.75</v>
      </c>
      <c r="Y140" s="448">
        <v>0</v>
      </c>
      <c r="Z140" s="448">
        <f>SUM(F140:Y140)</f>
        <v>146075.875</v>
      </c>
      <c r="AA140" s="448"/>
      <c r="AB140" s="448"/>
      <c r="AC140" s="452">
        <f t="shared" ref="AC140:AV140" si="1059">F140</f>
        <v>0</v>
      </c>
      <c r="AD140" s="452">
        <f t="shared" si="1059"/>
        <v>0</v>
      </c>
      <c r="AE140" s="452">
        <f t="shared" si="1059"/>
        <v>0</v>
      </c>
      <c r="AF140" s="452">
        <f t="shared" si="1059"/>
        <v>0</v>
      </c>
      <c r="AG140" s="452">
        <f t="shared" si="1059"/>
        <v>8041.6</v>
      </c>
      <c r="AH140" s="452">
        <f t="shared" si="1059"/>
        <v>8903.2000000000007</v>
      </c>
      <c r="AI140" s="452">
        <f t="shared" si="1059"/>
        <v>8185.2</v>
      </c>
      <c r="AJ140" s="452">
        <f t="shared" si="1059"/>
        <v>8616</v>
      </c>
      <c r="AK140" s="452">
        <f t="shared" si="1059"/>
        <v>9190.4</v>
      </c>
      <c r="AL140" s="452">
        <f t="shared" si="1059"/>
        <v>8616</v>
      </c>
      <c r="AM140" s="452">
        <f t="shared" si="1059"/>
        <v>8185.2</v>
      </c>
      <c r="AN140" s="452">
        <f>Q140</f>
        <v>8400.6</v>
      </c>
      <c r="AO140" s="452">
        <f t="shared" si="1059"/>
        <v>9069.2000000000007</v>
      </c>
      <c r="AP140" s="452">
        <f t="shared" si="1059"/>
        <v>9651.2000000000007</v>
      </c>
      <c r="AQ140" s="452">
        <f>T140</f>
        <v>10369.4</v>
      </c>
      <c r="AR140" s="452">
        <f t="shared" si="1059"/>
        <v>7189.375</v>
      </c>
      <c r="AS140" s="452">
        <f t="shared" si="1059"/>
        <v>9189.375</v>
      </c>
      <c r="AT140" s="452">
        <f t="shared" si="1059"/>
        <v>9189.375</v>
      </c>
      <c r="AU140" s="452">
        <f t="shared" si="1059"/>
        <v>23279.75</v>
      </c>
      <c r="AV140" s="448">
        <f t="shared" si="1059"/>
        <v>0</v>
      </c>
      <c r="AW140" s="448"/>
      <c r="AX140" s="448">
        <v>0</v>
      </c>
      <c r="AY140" s="448">
        <v>0</v>
      </c>
      <c r="AZ140" s="448">
        <v>0</v>
      </c>
      <c r="BA140" s="448">
        <v>35002.5</v>
      </c>
      <c r="BB140" s="448">
        <v>0</v>
      </c>
      <c r="BC140" s="448">
        <v>0</v>
      </c>
      <c r="BD140" s="448">
        <v>0</v>
      </c>
      <c r="BE140" s="448">
        <v>35002.5</v>
      </c>
      <c r="BF140" s="448">
        <v>-394.9</v>
      </c>
      <c r="BG140" s="448">
        <v>0</v>
      </c>
      <c r="BH140" s="448">
        <v>0</v>
      </c>
      <c r="BI140" s="448">
        <v>1256.5</v>
      </c>
      <c r="BJ140" s="448">
        <v>18235.150000000001</v>
      </c>
      <c r="BK140" s="448">
        <v>0</v>
      </c>
      <c r="BL140" s="448">
        <v>36757.5</v>
      </c>
      <c r="BM140" s="448">
        <v>0</v>
      </c>
      <c r="BN140" s="448">
        <v>0</v>
      </c>
      <c r="BO140" s="448">
        <v>0</v>
      </c>
      <c r="BP140" s="448">
        <v>20216.625</v>
      </c>
      <c r="BQ140" s="448">
        <f>IF(BQ$124=$E140,SUM(AV140:AZ140),0)</f>
        <v>0</v>
      </c>
      <c r="BR140" s="426">
        <f t="shared" si="422"/>
        <v>0</v>
      </c>
    </row>
    <row r="141" spans="1:71" ht="14.45" customHeight="1" x14ac:dyDescent="0.25">
      <c r="A141" s="238"/>
      <c r="B141" s="238"/>
      <c r="C141" s="311"/>
      <c r="D141" s="311"/>
      <c r="E141" s="311"/>
      <c r="F141" s="311"/>
      <c r="G141" s="331"/>
      <c r="H141" s="331"/>
      <c r="I141" s="331"/>
      <c r="J141" s="331"/>
      <c r="K141" s="331"/>
      <c r="L141" s="331"/>
      <c r="M141" s="331"/>
      <c r="N141" s="331"/>
      <c r="O141" s="331"/>
      <c r="P141" s="331"/>
      <c r="Q141" s="331"/>
      <c r="R141" s="331"/>
      <c r="S141" s="331"/>
      <c r="T141" s="331"/>
      <c r="U141" s="331"/>
      <c r="V141" s="331"/>
      <c r="W141" s="331"/>
      <c r="X141" s="331"/>
      <c r="Y141" s="331"/>
      <c r="Z141" s="331"/>
      <c r="AA141" s="311"/>
      <c r="AB141" s="311"/>
      <c r="AC141" s="352"/>
      <c r="AD141" s="337"/>
      <c r="AE141" s="352"/>
      <c r="AF141" s="352"/>
      <c r="AG141" s="352"/>
      <c r="AH141" s="352"/>
      <c r="AI141" s="352"/>
      <c r="AJ141" s="311"/>
      <c r="AK141" s="311"/>
      <c r="AL141" s="337"/>
      <c r="AM141" s="311"/>
      <c r="AN141" s="311"/>
      <c r="AO141" s="380"/>
      <c r="AP141" s="311"/>
      <c r="AQ141" s="311"/>
      <c r="AR141" s="311"/>
      <c r="AS141" s="311"/>
      <c r="AT141" s="311"/>
      <c r="AU141" s="311"/>
      <c r="AV141" s="311"/>
      <c r="AW141" s="311"/>
      <c r="AX141" s="352"/>
      <c r="AY141" s="352"/>
      <c r="AZ141" s="352"/>
      <c r="BA141" s="352"/>
      <c r="BB141" s="352"/>
      <c r="BC141" s="352"/>
      <c r="BD141" s="352"/>
      <c r="BE141" s="352"/>
      <c r="BF141" s="311"/>
      <c r="BG141" s="311"/>
      <c r="BH141" s="311"/>
      <c r="BI141" s="311"/>
      <c r="BJ141" s="311"/>
      <c r="BK141" s="311"/>
      <c r="BL141" s="311"/>
      <c r="BM141" s="311"/>
      <c r="BN141" s="311"/>
      <c r="BO141" s="311"/>
      <c r="BP141" s="311"/>
      <c r="BQ141" s="311"/>
      <c r="BR141" s="374">
        <f t="shared" si="422"/>
        <v>0</v>
      </c>
    </row>
    <row r="142" spans="1:71" ht="14.45" customHeight="1" x14ac:dyDescent="0.25">
      <c r="A142" s="238" t="s">
        <v>189</v>
      </c>
      <c r="B142" s="238"/>
      <c r="C142" s="311"/>
      <c r="D142" s="311"/>
      <c r="E142" s="311"/>
      <c r="F142" s="311"/>
      <c r="G142" s="331"/>
      <c r="H142" s="331"/>
      <c r="I142" s="331"/>
      <c r="J142" s="331"/>
      <c r="K142" s="331"/>
      <c r="L142" s="331"/>
      <c r="M142" s="331"/>
      <c r="N142" s="331"/>
      <c r="O142" s="331"/>
      <c r="P142" s="331"/>
      <c r="Q142" s="331"/>
      <c r="R142" s="331"/>
      <c r="S142" s="331"/>
      <c r="T142" s="331"/>
      <c r="U142" s="331"/>
      <c r="V142" s="331"/>
      <c r="W142" s="331"/>
      <c r="X142" s="331"/>
      <c r="Y142" s="331"/>
      <c r="Z142" s="331"/>
      <c r="AA142" s="311"/>
      <c r="AB142" s="311"/>
      <c r="AC142" s="352"/>
      <c r="AD142" s="337"/>
      <c r="AE142" s="352"/>
      <c r="AF142" s="352"/>
      <c r="AG142" s="352"/>
      <c r="AH142" s="352"/>
      <c r="AI142" s="352"/>
      <c r="AJ142" s="311"/>
      <c r="AK142" s="311"/>
      <c r="AL142" s="337"/>
      <c r="AM142" s="311"/>
      <c r="AN142" s="311"/>
      <c r="AO142" s="380"/>
      <c r="AP142" s="311"/>
      <c r="AQ142" s="311"/>
      <c r="AR142" s="311"/>
      <c r="AS142" s="311"/>
      <c r="AT142" s="311"/>
      <c r="AU142" s="311"/>
      <c r="AV142" s="311"/>
      <c r="AW142" s="311"/>
      <c r="AX142" s="352"/>
      <c r="AY142" s="352"/>
      <c r="AZ142" s="352"/>
      <c r="BA142" s="352"/>
      <c r="BB142" s="352"/>
      <c r="BC142" s="352"/>
      <c r="BD142" s="352"/>
      <c r="BE142" s="352"/>
      <c r="BF142" s="311"/>
      <c r="BG142" s="311"/>
      <c r="BH142" s="311"/>
      <c r="BI142" s="311"/>
      <c r="BJ142" s="311"/>
      <c r="BK142" s="311"/>
      <c r="BL142" s="311"/>
      <c r="BM142" s="311"/>
      <c r="BN142" s="311"/>
      <c r="BO142" s="311"/>
      <c r="BP142" s="311"/>
      <c r="BQ142" s="311"/>
      <c r="BR142" s="374">
        <f t="shared" si="422"/>
        <v>0</v>
      </c>
    </row>
    <row r="143" spans="1:71" ht="14.45" customHeight="1" x14ac:dyDescent="0.25">
      <c r="A143" s="385" t="s">
        <v>144</v>
      </c>
      <c r="B143" s="486"/>
      <c r="C143" s="386"/>
      <c r="D143" s="388">
        <v>20500</v>
      </c>
      <c r="E143" s="386"/>
      <c r="F143" s="372"/>
      <c r="G143" s="372">
        <v>1000</v>
      </c>
      <c r="H143" s="372">
        <v>0</v>
      </c>
      <c r="I143" s="372">
        <v>1672.1</v>
      </c>
      <c r="J143" s="372">
        <v>0</v>
      </c>
      <c r="K143" s="372">
        <v>0</v>
      </c>
      <c r="L143" s="372">
        <v>0</v>
      </c>
      <c r="M143" s="372">
        <v>0</v>
      </c>
      <c r="N143" s="372">
        <v>0</v>
      </c>
      <c r="O143" s="372">
        <v>0</v>
      </c>
      <c r="P143" s="372">
        <v>0</v>
      </c>
      <c r="Q143" s="372">
        <v>0</v>
      </c>
      <c r="R143" s="372">
        <v>2500</v>
      </c>
      <c r="S143" s="372">
        <v>2269.38</v>
      </c>
      <c r="T143" s="372">
        <f>2000</f>
        <v>2000</v>
      </c>
      <c r="U143" s="372">
        <f>3000-1672.1</f>
        <v>1327.9</v>
      </c>
      <c r="V143" s="372">
        <v>0</v>
      </c>
      <c r="W143" s="372">
        <v>0</v>
      </c>
      <c r="X143" s="372">
        <v>10000</v>
      </c>
      <c r="Y143" s="372"/>
      <c r="Z143" s="372">
        <f>SUM(F143:Y143)</f>
        <v>20769.379999999997</v>
      </c>
      <c r="AA143" s="386"/>
      <c r="AB143" s="386"/>
      <c r="AC143" s="388">
        <f t="shared" ref="AC143:AC145" si="1060">F143</f>
        <v>0</v>
      </c>
      <c r="AD143" s="373">
        <f t="shared" ref="AD143:AD145" si="1061">G143</f>
        <v>1000</v>
      </c>
      <c r="AE143" s="388">
        <f t="shared" ref="AE143:AE145" si="1062">H143</f>
        <v>0</v>
      </c>
      <c r="AF143" s="388">
        <f t="shared" ref="AF143:AF145" si="1063">I143</f>
        <v>1672.1</v>
      </c>
      <c r="AG143" s="388">
        <f t="shared" ref="AG143:AG145" si="1064">J143</f>
        <v>0</v>
      </c>
      <c r="AH143" s="388">
        <f t="shared" ref="AH143:AH145" si="1065">K143</f>
        <v>0</v>
      </c>
      <c r="AI143" s="388">
        <f t="shared" ref="AI143:AI145" si="1066">L143</f>
        <v>0</v>
      </c>
      <c r="AJ143" s="372">
        <f t="shared" ref="AJ143:AJ145" si="1067">M143</f>
        <v>0</v>
      </c>
      <c r="AK143" s="372">
        <f>N143</f>
        <v>0</v>
      </c>
      <c r="AL143" s="373">
        <f t="shared" ref="AL143" si="1068">O143</f>
        <v>0</v>
      </c>
      <c r="AM143" s="388">
        <f t="shared" ref="AM143:AM145" si="1069">P143</f>
        <v>0</v>
      </c>
      <c r="AN143" s="490">
        <f t="shared" ref="AN143:AN145" si="1070">Q143</f>
        <v>0</v>
      </c>
      <c r="AO143" s="388">
        <f t="shared" ref="AO143" si="1071">R143</f>
        <v>2500</v>
      </c>
      <c r="AP143" s="388">
        <f t="shared" ref="AP143" si="1072">S143</f>
        <v>2269.38</v>
      </c>
      <c r="AQ143" s="388">
        <f t="shared" ref="AQ143:AQ145" si="1073">T143</f>
        <v>2000</v>
      </c>
      <c r="AR143" s="388">
        <f>U143</f>
        <v>1327.9</v>
      </c>
      <c r="AS143" s="388">
        <f t="shared" ref="AS143:AS145" si="1074">V143</f>
        <v>0</v>
      </c>
      <c r="AT143" s="388">
        <f t="shared" ref="AT143:AT145" si="1075">W143</f>
        <v>0</v>
      </c>
      <c r="AU143" s="388">
        <f t="shared" ref="AU143:AU145" si="1076">X143</f>
        <v>10000</v>
      </c>
      <c r="AV143" s="388"/>
      <c r="AW143" s="388"/>
      <c r="AX143" s="388">
        <f t="shared" ref="AX143:BL145" si="1077">AC143</f>
        <v>0</v>
      </c>
      <c r="AY143" s="388">
        <f t="shared" si="1077"/>
        <v>1000</v>
      </c>
      <c r="AZ143" s="388">
        <f t="shared" si="1077"/>
        <v>0</v>
      </c>
      <c r="BA143" s="388">
        <f t="shared" si="1077"/>
        <v>1672.1</v>
      </c>
      <c r="BB143" s="388">
        <f t="shared" si="1077"/>
        <v>0</v>
      </c>
      <c r="BC143" s="388">
        <f t="shared" si="1077"/>
        <v>0</v>
      </c>
      <c r="BD143" s="388">
        <f t="shared" si="1077"/>
        <v>0</v>
      </c>
      <c r="BE143" s="388">
        <f t="shared" si="1077"/>
        <v>0</v>
      </c>
      <c r="BF143" s="388">
        <f t="shared" si="1077"/>
        <v>0</v>
      </c>
      <c r="BG143" s="388">
        <f t="shared" si="1077"/>
        <v>0</v>
      </c>
      <c r="BH143" s="388">
        <f t="shared" si="1077"/>
        <v>0</v>
      </c>
      <c r="BI143" s="388">
        <f t="shared" si="1077"/>
        <v>0</v>
      </c>
      <c r="BJ143" s="388">
        <f t="shared" si="1077"/>
        <v>2500</v>
      </c>
      <c r="BK143" s="388">
        <f t="shared" si="1077"/>
        <v>2269.38</v>
      </c>
      <c r="BL143" s="388">
        <f t="shared" si="1077"/>
        <v>2000</v>
      </c>
      <c r="BM143" s="388">
        <f t="shared" ref="BM143:BM145" si="1078">AR143</f>
        <v>1327.9</v>
      </c>
      <c r="BN143" s="388">
        <f t="shared" ref="BN143:BN145" si="1079">AS143</f>
        <v>0</v>
      </c>
      <c r="BO143" s="388">
        <f t="shared" ref="BO143:BO145" si="1080">AT143</f>
        <v>0</v>
      </c>
      <c r="BP143" s="388">
        <f t="shared" ref="BP143:BQ145" si="1081">AU143</f>
        <v>10000</v>
      </c>
      <c r="BQ143" s="388">
        <f t="shared" si="1081"/>
        <v>0</v>
      </c>
      <c r="BR143" s="389">
        <f t="shared" si="422"/>
        <v>0</v>
      </c>
    </row>
    <row r="144" spans="1:71" s="288" customFormat="1" ht="14.45" customHeight="1" x14ac:dyDescent="0.25">
      <c r="A144" s="385" t="s">
        <v>144</v>
      </c>
      <c r="B144" s="486"/>
      <c r="C144" s="386"/>
      <c r="D144" s="388">
        <v>3200</v>
      </c>
      <c r="E144" s="386" t="s">
        <v>259</v>
      </c>
      <c r="F144" s="390"/>
      <c r="G144" s="390">
        <v>0</v>
      </c>
      <c r="H144" s="390">
        <v>0</v>
      </c>
      <c r="I144" s="390">
        <v>0</v>
      </c>
      <c r="J144" s="391"/>
      <c r="K144" s="391"/>
      <c r="L144" s="391">
        <v>0</v>
      </c>
      <c r="M144" s="391">
        <v>0</v>
      </c>
      <c r="N144" s="391">
        <v>0</v>
      </c>
      <c r="O144" s="481">
        <v>0</v>
      </c>
      <c r="P144" s="391"/>
      <c r="Q144" s="391"/>
      <c r="R144" s="391"/>
      <c r="S144" s="482">
        <v>1</v>
      </c>
      <c r="T144" s="391"/>
      <c r="U144" s="391"/>
      <c r="V144" s="391"/>
      <c r="W144" s="391"/>
      <c r="X144" s="391"/>
      <c r="Y144" s="391"/>
      <c r="Z144" s="387">
        <f>SUM(F144:Y144)</f>
        <v>1</v>
      </c>
      <c r="AA144" s="386"/>
      <c r="AB144" s="386"/>
      <c r="AC144" s="388">
        <f t="shared" ref="AC144" si="1082">F144*$D144</f>
        <v>0</v>
      </c>
      <c r="AD144" s="373">
        <f t="shared" ref="AD144" si="1083">G144*$D144</f>
        <v>0</v>
      </c>
      <c r="AE144" s="388">
        <f t="shared" ref="AE144" si="1084">H144*$D144</f>
        <v>0</v>
      </c>
      <c r="AF144" s="388">
        <f t="shared" ref="AF144" si="1085">I144*$D144</f>
        <v>0</v>
      </c>
      <c r="AG144" s="388">
        <f t="shared" ref="AG144" si="1086">J144*$D144</f>
        <v>0</v>
      </c>
      <c r="AH144" s="388">
        <f t="shared" ref="AH144" si="1087">K144*$D144</f>
        <v>0</v>
      </c>
      <c r="AI144" s="388">
        <f t="shared" ref="AI144" si="1088">L144*$D144</f>
        <v>0</v>
      </c>
      <c r="AJ144" s="388">
        <f t="shared" ref="AJ144" si="1089">M144*$D144</f>
        <v>0</v>
      </c>
      <c r="AK144" s="372">
        <f t="shared" ref="AK144" si="1090">N144*$D144</f>
        <v>0</v>
      </c>
      <c r="AL144" s="373">
        <f t="shared" ref="AL144" si="1091">O144*$D144</f>
        <v>0</v>
      </c>
      <c r="AM144" s="388">
        <f t="shared" ref="AM144" si="1092">P144*$D144</f>
        <v>0</v>
      </c>
      <c r="AN144" s="373">
        <f t="shared" ref="AN144" si="1093">Q144*$D144</f>
        <v>0</v>
      </c>
      <c r="AO144" s="388">
        <f t="shared" ref="AO144" si="1094">R144*$D144</f>
        <v>0</v>
      </c>
      <c r="AP144" s="388">
        <f t="shared" ref="AP144" si="1095">S144*$D144</f>
        <v>3200</v>
      </c>
      <c r="AQ144" s="388">
        <f t="shared" ref="AQ144" si="1096">T144*$D144</f>
        <v>0</v>
      </c>
      <c r="AR144" s="388">
        <f t="shared" ref="AR144" si="1097">U144*$D144</f>
        <v>0</v>
      </c>
      <c r="AS144" s="388">
        <f t="shared" ref="AS144" si="1098">V144*$D144</f>
        <v>0</v>
      </c>
      <c r="AT144" s="388">
        <f t="shared" ref="AT144" si="1099">W144*$D144</f>
        <v>0</v>
      </c>
      <c r="AU144" s="388">
        <f t="shared" ref="AU144" si="1100">X144*$D144</f>
        <v>0</v>
      </c>
      <c r="AV144" s="388"/>
      <c r="AW144" s="388"/>
      <c r="AX144" s="388">
        <f t="shared" ref="AX144:BQ144" si="1101">IF(AX$3=$E144,$D144,0)</f>
        <v>0</v>
      </c>
      <c r="AY144" s="388">
        <f t="shared" si="1101"/>
        <v>0</v>
      </c>
      <c r="AZ144" s="388">
        <f t="shared" si="1101"/>
        <v>0</v>
      </c>
      <c r="BA144" s="388">
        <f t="shared" si="1101"/>
        <v>0</v>
      </c>
      <c r="BB144" s="388">
        <f t="shared" si="1101"/>
        <v>0</v>
      </c>
      <c r="BC144" s="388">
        <f t="shared" si="1101"/>
        <v>0</v>
      </c>
      <c r="BD144" s="388">
        <f t="shared" si="1101"/>
        <v>0</v>
      </c>
      <c r="BE144" s="388">
        <f t="shared" si="1101"/>
        <v>0</v>
      </c>
      <c r="BF144" s="388">
        <f t="shared" si="1101"/>
        <v>0</v>
      </c>
      <c r="BG144" s="388">
        <f t="shared" si="1101"/>
        <v>0</v>
      </c>
      <c r="BH144" s="388">
        <f t="shared" si="1101"/>
        <v>0</v>
      </c>
      <c r="BI144" s="388">
        <f t="shared" si="1101"/>
        <v>0</v>
      </c>
      <c r="BJ144" s="388">
        <f t="shared" si="1101"/>
        <v>3200</v>
      </c>
      <c r="BK144" s="388">
        <f t="shared" si="1101"/>
        <v>0</v>
      </c>
      <c r="BL144" s="388">
        <f t="shared" si="1101"/>
        <v>0</v>
      </c>
      <c r="BM144" s="388">
        <f t="shared" si="1101"/>
        <v>0</v>
      </c>
      <c r="BN144" s="388">
        <f t="shared" si="1101"/>
        <v>0</v>
      </c>
      <c r="BO144" s="388">
        <f t="shared" si="1101"/>
        <v>0</v>
      </c>
      <c r="BP144" s="388">
        <f t="shared" si="1101"/>
        <v>0</v>
      </c>
      <c r="BQ144" s="388">
        <f t="shared" si="1101"/>
        <v>0</v>
      </c>
      <c r="BR144" s="389">
        <f t="shared" ref="BR144" si="1102">SUM(AC144:AV144)-SUM(AX144:BQ144)</f>
        <v>0</v>
      </c>
    </row>
    <row r="145" spans="1:70" ht="14.45" customHeight="1" x14ac:dyDescent="0.25">
      <c r="A145" s="385" t="s">
        <v>142</v>
      </c>
      <c r="B145" s="486"/>
      <c r="C145" s="386"/>
      <c r="D145" s="372">
        <v>78000</v>
      </c>
      <c r="E145" s="491"/>
      <c r="F145" s="492">
        <v>0</v>
      </c>
      <c r="G145" s="492">
        <v>0</v>
      </c>
      <c r="H145" s="492">
        <v>573.21</v>
      </c>
      <c r="I145" s="492">
        <v>2945.2999999999997</v>
      </c>
      <c r="J145" s="492">
        <v>276.14</v>
      </c>
      <c r="K145" s="492">
        <v>0</v>
      </c>
      <c r="L145" s="492">
        <v>2619.6499999999996</v>
      </c>
      <c r="M145" s="492">
        <v>13337.339999999998</v>
      </c>
      <c r="N145" s="492">
        <v>4226.3999999999996</v>
      </c>
      <c r="O145" s="492">
        <v>3660.32</v>
      </c>
      <c r="P145" s="372">
        <v>161.88</v>
      </c>
      <c r="Q145" s="372">
        <v>632.48</v>
      </c>
      <c r="R145" s="372">
        <v>3382.5899999999997</v>
      </c>
      <c r="S145" s="372">
        <v>12459.14</v>
      </c>
      <c r="T145" s="385">
        <v>12000</v>
      </c>
      <c r="U145" s="385">
        <v>15000</v>
      </c>
      <c r="V145" s="385">
        <v>2000</v>
      </c>
      <c r="W145" s="385">
        <v>2000</v>
      </c>
      <c r="X145" s="385">
        <v>2725.55</v>
      </c>
      <c r="Y145" s="388"/>
      <c r="Z145" s="372">
        <f>SUM(F145:X145)</f>
        <v>78000</v>
      </c>
      <c r="AA145" s="386"/>
      <c r="AB145" s="386"/>
      <c r="AC145" s="493">
        <f t="shared" si="1060"/>
        <v>0</v>
      </c>
      <c r="AD145" s="493">
        <f t="shared" si="1061"/>
        <v>0</v>
      </c>
      <c r="AE145" s="493">
        <f t="shared" si="1062"/>
        <v>573.21</v>
      </c>
      <c r="AF145" s="493">
        <f t="shared" si="1063"/>
        <v>2945.2999999999997</v>
      </c>
      <c r="AG145" s="493">
        <f t="shared" si="1064"/>
        <v>276.14</v>
      </c>
      <c r="AH145" s="493">
        <f t="shared" si="1065"/>
        <v>0</v>
      </c>
      <c r="AI145" s="493">
        <f t="shared" si="1066"/>
        <v>2619.6499999999996</v>
      </c>
      <c r="AJ145" s="492">
        <f t="shared" si="1067"/>
        <v>13337.339999999998</v>
      </c>
      <c r="AK145" s="492">
        <f>N145</f>
        <v>4226.3999999999996</v>
      </c>
      <c r="AL145" s="492">
        <f>O145</f>
        <v>3660.32</v>
      </c>
      <c r="AM145" s="373">
        <f t="shared" si="1069"/>
        <v>161.88</v>
      </c>
      <c r="AN145" s="490">
        <f t="shared" si="1070"/>
        <v>632.48</v>
      </c>
      <c r="AO145" s="388">
        <f>3396.24-13.65</f>
        <v>3382.5899999999997</v>
      </c>
      <c r="AP145" s="388">
        <f>12309.38+79.76+56.35+13.65</f>
        <v>12459.14</v>
      </c>
      <c r="AQ145" s="388">
        <f t="shared" si="1073"/>
        <v>12000</v>
      </c>
      <c r="AR145" s="388">
        <f>U145</f>
        <v>15000</v>
      </c>
      <c r="AS145" s="388">
        <f t="shared" si="1074"/>
        <v>2000</v>
      </c>
      <c r="AT145" s="388">
        <f t="shared" si="1075"/>
        <v>2000</v>
      </c>
      <c r="AU145" s="388">
        <f t="shared" si="1076"/>
        <v>2725.55</v>
      </c>
      <c r="AV145" s="388"/>
      <c r="AW145" s="388"/>
      <c r="AX145" s="373">
        <f t="shared" si="1077"/>
        <v>0</v>
      </c>
      <c r="AY145" s="490">
        <f t="shared" si="1077"/>
        <v>0</v>
      </c>
      <c r="AZ145" s="490">
        <f t="shared" si="1077"/>
        <v>573.21</v>
      </c>
      <c r="BA145" s="490">
        <f t="shared" si="1077"/>
        <v>2945.2999999999997</v>
      </c>
      <c r="BB145" s="490">
        <f t="shared" si="1077"/>
        <v>276.14</v>
      </c>
      <c r="BC145" s="490">
        <f t="shared" si="1077"/>
        <v>0</v>
      </c>
      <c r="BD145" s="490">
        <f>AI145</f>
        <v>2619.6499999999996</v>
      </c>
      <c r="BE145" s="490">
        <f t="shared" si="1077"/>
        <v>13337.339999999998</v>
      </c>
      <c r="BF145" s="490">
        <f t="shared" si="1077"/>
        <v>4226.3999999999996</v>
      </c>
      <c r="BG145" s="490">
        <f t="shared" si="1077"/>
        <v>3660.32</v>
      </c>
      <c r="BH145" s="373">
        <f t="shared" si="1077"/>
        <v>161.88</v>
      </c>
      <c r="BI145" s="388">
        <f t="shared" si="1077"/>
        <v>632.48</v>
      </c>
      <c r="BJ145" s="388">
        <v>4719.59</v>
      </c>
      <c r="BK145" s="489">
        <f>11042.38+79.76</f>
        <v>11122.14</v>
      </c>
      <c r="BL145" s="388">
        <f t="shared" si="1077"/>
        <v>12000</v>
      </c>
      <c r="BM145" s="388">
        <f t="shared" si="1078"/>
        <v>15000</v>
      </c>
      <c r="BN145" s="388">
        <f t="shared" si="1079"/>
        <v>2000</v>
      </c>
      <c r="BO145" s="388">
        <f t="shared" si="1080"/>
        <v>2000</v>
      </c>
      <c r="BP145" s="388">
        <f t="shared" si="1081"/>
        <v>2725.55</v>
      </c>
      <c r="BQ145" s="388">
        <f t="shared" si="1081"/>
        <v>0</v>
      </c>
      <c r="BR145" s="494">
        <f t="shared" si="422"/>
        <v>0</v>
      </c>
    </row>
    <row r="146" spans="1:70" s="238" customFormat="1" ht="14.45" customHeight="1" x14ac:dyDescent="0.25">
      <c r="A146" s="239"/>
      <c r="D146" s="240"/>
      <c r="H146" s="311"/>
      <c r="T146" s="288"/>
      <c r="U146" s="288"/>
      <c r="V146" s="288"/>
      <c r="W146" s="288"/>
      <c r="X146" s="288"/>
      <c r="Z146" s="241"/>
      <c r="AC146" s="235"/>
      <c r="AD146" s="365"/>
      <c r="AE146" s="235"/>
      <c r="AF146" s="235"/>
      <c r="AG146" s="235"/>
      <c r="AH146" s="235"/>
      <c r="AI146" s="235"/>
      <c r="AJ146" s="235"/>
      <c r="AK146" s="235"/>
      <c r="AL146" s="365"/>
      <c r="AM146" s="235"/>
      <c r="AN146" s="235"/>
      <c r="AO146" s="381"/>
      <c r="AP146" s="235"/>
      <c r="AQ146" s="235"/>
      <c r="AS146" s="235"/>
      <c r="AU146" s="235"/>
      <c r="AV146" s="235"/>
      <c r="BR146" s="374">
        <f t="shared" si="422"/>
        <v>0</v>
      </c>
    </row>
    <row r="147" spans="1:70" ht="14.45" customHeight="1" x14ac:dyDescent="0.25">
      <c r="A147" s="238"/>
      <c r="B147" s="246"/>
      <c r="C147" s="238"/>
      <c r="D147" s="245">
        <f>SUM(D4:D145)</f>
        <v>24511507.4375</v>
      </c>
      <c r="E147" s="246"/>
      <c r="F147" s="246"/>
      <c r="G147" s="246"/>
      <c r="H147" s="311"/>
      <c r="I147" s="246"/>
      <c r="J147" s="246"/>
      <c r="K147" s="246"/>
      <c r="L147" s="246"/>
      <c r="M147" s="246"/>
      <c r="N147" s="246"/>
      <c r="O147" s="246"/>
      <c r="P147" s="246"/>
      <c r="Q147" s="246"/>
      <c r="R147" s="246"/>
      <c r="S147" s="238"/>
      <c r="T147" s="288"/>
      <c r="Y147" s="330"/>
      <c r="Z147" s="246"/>
      <c r="AA147" s="238"/>
      <c r="AB147" s="238"/>
      <c r="AC147" s="235" t="s">
        <v>102</v>
      </c>
      <c r="AD147" s="365"/>
      <c r="AE147" s="238"/>
      <c r="AF147" s="238"/>
      <c r="AG147" s="238"/>
      <c r="AH147" s="238"/>
      <c r="AI147" s="238"/>
      <c r="AJ147" s="238"/>
      <c r="AK147" s="238"/>
      <c r="AL147" s="365"/>
      <c r="AM147" s="238"/>
      <c r="AN147" s="238"/>
      <c r="AO147" s="382"/>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374">
        <f t="shared" si="422"/>
        <v>0</v>
      </c>
    </row>
    <row r="148" spans="1:70" ht="14.45" customHeight="1" x14ac:dyDescent="0.25">
      <c r="A148" s="238"/>
      <c r="B148" s="238"/>
      <c r="C148" s="238"/>
      <c r="D148" s="245"/>
      <c r="E148" s="246"/>
      <c r="F148" s="246"/>
      <c r="G148" s="246"/>
      <c r="H148" s="311"/>
      <c r="I148" s="246"/>
      <c r="J148" s="246"/>
      <c r="K148" s="246"/>
      <c r="L148" s="246"/>
      <c r="M148" s="246"/>
      <c r="N148" s="246"/>
      <c r="O148" s="246"/>
      <c r="P148" s="246"/>
      <c r="Q148" s="246"/>
      <c r="R148" s="246"/>
      <c r="S148" s="246"/>
      <c r="T148" s="288"/>
      <c r="Y148" s="246"/>
      <c r="Z148" s="246"/>
      <c r="AA148" s="238"/>
      <c r="AB148" s="238"/>
      <c r="AC148" s="235"/>
      <c r="AD148" s="365"/>
      <c r="AE148" s="238"/>
      <c r="AF148" s="238"/>
      <c r="AG148" s="238"/>
      <c r="AH148" s="238"/>
      <c r="AI148" s="238"/>
      <c r="AJ148" s="238"/>
      <c r="AK148" s="238"/>
      <c r="AL148" s="365"/>
      <c r="AM148" s="238"/>
      <c r="AN148" s="238"/>
      <c r="AO148" s="382"/>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374">
        <f t="shared" si="422"/>
        <v>0</v>
      </c>
    </row>
    <row r="149" spans="1:70" ht="14.45" customHeight="1" x14ac:dyDescent="0.25">
      <c r="A149" s="394" t="s">
        <v>126</v>
      </c>
      <c r="B149" s="528"/>
      <c r="C149" s="528"/>
      <c r="D149" s="395">
        <f>SUMIF($A$4:$A$146,"="&amp;A149,$D$4:$D$146)</f>
        <v>7593016.0899999999</v>
      </c>
      <c r="E149" s="238"/>
      <c r="F149" s="238"/>
      <c r="G149" s="238"/>
      <c r="H149" s="311"/>
      <c r="I149" s="238"/>
      <c r="J149" s="238"/>
      <c r="K149" s="238"/>
      <c r="L149" s="238"/>
      <c r="M149" s="238"/>
      <c r="N149" s="238"/>
      <c r="O149" s="238"/>
      <c r="P149" s="238"/>
      <c r="Q149" s="238"/>
      <c r="R149" s="238"/>
      <c r="S149" s="235"/>
      <c r="T149" s="288"/>
      <c r="Y149" s="238"/>
      <c r="Z149" s="238"/>
      <c r="AA149" s="238"/>
      <c r="AB149" s="238"/>
      <c r="AC149" s="238"/>
      <c r="AD149" s="238"/>
      <c r="AE149" s="238"/>
      <c r="AF149" s="238"/>
      <c r="AG149" s="238"/>
      <c r="AH149" s="238"/>
      <c r="AI149" s="238"/>
      <c r="AJ149" s="238"/>
      <c r="AK149" s="238"/>
      <c r="AL149" s="238"/>
      <c r="AM149" s="238"/>
      <c r="AN149" s="238"/>
      <c r="AO149" s="382"/>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374">
        <f t="shared" si="422"/>
        <v>0</v>
      </c>
    </row>
    <row r="150" spans="1:70" ht="14.45" customHeight="1" x14ac:dyDescent="0.25">
      <c r="A150" s="394" t="s">
        <v>127</v>
      </c>
      <c r="B150" s="528"/>
      <c r="C150" s="528"/>
      <c r="D150" s="400">
        <f>SUMIF($A$4:$A$146,"="&amp;A150,$D$4:$D$146)</f>
        <v>4390617.6500000004</v>
      </c>
      <c r="E150" s="238"/>
      <c r="F150" s="238"/>
      <c r="G150" s="238"/>
      <c r="H150" s="311"/>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c r="AN150" s="238"/>
      <c r="AO150" s="382"/>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374">
        <f t="shared" si="422"/>
        <v>0</v>
      </c>
    </row>
    <row r="151" spans="1:70" ht="14.45" customHeight="1" x14ac:dyDescent="0.25">
      <c r="A151" s="394" t="s">
        <v>129</v>
      </c>
      <c r="B151" s="528"/>
      <c r="C151" s="528"/>
      <c r="D151" s="395">
        <f>SUMIF($A$4:$A$146,"="&amp;A151,$D$4:$D$146)</f>
        <v>4284542.0750000002</v>
      </c>
      <c r="E151" s="238"/>
      <c r="F151" s="238"/>
      <c r="G151" s="238"/>
      <c r="H151" s="311"/>
      <c r="I151" s="238"/>
      <c r="J151" s="238"/>
      <c r="K151" s="238"/>
      <c r="L151" s="238"/>
      <c r="M151" s="238"/>
      <c r="N151" s="238"/>
      <c r="O151" s="238"/>
      <c r="P151" s="238"/>
      <c r="Q151" s="238"/>
      <c r="R151" s="238"/>
      <c r="S151" s="238"/>
      <c r="T151" s="235"/>
      <c r="U151" s="238"/>
      <c r="V151" s="238"/>
      <c r="W151" s="238"/>
      <c r="X151" s="238"/>
      <c r="Y151" s="238"/>
      <c r="Z151" s="238"/>
      <c r="AA151" s="238"/>
      <c r="AB151" s="238"/>
      <c r="AC151" s="365"/>
      <c r="AD151" s="365"/>
      <c r="AE151" s="365"/>
      <c r="AF151" s="365"/>
      <c r="AG151" s="365"/>
      <c r="AH151" s="365"/>
      <c r="AI151" s="365"/>
      <c r="AJ151" s="365"/>
      <c r="AK151" s="365"/>
      <c r="AL151" s="365"/>
      <c r="AM151" s="365"/>
      <c r="AN151" s="365"/>
      <c r="AO151" s="383"/>
      <c r="AP151" s="365"/>
      <c r="AQ151" s="365"/>
      <c r="AR151" s="365"/>
      <c r="AS151" s="365"/>
      <c r="AT151" s="365"/>
      <c r="AU151" s="365"/>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R151" s="374">
        <f t="shared" si="422"/>
        <v>0</v>
      </c>
    </row>
    <row r="152" spans="1:70" ht="14.45" customHeight="1" x14ac:dyDescent="0.25">
      <c r="A152" s="394" t="s">
        <v>130</v>
      </c>
      <c r="B152" s="528"/>
      <c r="C152" s="528"/>
      <c r="D152" s="395">
        <f>SUMIF($A$4:$A$146,"="&amp;A152,$D$4:$D$146)</f>
        <v>2772876.18</v>
      </c>
      <c r="E152" s="238"/>
      <c r="F152" s="238"/>
      <c r="G152" s="238"/>
      <c r="H152" s="311"/>
      <c r="I152" s="238"/>
      <c r="J152" s="238"/>
      <c r="K152" s="238"/>
      <c r="L152" s="238"/>
      <c r="M152" s="238"/>
      <c r="N152" s="238"/>
      <c r="O152" s="238"/>
      <c r="P152" s="238"/>
      <c r="Q152" s="238"/>
      <c r="R152" s="238"/>
      <c r="S152" s="238"/>
      <c r="T152" s="235"/>
      <c r="U152" s="238"/>
      <c r="V152" s="238"/>
      <c r="W152" s="238"/>
      <c r="X152" s="238"/>
      <c r="Y152" s="238"/>
      <c r="Z152" s="238"/>
      <c r="AA152" s="238"/>
      <c r="AB152" s="238"/>
      <c r="AC152" s="238"/>
      <c r="AD152" s="238"/>
      <c r="AE152" s="238"/>
      <c r="AF152" s="238"/>
      <c r="AG152" s="238"/>
      <c r="AH152" s="238"/>
      <c r="AI152" s="238"/>
      <c r="AJ152" s="238"/>
      <c r="AK152" s="238"/>
      <c r="AL152" s="238"/>
      <c r="AM152" s="238"/>
      <c r="AN152" s="238"/>
      <c r="AO152" s="382"/>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374">
        <f t="shared" si="422"/>
        <v>0</v>
      </c>
    </row>
    <row r="153" spans="1:70" ht="14.45" customHeight="1" x14ac:dyDescent="0.25">
      <c r="A153" s="394" t="s">
        <v>131</v>
      </c>
      <c r="B153" s="528"/>
      <c r="C153" s="528"/>
      <c r="D153" s="395">
        <f>SUMIF($A$4:$A$146,"="&amp;A153,$D$4:$D$146)</f>
        <v>324793.87750000006</v>
      </c>
      <c r="E153" s="238"/>
      <c r="F153" s="238"/>
      <c r="G153" s="238"/>
      <c r="H153" s="311"/>
      <c r="I153" s="238"/>
      <c r="J153" s="238"/>
      <c r="K153" s="238"/>
      <c r="L153" s="238"/>
      <c r="M153" s="238"/>
      <c r="N153" s="238"/>
      <c r="O153" s="238"/>
      <c r="P153" s="238"/>
      <c r="Q153" s="238"/>
      <c r="R153" s="238"/>
      <c r="S153" s="238"/>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382"/>
      <c r="AP153" s="238"/>
      <c r="AQ153" s="238"/>
      <c r="AR153" s="238"/>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R153" s="374">
        <f t="shared" si="422"/>
        <v>0</v>
      </c>
    </row>
    <row r="154" spans="1:70" s="288" customFormat="1" ht="14.45" customHeight="1" x14ac:dyDescent="0.25">
      <c r="A154" s="238"/>
      <c r="B154" s="375"/>
      <c r="C154" s="375"/>
      <c r="D154" s="376">
        <f>SUM(D149:D153)</f>
        <v>19365845.872500002</v>
      </c>
      <c r="E154" s="325"/>
      <c r="F154" s="235"/>
      <c r="G154" s="238"/>
      <c r="H154" s="311"/>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365"/>
      <c r="AE154" s="238"/>
      <c r="AF154" s="238"/>
      <c r="AG154" s="238"/>
      <c r="AH154" s="238"/>
      <c r="AI154" s="238"/>
      <c r="AJ154" s="238"/>
      <c r="AK154" s="238"/>
      <c r="AL154" s="365"/>
      <c r="AM154" s="238"/>
      <c r="AN154" s="238"/>
      <c r="AO154" s="382"/>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R154" s="374">
        <f t="shared" si="422"/>
        <v>0</v>
      </c>
    </row>
    <row r="155" spans="1:70" ht="15" customHeight="1" x14ac:dyDescent="0.25">
      <c r="A155" s="394" t="s">
        <v>133</v>
      </c>
      <c r="B155" s="528"/>
      <c r="C155" s="528"/>
      <c r="D155" s="395">
        <f>SUMIF($A$4:$A$146,"="&amp;A155,$D$4:$D$146)</f>
        <v>724988.85</v>
      </c>
      <c r="E155" s="238"/>
      <c r="F155" s="238"/>
      <c r="G155" s="238"/>
      <c r="H155" s="311"/>
      <c r="I155" s="238"/>
      <c r="J155" s="238"/>
      <c r="K155" s="238"/>
      <c r="L155" s="238"/>
      <c r="M155" s="238"/>
      <c r="N155" s="238"/>
      <c r="O155" s="238"/>
      <c r="P155" s="238"/>
      <c r="Q155" s="238"/>
      <c r="R155" s="238"/>
      <c r="S155" s="238"/>
      <c r="T155" s="238"/>
      <c r="U155" s="238"/>
      <c r="V155" s="238"/>
      <c r="W155" s="238"/>
      <c r="X155" s="238"/>
      <c r="Y155" s="238"/>
      <c r="Z155" s="238"/>
      <c r="AA155" s="238"/>
      <c r="AB155" s="238"/>
      <c r="AC155" s="238"/>
      <c r="AD155" s="238"/>
      <c r="AE155" s="238"/>
      <c r="AF155" s="238"/>
      <c r="AG155" s="238"/>
      <c r="AH155" s="238"/>
      <c r="AI155" s="238"/>
      <c r="AJ155" s="238"/>
      <c r="AK155" s="238"/>
      <c r="AL155" s="238"/>
      <c r="AM155" s="238"/>
      <c r="AN155" s="238"/>
      <c r="AO155" s="382"/>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R155" s="374">
        <f t="shared" ref="BR155:BR171" si="1103">SUM(AC155:AV155)-SUM(AX155:BQ155)</f>
        <v>0</v>
      </c>
    </row>
    <row r="156" spans="1:70" s="288" customFormat="1" ht="14.45" customHeight="1" x14ac:dyDescent="0.25">
      <c r="A156" s="238"/>
      <c r="B156" s="375"/>
      <c r="C156" s="375"/>
      <c r="D156" s="377">
        <f>D155</f>
        <v>724988.85</v>
      </c>
      <c r="E156" s="325">
        <f>'QFR - B'!H20</f>
        <v>800000</v>
      </c>
      <c r="F156" s="235">
        <f>E156-D156</f>
        <v>75011.150000000023</v>
      </c>
      <c r="G156" s="238"/>
      <c r="H156" s="311"/>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365"/>
      <c r="AE156" s="238"/>
      <c r="AF156" s="238"/>
      <c r="AG156" s="238"/>
      <c r="AH156" s="238"/>
      <c r="AI156" s="238"/>
      <c r="AJ156" s="238"/>
      <c r="AK156" s="238"/>
      <c r="AL156" s="365"/>
      <c r="AM156" s="238"/>
      <c r="AN156" s="238"/>
      <c r="AO156" s="382"/>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374">
        <f t="shared" si="1103"/>
        <v>0</v>
      </c>
    </row>
    <row r="157" spans="1:70" ht="14.45" customHeight="1" x14ac:dyDescent="0.25">
      <c r="A157" s="394" t="s">
        <v>134</v>
      </c>
      <c r="B157" s="528"/>
      <c r="C157" s="528"/>
      <c r="D157" s="396">
        <f>SUMIF($A$4:$A$146,"="&amp;A157,$D$4:$D$146)</f>
        <v>696097.67</v>
      </c>
      <c r="E157" s="238"/>
      <c r="F157" s="238"/>
      <c r="G157" s="238"/>
      <c r="H157" s="311"/>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365"/>
      <c r="AM157" s="238"/>
      <c r="AN157" s="238"/>
      <c r="AO157" s="382"/>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374">
        <f t="shared" si="1103"/>
        <v>0</v>
      </c>
    </row>
    <row r="158" spans="1:70" ht="14.45" customHeight="1" x14ac:dyDescent="0.25">
      <c r="A158" s="394" t="s">
        <v>135</v>
      </c>
      <c r="B158" s="528"/>
      <c r="C158" s="528"/>
      <c r="D158" s="396">
        <f>SUMIF($A$4:$A$146,"="&amp;A158,$D$4:$D$146)</f>
        <v>1030229</v>
      </c>
      <c r="E158" s="238"/>
      <c r="F158" s="238"/>
      <c r="G158" s="238"/>
      <c r="H158" s="311"/>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8"/>
      <c r="AE158" s="238"/>
      <c r="AF158" s="238"/>
      <c r="AG158" s="238"/>
      <c r="AH158" s="238"/>
      <c r="AI158" s="238"/>
      <c r="AJ158" s="238"/>
      <c r="AK158" s="238"/>
      <c r="AL158" s="238"/>
      <c r="AM158" s="238"/>
      <c r="AN158" s="238"/>
      <c r="AO158" s="382"/>
      <c r="AP158" s="238"/>
      <c r="AQ158" s="238"/>
      <c r="AR158" s="238"/>
      <c r="AS158" s="238"/>
      <c r="AT158" s="238"/>
      <c r="AU158" s="238"/>
      <c r="AV158" s="238"/>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374">
        <f t="shared" si="1103"/>
        <v>0</v>
      </c>
    </row>
    <row r="159" spans="1:70" s="288" customFormat="1" ht="14.45" customHeight="1" x14ac:dyDescent="0.25">
      <c r="A159" s="238"/>
      <c r="B159" s="375"/>
      <c r="C159" s="375"/>
      <c r="D159" s="377">
        <f>SUM(D157:D158)</f>
        <v>1726326.67</v>
      </c>
      <c r="E159" s="325">
        <f>'QFR - B'!H21</f>
        <v>3560000</v>
      </c>
      <c r="F159" s="235">
        <f>E159-D159</f>
        <v>1833673.33</v>
      </c>
      <c r="G159" s="238"/>
      <c r="H159" s="311"/>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365"/>
      <c r="AE159" s="238"/>
      <c r="AF159" s="238"/>
      <c r="AG159" s="238"/>
      <c r="AH159" s="238"/>
      <c r="AI159" s="238"/>
      <c r="AJ159" s="238"/>
      <c r="AK159" s="238"/>
      <c r="AL159" s="365"/>
      <c r="AM159" s="238"/>
      <c r="AN159" s="238"/>
      <c r="AO159" s="382"/>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374">
        <f t="shared" si="1103"/>
        <v>0</v>
      </c>
    </row>
    <row r="160" spans="1:70" ht="14.45" customHeight="1" x14ac:dyDescent="0.25">
      <c r="A160" s="394" t="s">
        <v>137</v>
      </c>
      <c r="B160" s="528"/>
      <c r="C160" s="528"/>
      <c r="D160" s="396">
        <f>SUMIF($A$4:$A$146,"="&amp;A160,$D$4:$D$146)</f>
        <v>766366.82000000007</v>
      </c>
      <c r="E160" s="238"/>
      <c r="F160" s="238"/>
      <c r="G160" s="238"/>
      <c r="H160" s="311"/>
      <c r="I160" s="238"/>
      <c r="J160" s="238"/>
      <c r="K160" s="238"/>
      <c r="L160" s="238"/>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365"/>
      <c r="AI160" s="238"/>
      <c r="AJ160" s="238"/>
      <c r="AK160" s="238"/>
      <c r="AL160" s="238"/>
      <c r="AM160" s="238"/>
      <c r="AN160" s="238"/>
      <c r="AO160" s="382"/>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374">
        <f t="shared" si="1103"/>
        <v>0</v>
      </c>
    </row>
    <row r="161" spans="1:70" ht="14.45" customHeight="1" x14ac:dyDescent="0.25">
      <c r="A161" s="394" t="s">
        <v>138</v>
      </c>
      <c r="B161" s="528"/>
      <c r="C161" s="528"/>
      <c r="D161" s="396">
        <f>SUMIF($A$4:$A$146,"="&amp;A161,$D$4:$D$146)</f>
        <v>0</v>
      </c>
      <c r="E161" s="238"/>
      <c r="F161" s="238"/>
      <c r="G161" s="238"/>
      <c r="H161" s="311"/>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8"/>
      <c r="AJ161" s="238"/>
      <c r="AK161" s="238"/>
      <c r="AL161" s="238"/>
      <c r="AM161" s="238"/>
      <c r="AN161" s="238"/>
      <c r="AO161" s="382"/>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374">
        <f t="shared" si="1103"/>
        <v>0</v>
      </c>
    </row>
    <row r="162" spans="1:70" ht="14.45" customHeight="1" x14ac:dyDescent="0.25">
      <c r="A162" s="394" t="s">
        <v>139</v>
      </c>
      <c r="B162" s="528"/>
      <c r="C162" s="528"/>
      <c r="D162" s="396">
        <f>SUMIF($A$4:$A$146,"="&amp;A162,$D$4:$D$146)</f>
        <v>0</v>
      </c>
      <c r="E162" s="238"/>
      <c r="F162" s="238"/>
      <c r="G162" s="238"/>
      <c r="H162" s="311"/>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382"/>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374">
        <f t="shared" si="1103"/>
        <v>0</v>
      </c>
    </row>
    <row r="163" spans="1:70" ht="14.45" customHeight="1" x14ac:dyDescent="0.25">
      <c r="A163" s="394" t="s">
        <v>140</v>
      </c>
      <c r="B163" s="528"/>
      <c r="C163" s="528"/>
      <c r="D163" s="395">
        <f>SUMIF($A$4:$A$146,"="&amp;A163,$D$4:$D$146)</f>
        <v>623737.07999999996</v>
      </c>
      <c r="E163" s="238"/>
      <c r="F163" s="238"/>
      <c r="G163" s="238"/>
      <c r="H163" s="311"/>
      <c r="I163" s="238"/>
      <c r="J163" s="238"/>
      <c r="K163" s="238"/>
      <c r="L163" s="238"/>
      <c r="M163" s="238"/>
      <c r="N163" s="238"/>
      <c r="O163" s="238"/>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382"/>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374">
        <f t="shared" si="1103"/>
        <v>0</v>
      </c>
    </row>
    <row r="164" spans="1:70" s="288" customFormat="1" ht="14.45" customHeight="1" x14ac:dyDescent="0.25">
      <c r="A164" s="238"/>
      <c r="B164" s="375"/>
      <c r="C164" s="375"/>
      <c r="D164" s="377">
        <f>SUM(D160:D163)</f>
        <v>1390103.9</v>
      </c>
      <c r="E164" s="325">
        <f>'QFR - B'!H24</f>
        <v>1431000</v>
      </c>
      <c r="F164" s="235">
        <f>E164-D164</f>
        <v>40896.100000000093</v>
      </c>
      <c r="G164" s="238"/>
      <c r="H164" s="311"/>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365"/>
      <c r="AE164" s="238"/>
      <c r="AF164" s="238"/>
      <c r="AG164" s="238"/>
      <c r="AH164" s="238"/>
      <c r="AI164" s="238"/>
      <c r="AJ164" s="238"/>
      <c r="AK164" s="238"/>
      <c r="AL164" s="365"/>
      <c r="AM164" s="238"/>
      <c r="AN164" s="238"/>
      <c r="AO164" s="382"/>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374">
        <f t="shared" si="1103"/>
        <v>0</v>
      </c>
    </row>
    <row r="165" spans="1:70" ht="14.45" customHeight="1" x14ac:dyDescent="0.25">
      <c r="A165" s="394" t="s">
        <v>141</v>
      </c>
      <c r="B165" s="528"/>
      <c r="C165" s="528"/>
      <c r="D165" s="396">
        <f>SUMIF($A$4:$A$146,"="&amp;A165,$D$4:$D$146)</f>
        <v>950528.40500000003</v>
      </c>
      <c r="E165" s="238"/>
      <c r="F165" s="238"/>
      <c r="G165" s="238"/>
      <c r="H165" s="311"/>
      <c r="I165" s="238"/>
      <c r="J165" s="238"/>
      <c r="K165" s="238"/>
      <c r="L165" s="238"/>
      <c r="M165" s="238"/>
      <c r="N165" s="238"/>
      <c r="O165" s="238"/>
      <c r="P165" s="238"/>
      <c r="Q165" s="238"/>
      <c r="R165" s="238"/>
      <c r="S165" s="238"/>
      <c r="T165" s="238"/>
      <c r="U165" s="238"/>
      <c r="V165" s="238"/>
      <c r="W165" s="238"/>
      <c r="X165" s="238"/>
      <c r="Y165" s="238"/>
      <c r="Z165" s="238"/>
      <c r="AA165" s="238"/>
      <c r="AB165" s="238"/>
      <c r="AC165" s="238"/>
      <c r="AD165" s="238"/>
      <c r="AE165" s="238"/>
      <c r="AF165" s="238"/>
      <c r="AG165" s="238"/>
      <c r="AH165" s="238"/>
      <c r="AI165" s="238"/>
      <c r="AJ165" s="238"/>
      <c r="AK165" s="238"/>
      <c r="AL165" s="238"/>
      <c r="AM165" s="238"/>
      <c r="AN165" s="238"/>
      <c r="AO165" s="382"/>
      <c r="AP165" s="238"/>
      <c r="AQ165" s="238"/>
      <c r="AR165" s="238"/>
      <c r="AS165" s="238"/>
      <c r="AT165" s="238"/>
      <c r="AU165" s="238"/>
      <c r="AV165" s="238"/>
      <c r="AW165" s="238"/>
      <c r="AX165" s="238"/>
      <c r="AY165" s="238"/>
      <c r="AZ165" s="238"/>
      <c r="BA165" s="238"/>
      <c r="BB165" s="238"/>
      <c r="BC165" s="238"/>
      <c r="BD165" s="238"/>
      <c r="BE165" s="365"/>
      <c r="BF165" s="238"/>
      <c r="BG165" s="238"/>
      <c r="BH165" s="238"/>
      <c r="BI165" s="238"/>
      <c r="BJ165" s="238"/>
      <c r="BK165" s="238"/>
      <c r="BL165" s="365"/>
      <c r="BM165" s="238"/>
      <c r="BN165" s="238"/>
      <c r="BO165" s="238"/>
      <c r="BP165" s="238"/>
      <c r="BQ165" s="238"/>
      <c r="BR165" s="374">
        <f t="shared" si="1103"/>
        <v>0</v>
      </c>
    </row>
    <row r="166" spans="1:70" ht="14.45" customHeight="1" x14ac:dyDescent="0.25">
      <c r="A166" s="394" t="s">
        <v>142</v>
      </c>
      <c r="B166" s="528"/>
      <c r="C166" s="528"/>
      <c r="D166" s="396">
        <f>SUMIF($A$4:$A$146,"="&amp;A166,$D$4:$D$146)</f>
        <v>78000</v>
      </c>
      <c r="E166" s="238"/>
      <c r="F166" s="238"/>
      <c r="G166" s="238"/>
      <c r="H166" s="311"/>
      <c r="I166" s="238"/>
      <c r="J166" s="238"/>
      <c r="K166" s="238"/>
      <c r="L166" s="238"/>
      <c r="M166" s="238"/>
      <c r="N166" s="238"/>
      <c r="O166" s="238"/>
      <c r="P166" s="238"/>
      <c r="Q166" s="238"/>
      <c r="R166" s="238"/>
      <c r="S166" s="238"/>
      <c r="T166" s="238"/>
      <c r="U166" s="238"/>
      <c r="V166" s="238"/>
      <c r="W166" s="238"/>
      <c r="X166" s="238"/>
      <c r="Y166" s="238"/>
      <c r="Z166" s="238"/>
      <c r="AA166" s="238"/>
      <c r="AB166" s="238"/>
      <c r="AC166" s="238"/>
      <c r="AD166" s="238"/>
      <c r="AE166" s="238"/>
      <c r="AF166" s="238"/>
      <c r="AG166" s="238"/>
      <c r="AH166" s="238"/>
      <c r="AI166" s="238"/>
      <c r="AJ166" s="238"/>
      <c r="AK166" s="238"/>
      <c r="AL166" s="238"/>
      <c r="AM166" s="238"/>
      <c r="AN166" s="238"/>
      <c r="AO166" s="382"/>
      <c r="AP166" s="238"/>
      <c r="AQ166" s="238"/>
      <c r="AR166" s="238"/>
      <c r="AS166" s="238"/>
      <c r="AT166" s="238"/>
      <c r="AU166" s="238"/>
      <c r="AV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374">
        <f t="shared" si="1103"/>
        <v>0</v>
      </c>
    </row>
    <row r="167" spans="1:70" ht="14.45" customHeight="1" x14ac:dyDescent="0.25">
      <c r="A167" s="394" t="s">
        <v>143</v>
      </c>
      <c r="B167" s="528"/>
      <c r="C167" s="528"/>
      <c r="D167" s="396">
        <f>SUMIF($A$4:$A$146,"="&amp;A167,$D$4:$D$146)</f>
        <v>120000</v>
      </c>
      <c r="E167" s="238"/>
      <c r="F167" s="238"/>
      <c r="G167" s="238"/>
      <c r="H167" s="311"/>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238"/>
      <c r="AF167" s="238"/>
      <c r="AG167" s="238"/>
      <c r="AH167" s="238"/>
      <c r="AI167" s="238"/>
      <c r="AJ167" s="238"/>
      <c r="AK167" s="238"/>
      <c r="AL167" s="378"/>
      <c r="AM167" s="238"/>
      <c r="AN167" s="238"/>
      <c r="AO167" s="382"/>
      <c r="AP167" s="238"/>
      <c r="AQ167" s="238"/>
      <c r="AR167" s="238"/>
      <c r="AS167" s="238"/>
      <c r="AT167" s="238"/>
      <c r="AU167" s="238"/>
      <c r="AV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374">
        <f t="shared" si="1103"/>
        <v>0</v>
      </c>
    </row>
    <row r="168" spans="1:70" ht="14.45" customHeight="1" x14ac:dyDescent="0.25">
      <c r="A168" s="394" t="s">
        <v>144</v>
      </c>
      <c r="B168" s="528"/>
      <c r="C168" s="528"/>
      <c r="D168" s="396">
        <f>SUMIF($A$4:$A$146,"="&amp;A168,$D$4:$D$146)</f>
        <v>114123.9</v>
      </c>
      <c r="E168" s="238"/>
      <c r="F168" s="238"/>
      <c r="G168" s="238"/>
      <c r="H168" s="311"/>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365"/>
      <c r="AE168" s="238"/>
      <c r="AF168" s="238"/>
      <c r="AG168" s="238"/>
      <c r="AH168" s="238"/>
      <c r="AI168" s="238"/>
      <c r="AJ168" s="238"/>
      <c r="AK168" s="238"/>
      <c r="AL168" s="365"/>
      <c r="AM168" s="238"/>
      <c r="AN168" s="238"/>
      <c r="AO168" s="382"/>
      <c r="AP168" s="238"/>
      <c r="AQ168" s="238"/>
      <c r="AR168" s="238"/>
      <c r="AS168" s="238"/>
      <c r="AT168" s="238"/>
      <c r="AU168" s="238"/>
      <c r="AV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374">
        <f t="shared" si="1103"/>
        <v>0</v>
      </c>
    </row>
    <row r="169" spans="1:70" s="288" customFormat="1" ht="14.45" customHeight="1" x14ac:dyDescent="0.25">
      <c r="A169" s="238"/>
      <c r="B169" s="375"/>
      <c r="C169" s="375"/>
      <c r="D169" s="377">
        <f>SUM(D165:D168)</f>
        <v>1262652.3049999999</v>
      </c>
      <c r="E169" s="325">
        <f>'QFR - B'!H27</f>
        <v>1060500</v>
      </c>
      <c r="F169" s="235">
        <f>E169-D169</f>
        <v>-202152.30499999993</v>
      </c>
      <c r="G169" s="238"/>
      <c r="H169" s="311"/>
      <c r="I169" s="238"/>
      <c r="J169" s="238"/>
      <c r="K169" s="238"/>
      <c r="L169" s="238"/>
      <c r="M169" s="238"/>
      <c r="N169" s="238"/>
      <c r="O169" s="238"/>
      <c r="P169" s="238"/>
      <c r="Q169" s="238"/>
      <c r="R169" s="238"/>
      <c r="S169" s="238"/>
      <c r="T169" s="238"/>
      <c r="U169" s="238"/>
      <c r="V169" s="238"/>
      <c r="W169" s="238"/>
      <c r="X169" s="238"/>
      <c r="Y169" s="238"/>
      <c r="Z169" s="238"/>
      <c r="AA169" s="238"/>
      <c r="AB169" s="238"/>
      <c r="AC169" s="238"/>
      <c r="AD169" s="238"/>
      <c r="AE169" s="238"/>
      <c r="AF169" s="238"/>
      <c r="AG169" s="238"/>
      <c r="AH169" s="238"/>
      <c r="AI169" s="238"/>
      <c r="AJ169" s="238"/>
      <c r="AK169" s="238"/>
      <c r="AL169" s="365"/>
      <c r="AM169" s="238"/>
      <c r="AN169" s="238"/>
      <c r="AO169" s="382"/>
      <c r="AP169" s="238"/>
      <c r="AQ169" s="238"/>
      <c r="AR169" s="238"/>
      <c r="AS169" s="238"/>
      <c r="AT169" s="238"/>
      <c r="AU169" s="238"/>
      <c r="AV169" s="238"/>
      <c r="AW169" s="238"/>
      <c r="AX169" s="238"/>
      <c r="AY169" s="238"/>
      <c r="AZ169" s="238"/>
      <c r="BA169" s="238"/>
      <c r="BB169" s="238"/>
      <c r="BC169" s="238"/>
      <c r="BD169" s="238"/>
      <c r="BE169" s="238"/>
      <c r="BF169" s="238"/>
      <c r="BG169" s="238"/>
      <c r="BH169" s="238"/>
      <c r="BI169" s="238"/>
      <c r="BJ169" s="238"/>
      <c r="BK169" s="238"/>
      <c r="BL169" s="238"/>
      <c r="BM169" s="238"/>
      <c r="BN169" s="238"/>
      <c r="BO169" s="238"/>
      <c r="BP169" s="238"/>
      <c r="BQ169" s="238"/>
      <c r="BR169" s="374">
        <f t="shared" si="1103"/>
        <v>0</v>
      </c>
    </row>
    <row r="170" spans="1:70" ht="8.25" customHeight="1" x14ac:dyDescent="0.25">
      <c r="A170" s="238"/>
      <c r="B170" s="238"/>
      <c r="C170" s="238"/>
      <c r="D170" s="365"/>
      <c r="E170" s="238"/>
      <c r="F170" s="238"/>
      <c r="G170" s="238"/>
      <c r="H170" s="311"/>
      <c r="I170" s="238"/>
      <c r="J170" s="238"/>
      <c r="K170" s="238"/>
      <c r="L170" s="238"/>
      <c r="M170" s="238"/>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365"/>
      <c r="AM170" s="238"/>
      <c r="AN170" s="238"/>
      <c r="AO170" s="382"/>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365"/>
      <c r="BM170" s="238"/>
      <c r="BN170" s="238"/>
      <c r="BO170" s="238"/>
      <c r="BP170" s="238"/>
      <c r="BQ170" s="238"/>
      <c r="BR170" s="374">
        <f t="shared" si="1103"/>
        <v>0</v>
      </c>
    </row>
    <row r="171" spans="1:70" x14ac:dyDescent="0.25">
      <c r="A171" s="238"/>
      <c r="B171" s="238"/>
      <c r="C171" s="238"/>
      <c r="D171" s="365">
        <f t="shared" ref="D171:U171" si="1104">SUBTOTAL(9,D4:D170)</f>
        <v>97962850.070000008</v>
      </c>
      <c r="E171" s="365">
        <f t="shared" si="1104"/>
        <v>6851500</v>
      </c>
      <c r="F171" s="365">
        <f t="shared" si="1104"/>
        <v>1757428.2750000001</v>
      </c>
      <c r="G171" s="365">
        <f t="shared" si="1104"/>
        <v>24587.919961000051</v>
      </c>
      <c r="H171" s="365">
        <f t="shared" si="1104"/>
        <v>42450.041818181817</v>
      </c>
      <c r="I171" s="365">
        <f t="shared" si="1104"/>
        <v>49890.605187728768</v>
      </c>
      <c r="J171" s="365">
        <f t="shared" si="1104"/>
        <v>60364.95046366829</v>
      </c>
      <c r="K171" s="365">
        <f t="shared" si="1104"/>
        <v>62497.259050780995</v>
      </c>
      <c r="L171" s="365">
        <f t="shared" si="1104"/>
        <v>61400.73112057682</v>
      </c>
      <c r="M171" s="365">
        <f t="shared" si="1104"/>
        <v>68058.169318496002</v>
      </c>
      <c r="N171" s="365">
        <f t="shared" si="1104"/>
        <v>72917.146263472678</v>
      </c>
      <c r="O171" s="365">
        <f t="shared" si="1104"/>
        <v>85772.576873468119</v>
      </c>
      <c r="P171" s="365">
        <f t="shared" si="1104"/>
        <v>69900.348599901641</v>
      </c>
      <c r="Q171" s="365">
        <f t="shared" si="1104"/>
        <v>80823.8103107356</v>
      </c>
      <c r="R171" s="365">
        <f t="shared" si="1104"/>
        <v>89131.165231024424</v>
      </c>
      <c r="S171" s="365">
        <f t="shared" si="1104"/>
        <v>102818.08191388918</v>
      </c>
      <c r="T171" s="365">
        <f t="shared" si="1104"/>
        <v>107076.47618797125</v>
      </c>
      <c r="U171" s="365">
        <f t="shared" si="1104"/>
        <v>105542.47590988439</v>
      </c>
      <c r="V171" s="365"/>
      <c r="W171" s="365"/>
      <c r="X171" s="365"/>
      <c r="Y171" s="365"/>
      <c r="Z171" s="365">
        <f t="shared" ref="Z171:AV171" si="1105">SUBTOTAL(9,Z4:Z170)</f>
        <v>1532510.0375000041</v>
      </c>
      <c r="AA171" s="365">
        <f t="shared" si="1105"/>
        <v>0</v>
      </c>
      <c r="AB171" s="365">
        <f t="shared" si="1105"/>
        <v>0</v>
      </c>
      <c r="AC171" s="401">
        <f t="shared" si="1105"/>
        <v>10000</v>
      </c>
      <c r="AD171" s="401">
        <f t="shared" si="1105"/>
        <v>32521.445714285714</v>
      </c>
      <c r="AE171" s="401">
        <f t="shared" si="1105"/>
        <v>71394.631136363649</v>
      </c>
      <c r="AF171" s="401">
        <f t="shared" si="1105"/>
        <v>187699.20255054545</v>
      </c>
      <c r="AG171" s="401">
        <f t="shared" si="1105"/>
        <v>897773.572146566</v>
      </c>
      <c r="AH171" s="401">
        <f t="shared" si="1105"/>
        <v>1112159.686836239</v>
      </c>
      <c r="AI171" s="401">
        <f t="shared" si="1105"/>
        <v>1161252.381623609</v>
      </c>
      <c r="AJ171" s="401">
        <f t="shared" si="1105"/>
        <v>490485.57959239063</v>
      </c>
      <c r="AK171" s="401">
        <f t="shared" si="1105"/>
        <v>1507988.4098</v>
      </c>
      <c r="AL171" s="401">
        <f t="shared" si="1105"/>
        <v>2492864.4</v>
      </c>
      <c r="AM171" s="401">
        <f t="shared" si="1105"/>
        <v>1622558.2015999998</v>
      </c>
      <c r="AN171" s="401">
        <f t="shared" si="1105"/>
        <v>2810659.9789000009</v>
      </c>
      <c r="AO171" s="401">
        <f t="shared" si="1105"/>
        <v>2037176.2843743174</v>
      </c>
      <c r="AP171" s="401">
        <f t="shared" si="1105"/>
        <v>2002889.2466897608</v>
      </c>
      <c r="AQ171" s="401">
        <f t="shared" si="1105"/>
        <v>2581357.2045512968</v>
      </c>
      <c r="AR171" s="401">
        <f t="shared" si="1105"/>
        <v>2173570.4792175824</v>
      </c>
      <c r="AS171" s="401">
        <f t="shared" si="1105"/>
        <v>890696.73480453459</v>
      </c>
      <c r="AT171" s="401">
        <f t="shared" si="1105"/>
        <v>1994503.798226587</v>
      </c>
      <c r="AU171" s="401">
        <f t="shared" si="1105"/>
        <v>424225.58913592208</v>
      </c>
      <c r="AV171" s="401">
        <f t="shared" si="1105"/>
        <v>10000</v>
      </c>
      <c r="AW171" s="365"/>
      <c r="AX171" s="383">
        <f t="shared" ref="AX171:BQ171" si="1106">SUBTOTAL(9,AX4:AX170)</f>
        <v>45000</v>
      </c>
      <c r="AY171" s="383">
        <f t="shared" si="1106"/>
        <v>194969.19</v>
      </c>
      <c r="AZ171" s="383">
        <f t="shared" si="1106"/>
        <v>346447.23000000004</v>
      </c>
      <c r="BA171" s="383">
        <f t="shared" si="1106"/>
        <v>10604853.110000001</v>
      </c>
      <c r="BB171" s="383">
        <f t="shared" si="1106"/>
        <v>249800.41000000003</v>
      </c>
      <c r="BC171" s="383">
        <f t="shared" si="1106"/>
        <v>3434986.2700000005</v>
      </c>
      <c r="BD171" s="383">
        <f t="shared" si="1106"/>
        <v>351557.53</v>
      </c>
      <c r="BE171" s="383">
        <f t="shared" si="1106"/>
        <v>266594.96999999997</v>
      </c>
      <c r="BF171" s="383">
        <f t="shared" si="1106"/>
        <v>5527721.5800000019</v>
      </c>
      <c r="BG171" s="383">
        <f t="shared" si="1106"/>
        <v>67996.44</v>
      </c>
      <c r="BH171" s="383">
        <f t="shared" si="1106"/>
        <v>416426.44</v>
      </c>
      <c r="BI171" s="383">
        <f t="shared" si="1106"/>
        <v>35628.9</v>
      </c>
      <c r="BJ171" s="383">
        <f t="shared" si="1106"/>
        <v>800664.7</v>
      </c>
      <c r="BK171" s="383">
        <f t="shared" si="1106"/>
        <v>52641.770000000004</v>
      </c>
      <c r="BL171" s="383">
        <f t="shared" si="1106"/>
        <v>915812.11</v>
      </c>
      <c r="BM171" s="383">
        <f t="shared" si="1106"/>
        <v>336849.32</v>
      </c>
      <c r="BN171" s="383">
        <f t="shared" si="1106"/>
        <v>164500.01999999999</v>
      </c>
      <c r="BO171" s="383">
        <f t="shared" si="1106"/>
        <v>421550</v>
      </c>
      <c r="BP171" s="383">
        <f t="shared" si="1106"/>
        <v>277776.82749999996</v>
      </c>
      <c r="BQ171" s="383">
        <f t="shared" si="1106"/>
        <v>0</v>
      </c>
      <c r="BR171" s="404">
        <f t="shared" si="1103"/>
        <v>9.3999989330768585E-3</v>
      </c>
    </row>
    <row r="172" spans="1:70" x14ac:dyDescent="0.25">
      <c r="A172" s="238"/>
      <c r="B172" s="238"/>
      <c r="C172" s="238"/>
      <c r="D172" s="238"/>
      <c r="E172" s="238"/>
      <c r="F172" s="238"/>
      <c r="G172" s="238"/>
      <c r="H172" s="311"/>
      <c r="I172" s="238"/>
      <c r="J172" s="238"/>
      <c r="K172" s="238"/>
      <c r="L172" s="238"/>
      <c r="M172" s="238"/>
      <c r="N172" s="238"/>
      <c r="O172" s="238"/>
      <c r="P172" s="238"/>
      <c r="Q172" s="238"/>
      <c r="R172" s="238"/>
      <c r="S172" s="238"/>
      <c r="T172" s="238"/>
      <c r="U172" s="238"/>
      <c r="V172" s="238"/>
      <c r="W172" s="238"/>
      <c r="X172" s="238"/>
      <c r="Y172" s="238"/>
      <c r="Z172" s="238"/>
      <c r="AA172" s="238"/>
      <c r="AB172" s="238"/>
      <c r="AC172" s="402">
        <f>+AC171</f>
        <v>10000</v>
      </c>
      <c r="AD172" s="403">
        <f>+AC172+AD171</f>
        <v>42521.445714285714</v>
      </c>
      <c r="AE172" s="403">
        <f>+AD172+AE171</f>
        <v>113916.07685064936</v>
      </c>
      <c r="AF172" s="403">
        <f>+AE172+AF171</f>
        <v>301615.27940119483</v>
      </c>
      <c r="AG172" s="403">
        <f t="shared" ref="AG172:AV172" si="1107">+AF172+AG171</f>
        <v>1199388.8515477609</v>
      </c>
      <c r="AH172" s="403">
        <f t="shared" si="1107"/>
        <v>2311548.5383839998</v>
      </c>
      <c r="AI172" s="403">
        <f t="shared" si="1107"/>
        <v>3472800.9200076088</v>
      </c>
      <c r="AJ172" s="403">
        <f t="shared" si="1107"/>
        <v>3963286.4995999993</v>
      </c>
      <c r="AK172" s="403">
        <f t="shared" si="1107"/>
        <v>5471274.9093999993</v>
      </c>
      <c r="AL172" s="403">
        <f t="shared" si="1107"/>
        <v>7964139.3093999997</v>
      </c>
      <c r="AM172" s="403">
        <f t="shared" si="1107"/>
        <v>9586697.5109999999</v>
      </c>
      <c r="AN172" s="403">
        <f t="shared" si="1107"/>
        <v>12397357.4899</v>
      </c>
      <c r="AO172" s="403">
        <f t="shared" si="1107"/>
        <v>14434533.774274318</v>
      </c>
      <c r="AP172" s="403">
        <f t="shared" si="1107"/>
        <v>16437423.020964079</v>
      </c>
      <c r="AQ172" s="403">
        <f t="shared" si="1107"/>
        <v>19018780.225515377</v>
      </c>
      <c r="AR172" s="403">
        <f t="shared" si="1107"/>
        <v>21192350.704732958</v>
      </c>
      <c r="AS172" s="403">
        <f t="shared" si="1107"/>
        <v>22083047.439537492</v>
      </c>
      <c r="AT172" s="403">
        <f t="shared" si="1107"/>
        <v>24077551.237764079</v>
      </c>
      <c r="AU172" s="403">
        <f t="shared" si="1107"/>
        <v>24501776.826900002</v>
      </c>
      <c r="AV172" s="403">
        <f t="shared" si="1107"/>
        <v>24511776.826900002</v>
      </c>
      <c r="AW172" s="238"/>
      <c r="AX172" s="405">
        <f>+AX171</f>
        <v>45000</v>
      </c>
      <c r="AY172" s="384">
        <f>+AX172+AY171</f>
        <v>239969.19</v>
      </c>
      <c r="AZ172" s="384">
        <f>+AY172+AZ171</f>
        <v>586416.42000000004</v>
      </c>
      <c r="BA172" s="384">
        <f>+AZ172+BA171</f>
        <v>11191269.530000001</v>
      </c>
      <c r="BB172" s="384">
        <f t="shared" ref="BB172:BQ172" si="1108">+BA172+BB171</f>
        <v>11441069.940000001</v>
      </c>
      <c r="BC172" s="384">
        <f t="shared" si="1108"/>
        <v>14876056.210000001</v>
      </c>
      <c r="BD172" s="384">
        <f t="shared" si="1108"/>
        <v>15227613.74</v>
      </c>
      <c r="BE172" s="384">
        <f t="shared" si="1108"/>
        <v>15494208.710000001</v>
      </c>
      <c r="BF172" s="384">
        <f t="shared" si="1108"/>
        <v>21021930.290000003</v>
      </c>
      <c r="BG172" s="384">
        <f t="shared" si="1108"/>
        <v>21089926.730000004</v>
      </c>
      <c r="BH172" s="384">
        <f t="shared" si="1108"/>
        <v>21506353.170000006</v>
      </c>
      <c r="BI172" s="384">
        <f t="shared" si="1108"/>
        <v>21541982.070000004</v>
      </c>
      <c r="BJ172" s="384">
        <f t="shared" si="1108"/>
        <v>22342646.770000003</v>
      </c>
      <c r="BK172" s="384">
        <f t="shared" si="1108"/>
        <v>22395288.540000003</v>
      </c>
      <c r="BL172" s="384">
        <f t="shared" si="1108"/>
        <v>23311100.650000002</v>
      </c>
      <c r="BM172" s="384">
        <f t="shared" si="1108"/>
        <v>23647949.970000003</v>
      </c>
      <c r="BN172" s="384">
        <f t="shared" si="1108"/>
        <v>23812449.990000002</v>
      </c>
      <c r="BO172" s="384">
        <f t="shared" si="1108"/>
        <v>24233999.990000002</v>
      </c>
      <c r="BP172" s="384">
        <f t="shared" si="1108"/>
        <v>24511776.817500003</v>
      </c>
      <c r="BQ172" s="384">
        <f t="shared" si="1108"/>
        <v>24511776.817500003</v>
      </c>
      <c r="BR172" s="404"/>
    </row>
    <row r="173" spans="1:70" ht="21" x14ac:dyDescent="0.35">
      <c r="D173" s="327">
        <f>+D57++D52</f>
        <v>232750</v>
      </c>
      <c r="N173" s="243"/>
      <c r="P173" s="291"/>
      <c r="V173" s="291"/>
      <c r="AC173" s="529" t="s">
        <v>280</v>
      </c>
      <c r="AD173" s="529"/>
      <c r="AE173" s="529"/>
      <c r="AF173" s="529"/>
      <c r="AG173" s="529"/>
      <c r="AH173" s="529"/>
      <c r="AI173" s="529"/>
      <c r="AJ173" s="529"/>
      <c r="AK173" s="529"/>
      <c r="AL173" s="529"/>
      <c r="AM173" s="529"/>
      <c r="AN173" s="529"/>
      <c r="AO173" s="529"/>
      <c r="AP173" s="529"/>
      <c r="AQ173" s="529"/>
      <c r="AR173" s="529"/>
      <c r="AS173" s="529"/>
      <c r="AT173" s="529"/>
      <c r="AU173" s="529"/>
      <c r="AV173" s="529"/>
      <c r="AX173" s="530" t="s">
        <v>281</v>
      </c>
      <c r="AY173" s="530"/>
      <c r="AZ173" s="530"/>
      <c r="BA173" s="530"/>
      <c r="BB173" s="530"/>
      <c r="BC173" s="530"/>
      <c r="BD173" s="530"/>
      <c r="BE173" s="530"/>
      <c r="BF173" s="530"/>
      <c r="BG173" s="530"/>
      <c r="BH173" s="530"/>
      <c r="BI173" s="530"/>
      <c r="BJ173" s="530"/>
      <c r="BK173" s="530"/>
      <c r="BL173" s="530"/>
      <c r="BM173" s="530"/>
      <c r="BN173" s="530"/>
      <c r="BO173" s="530"/>
      <c r="BP173" s="530"/>
      <c r="BQ173" s="530"/>
      <c r="BR173" s="530"/>
    </row>
    <row r="174" spans="1:70" x14ac:dyDescent="0.25">
      <c r="S174" s="244"/>
      <c r="Z174" s="291"/>
      <c r="AF174" s="243"/>
      <c r="AI174" s="243"/>
      <c r="AJ174" s="244"/>
      <c r="AK174" s="244"/>
      <c r="AL174" s="244"/>
      <c r="AM174" s="243"/>
      <c r="AN174" s="244"/>
      <c r="AO174" s="244"/>
      <c r="BE174" s="244"/>
      <c r="BF174" s="244"/>
      <c r="BG174" s="244"/>
      <c r="BH174" s="244"/>
      <c r="BI174" s="244"/>
      <c r="BK174" s="244"/>
    </row>
    <row r="175" spans="1:70" x14ac:dyDescent="0.25">
      <c r="S175" s="244"/>
      <c r="U175" s="291"/>
      <c r="AO175" s="244"/>
      <c r="AP175" s="243"/>
      <c r="AQ175" s="243"/>
    </row>
    <row r="176" spans="1:70" x14ac:dyDescent="0.25">
      <c r="D176" s="244"/>
      <c r="BJ176" s="244"/>
    </row>
    <row r="177" spans="4:64" x14ac:dyDescent="0.25">
      <c r="D177" s="244"/>
      <c r="BG177" s="244"/>
      <c r="BK177" s="244"/>
    </row>
    <row r="178" spans="4:64" x14ac:dyDescent="0.25">
      <c r="O178" s="244"/>
      <c r="R178" s="244"/>
      <c r="T178" s="244"/>
      <c r="BL178" s="292"/>
    </row>
    <row r="179" spans="4:64" x14ac:dyDescent="0.25">
      <c r="BL179" s="292"/>
    </row>
    <row r="180" spans="4:64" x14ac:dyDescent="0.25">
      <c r="Q180" s="244"/>
      <c r="AL180" s="303"/>
    </row>
    <row r="181" spans="4:64" x14ac:dyDescent="0.25">
      <c r="AL181" s="303"/>
      <c r="AO181" s="288"/>
      <c r="AP181" s="288"/>
      <c r="AQ181" s="288"/>
      <c r="AR181" s="288"/>
    </row>
    <row r="182" spans="4:64" x14ac:dyDescent="0.25">
      <c r="AP182" s="288"/>
      <c r="AQ182" s="288"/>
    </row>
    <row r="185" spans="4:64" x14ac:dyDescent="0.25">
      <c r="AO185" s="288"/>
      <c r="AP185" s="288"/>
      <c r="AQ185" s="288"/>
      <c r="AR185" s="288"/>
    </row>
    <row r="186" spans="4:64" x14ac:dyDescent="0.25">
      <c r="AO186" s="288"/>
      <c r="AP186" s="288"/>
      <c r="AQ186" s="288"/>
      <c r="AR186" s="288"/>
    </row>
    <row r="187" spans="4:64" x14ac:dyDescent="0.25">
      <c r="AP187" s="288"/>
      <c r="AQ187" s="288"/>
    </row>
  </sheetData>
  <autoFilter ref="A3:BR169"/>
  <sortState ref="A4:BE72">
    <sortCondition ref="A72"/>
  </sortState>
  <mergeCells count="18">
    <mergeCell ref="B155:C155"/>
    <mergeCell ref="B157:C157"/>
    <mergeCell ref="B158:C158"/>
    <mergeCell ref="B160:C160"/>
    <mergeCell ref="B167:C167"/>
    <mergeCell ref="B161:C161"/>
    <mergeCell ref="B162:C162"/>
    <mergeCell ref="B163:C163"/>
    <mergeCell ref="B149:C149"/>
    <mergeCell ref="B150:C150"/>
    <mergeCell ref="B151:C151"/>
    <mergeCell ref="B152:C152"/>
    <mergeCell ref="B153:C153"/>
    <mergeCell ref="B165:C165"/>
    <mergeCell ref="B166:C166"/>
    <mergeCell ref="AC173:AV173"/>
    <mergeCell ref="AX173:BR173"/>
    <mergeCell ref="B168:C168"/>
  </mergeCells>
  <phoneticPr fontId="28" type="noConversion"/>
  <pageMargins left="0.7" right="0.7" top="0.75" bottom="0.75" header="0.3" footer="0.3"/>
  <pageSetup scale="1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54"/>
  <sheetViews>
    <sheetView showGridLines="0" topLeftCell="A14" workbookViewId="0">
      <selection activeCell="G23" sqref="G23"/>
    </sheetView>
  </sheetViews>
  <sheetFormatPr baseColWidth="10" defaultColWidth="8.85546875" defaultRowHeight="15" x14ac:dyDescent="0.25"/>
  <cols>
    <col min="1" max="1" width="47" customWidth="1"/>
    <col min="2" max="2" width="7" customWidth="1"/>
    <col min="3" max="7" width="8.5703125" customWidth="1"/>
    <col min="8" max="8" width="13.28515625" style="336" bestFit="1" customWidth="1"/>
    <col min="9" max="9" width="17.42578125" style="336" bestFit="1" customWidth="1"/>
    <col min="10" max="10" width="13.5703125" style="336" bestFit="1" customWidth="1"/>
    <col min="11" max="11" width="13.140625" style="336" bestFit="1" customWidth="1"/>
    <col min="12" max="12" width="4.85546875" style="336" customWidth="1"/>
    <col min="13" max="16" width="4.85546875" style="288" customWidth="1"/>
  </cols>
  <sheetData>
    <row r="1" spans="1:12" s="288" customFormat="1" hidden="1" x14ac:dyDescent="0.25">
      <c r="H1" s="336"/>
      <c r="I1" s="336"/>
      <c r="J1" s="336"/>
      <c r="K1" s="336"/>
      <c r="L1" s="336"/>
    </row>
    <row r="2" spans="1:12" s="288" customFormat="1" hidden="1" x14ac:dyDescent="0.25">
      <c r="H2" s="336"/>
      <c r="I2" s="336"/>
      <c r="J2" s="336"/>
      <c r="K2" s="336"/>
      <c r="L2" s="336"/>
    </row>
    <row r="3" spans="1:12" s="288" customFormat="1" hidden="1" x14ac:dyDescent="0.25">
      <c r="H3" s="336"/>
      <c r="I3" s="336"/>
      <c r="J3" s="336"/>
      <c r="K3" s="336"/>
      <c r="L3" s="336"/>
    </row>
    <row r="4" spans="1:12" s="288" customFormat="1" hidden="1" x14ac:dyDescent="0.25">
      <c r="H4" s="336"/>
      <c r="I4" s="336"/>
      <c r="J4" s="336"/>
      <c r="K4" s="336"/>
      <c r="L4" s="336"/>
    </row>
    <row r="5" spans="1:12" s="288" customFormat="1" hidden="1" x14ac:dyDescent="0.25">
      <c r="H5" s="336"/>
      <c r="I5" s="336"/>
      <c r="J5" s="336"/>
      <c r="K5" s="336"/>
      <c r="L5" s="336"/>
    </row>
    <row r="6" spans="1:12" s="288" customFormat="1" hidden="1" x14ac:dyDescent="0.25">
      <c r="H6" s="336"/>
      <c r="I6" s="336"/>
      <c r="J6" s="336"/>
      <c r="K6" s="336"/>
      <c r="L6" s="336"/>
    </row>
    <row r="7" spans="1:12" s="288" customFormat="1" hidden="1" x14ac:dyDescent="0.25">
      <c r="H7" s="336"/>
      <c r="I7" s="336"/>
      <c r="J7" s="336"/>
      <c r="K7" s="336"/>
      <c r="L7" s="336"/>
    </row>
    <row r="8" spans="1:12" s="288" customFormat="1" hidden="1" x14ac:dyDescent="0.25">
      <c r="H8" s="336"/>
      <c r="I8" s="336"/>
      <c r="J8" s="336"/>
      <c r="K8" s="336"/>
      <c r="L8" s="336"/>
    </row>
    <row r="9" spans="1:12" s="288" customFormat="1" hidden="1" x14ac:dyDescent="0.25">
      <c r="H9" s="336"/>
      <c r="I9" s="336"/>
      <c r="J9" s="336"/>
      <c r="K9" s="336"/>
      <c r="L9" s="336"/>
    </row>
    <row r="10" spans="1:12" s="288" customFormat="1" hidden="1" x14ac:dyDescent="0.25">
      <c r="H10" s="336"/>
      <c r="I10" s="336"/>
      <c r="J10" s="336"/>
      <c r="K10" s="336"/>
      <c r="L10" s="336"/>
    </row>
    <row r="11" spans="1:12" s="288" customFormat="1" hidden="1" x14ac:dyDescent="0.25">
      <c r="H11" s="336"/>
      <c r="I11" s="336"/>
      <c r="J11" s="336"/>
      <c r="K11" s="336"/>
      <c r="L11" s="336"/>
    </row>
    <row r="12" spans="1:12" s="288" customFormat="1" hidden="1" x14ac:dyDescent="0.25">
      <c r="H12" s="336"/>
      <c r="I12" s="336"/>
      <c r="J12" s="336"/>
      <c r="K12" s="336"/>
      <c r="L12" s="336"/>
    </row>
    <row r="13" spans="1:12" hidden="1" x14ac:dyDescent="0.25">
      <c r="A13" s="288"/>
    </row>
    <row r="14" spans="1:12" x14ac:dyDescent="0.25">
      <c r="A14" s="183" t="s">
        <v>85</v>
      </c>
    </row>
    <row r="15" spans="1:12" s="355" customFormat="1" x14ac:dyDescent="0.25">
      <c r="A15" s="354"/>
      <c r="C15" s="360"/>
      <c r="D15" s="360"/>
      <c r="E15" s="531"/>
      <c r="F15" s="532"/>
      <c r="G15" s="533"/>
      <c r="H15" s="361"/>
      <c r="I15" s="361"/>
      <c r="J15" s="361"/>
      <c r="K15" s="361"/>
      <c r="L15" s="356"/>
    </row>
    <row r="16" spans="1:12" x14ac:dyDescent="0.25">
      <c r="A16" s="40" t="s">
        <v>67</v>
      </c>
      <c r="C16" s="357"/>
      <c r="D16" s="358"/>
      <c r="E16" s="358"/>
      <c r="F16" s="358"/>
      <c r="G16" s="358"/>
      <c r="H16" s="359"/>
      <c r="I16" s="359"/>
      <c r="J16" s="359"/>
      <c r="K16" s="359"/>
    </row>
    <row r="17" spans="1:11" x14ac:dyDescent="0.25">
      <c r="A17" s="45" t="s">
        <v>68</v>
      </c>
      <c r="B17" s="243">
        <f>IF('DFP-Com'!N15-'DFP-CASH'!N17=0,"ok",'DFP-Com'!N15-'DFP-CASH'!N17)</f>
        <v>-9.5109250396490097E-3</v>
      </c>
      <c r="C17" s="358" t="str">
        <f>IF(SUM('DFP-CASH'!$C17:C17)&gt;SUM('DFP-Com'!$C15:D15),SUM('DFP-CASH'!$C17:C17)-SUM('DFP-Com'!$C15:D15),"ok")</f>
        <v>ok</v>
      </c>
      <c r="D17" s="358" t="str">
        <f>IF(SUM('DFP-CASH'!$C17:D17)&gt;SUM('DFP-Com'!$C15:E15),SUM('DFP-CASH'!$C17:D17)-SUM('DFP-Com'!$C15:E15),"ok")</f>
        <v>ok</v>
      </c>
      <c r="E17" s="358" t="str">
        <f>IF(SUM('DFP-CASH'!$C17:E17)&gt;SUM('DFP-Com'!$C15:F15),SUM('DFP-CASH'!$C17:E17)-SUM('DFP-Com'!$C15:F15),"ok")</f>
        <v>ok</v>
      </c>
      <c r="F17" s="358" t="str">
        <f>IF(SUM('DFP-CASH'!$C17:F17)&gt;SUM('DFP-Com'!$C15:G15),SUM('DFP-CASH'!$C17:F17)-SUM('DFP-Com'!$C15:G15),"ok")</f>
        <v>ok</v>
      </c>
      <c r="G17" s="358" t="str">
        <f>IF(SUM('DFP-CASH'!$C17:G17)&gt;SUM('DFP-Com'!$C15:G15),SUM('DFP-CASH'!$C17:G17)-SUM('DFP-Com'!$C15:G15),"ok")</f>
        <v>ok</v>
      </c>
      <c r="H17" s="358" t="str">
        <f>IF(SUM('DFP-CASH'!$C17:$G17)+('DFP-CASH'!H17)&gt;SUM('DFP-Com'!$C15:I15),SUM('DFP-CASH'!$C17:H17)-SUM('DFP-Com'!$C15:I15),"ok")</f>
        <v>ok</v>
      </c>
      <c r="I17" s="358" t="str">
        <f>IF(SUM('DFP-CASH'!$C17:$G17)+('DFP-CASH'!I17)&gt;SUM('DFP-Com'!$C15:J15),SUM('DFP-CASH'!$C17:I17)-SUM('DFP-Com'!$C15:J15),"ok")</f>
        <v>ok</v>
      </c>
      <c r="J17" s="358" t="str">
        <f>IF(SUM('DFP-CASH'!$C17:$G17)+('DFP-CASH'!J17)&gt;SUM('DFP-Com'!$C15:K15),SUM('DFP-CASH'!$C17:J17)-SUM('DFP-Com'!$C15:K15),"ok")</f>
        <v>ok</v>
      </c>
      <c r="K17" s="358" t="str">
        <f>IF(SUM('DFP-CASH'!$C17:$G17)+('DFP-CASH'!K17)&gt;SUM('DFP-Com'!$C15:L15),SUM('DFP-CASH'!$C17:K17)-SUM('DFP-Com'!$C15:L15),"ok")</f>
        <v>ok</v>
      </c>
    </row>
    <row r="18" spans="1:11" x14ac:dyDescent="0.25">
      <c r="A18" s="195" t="s">
        <v>96</v>
      </c>
      <c r="B18" s="243">
        <f>IF('DFP-Com'!N16-'DFP-CASH'!N18=0,"ok",'DFP-Com'!N16-'DFP-CASH'!N18)</f>
        <v>4.8907659947872162E-4</v>
      </c>
      <c r="C18" s="358" t="str">
        <f>IF(SUM('DFP-CASH'!$C18:C18)&gt;SUM('DFP-Com'!$C16:C16),SUM('DFP-CASH'!$C18:C18)-SUM('DFP-Com'!$C16:C16),"ok")</f>
        <v>ok</v>
      </c>
      <c r="D18" s="358" t="str">
        <f>IF(SUM('DFP-CASH'!$C18:D18)&gt;SUM('DFP-Com'!$C16:E16),SUM('DFP-CASH'!$C18:D18)-SUM('DFP-Com'!$C16:E16),"ok")</f>
        <v>ok</v>
      </c>
      <c r="E18" s="358" t="str">
        <f>IF(SUM('DFP-CASH'!$C18:E18)&gt;SUM('DFP-Com'!$C16:F16),SUM('DFP-CASH'!$C18:E18)-SUM('DFP-Com'!$C16:F16),"ok")</f>
        <v>ok</v>
      </c>
      <c r="F18" s="358" t="str">
        <f>IF(SUM('DFP-CASH'!$C18:F18)&gt;SUM('DFP-Com'!$C16:G16),SUM('DFP-CASH'!$C18:F18)-SUM('DFP-Com'!$C16:G16),"ok")</f>
        <v>ok</v>
      </c>
      <c r="G18" s="358" t="str">
        <f>IF(SUM('DFP-CASH'!$C18:G18)&gt;SUM('DFP-Com'!$C16:G16),SUM('DFP-CASH'!$C18:G18)-SUM('DFP-Com'!$C16:G16),"ok")</f>
        <v>ok</v>
      </c>
      <c r="H18" s="358" t="str">
        <f>IF(SUM('DFP-CASH'!$C18:$G18)+('DFP-CASH'!H18)&gt;SUM('DFP-Com'!$C16:I16),SUM('DFP-CASH'!$C18:H18)-SUM('DFP-Com'!$C16:I16),"ok")</f>
        <v>ok</v>
      </c>
      <c r="I18" s="358" t="str">
        <f>IF(SUM('DFP-CASH'!$C18:$G18)+('DFP-CASH'!I18)&gt;SUM('DFP-Com'!$C16:J16),SUM('DFP-CASH'!$C18:I18)-SUM('DFP-Com'!$C16:J16),"ok")</f>
        <v>ok</v>
      </c>
      <c r="J18" s="358" t="str">
        <f>IF(SUM('DFP-CASH'!$C18:$G18)+('DFP-CASH'!J18)&gt;SUM('DFP-Com'!$C16:K16),SUM('DFP-CASH'!$C18:J18)-SUM('DFP-Com'!$C16:K16),"ok")</f>
        <v>ok</v>
      </c>
      <c r="K18" s="358" t="str">
        <f>IF(SUM('DFP-CASH'!$C18:$G18)+('DFP-CASH'!K18)&gt;SUM('DFP-Com'!$C16:L16),SUM('DFP-CASH'!$C18:K18)-SUM('DFP-Com'!$C16:L16),"ok")</f>
        <v>ok</v>
      </c>
    </row>
    <row r="19" spans="1:11" x14ac:dyDescent="0.25">
      <c r="A19" s="195" t="s">
        <v>97</v>
      </c>
      <c r="B19" s="243">
        <f>IF('DFP-Com'!N17-'DFP-CASH'!N19=0,"ok",'DFP-Com'!N17-'DFP-CASH'!N19)</f>
        <v>-1.0000000707805157E-2</v>
      </c>
      <c r="C19" s="358" t="str">
        <f>IF(SUM('DFP-CASH'!$C19:C19)&gt;SUM('DFP-Com'!$C17:C17),SUM('DFP-CASH'!$C19:C19)-SUM('DFP-Com'!$C17:C17),"ok")</f>
        <v>ok</v>
      </c>
      <c r="D19" s="358" t="str">
        <f>IF(SUM('DFP-CASH'!$C19:D19)&gt;SUM('DFP-Com'!$C17:D17),SUM('DFP-CASH'!$C19:D19)-SUM('DFP-Com'!$C17:D17),"ok")</f>
        <v>ok</v>
      </c>
      <c r="E19" s="358" t="str">
        <f>IF(SUM('DFP-CASH'!$C19:E19)&gt;SUM('DFP-Com'!$C17:E17),SUM('DFP-CASH'!$C19:E19)-SUM('DFP-Com'!$C17:E17),"ok")</f>
        <v>ok</v>
      </c>
      <c r="F19" s="358" t="str">
        <f>IF(SUM('DFP-CASH'!$C19:F19)&gt;SUM('DFP-Com'!$C17:F17),SUM('DFP-CASH'!$C19:F19)-SUM('DFP-Com'!$C17:F17),"ok")</f>
        <v>ok</v>
      </c>
      <c r="G19" s="358" t="str">
        <f>IF(SUM('DFP-CASH'!$C19:G19)&gt;SUM('DFP-Com'!$C17:G17),SUM('DFP-CASH'!$C19:G19)-SUM('DFP-Com'!$C17:G17),"ok")</f>
        <v>ok</v>
      </c>
      <c r="H19" s="358">
        <f>IF(SUM('DFP-CASH'!$C19:$G19)+('DFP-CASH'!H19)&gt;SUM('DFP-Com'!$C17:I17),SUM('DFP-CASH'!$C19:H19)-SUM('DFP-Com'!$C17:I17),"ok")</f>
        <v>424581.44000000041</v>
      </c>
      <c r="I19" s="358" t="str">
        <f>IF(SUM('DFP-CASH'!$C19:$G19)+('DFP-CASH'!I19)&gt;SUM('DFP-Com'!$C17:J17),SUM('DFP-CASH'!$C19:I19)-SUM('DFP-Com'!$C17:J17),"ok")</f>
        <v>ok</v>
      </c>
      <c r="J19" s="358" t="str">
        <f>IF(SUM('DFP-CASH'!$C19:$G19)+('DFP-CASH'!J19)&gt;SUM('DFP-Com'!$C17:K17),SUM('DFP-CASH'!$C19:J19)-SUM('DFP-Com'!$C17:K17),"ok")</f>
        <v>ok</v>
      </c>
      <c r="K19" s="358" t="str">
        <f>IF(SUM('DFP-CASH'!$C19:$G19)+('DFP-CASH'!K19)&gt;SUM('DFP-Com'!$C17:L17),SUM('DFP-CASH'!$C19:K19)-SUM('DFP-Com'!$C17:L17),"ok")</f>
        <v>ok</v>
      </c>
    </row>
    <row r="20" spans="1:11" x14ac:dyDescent="0.25">
      <c r="A20" s="195" t="s">
        <v>104</v>
      </c>
      <c r="B20" s="243" t="str">
        <f>IF('DFP-Com'!N18-'DFP-CASH'!N20=0,"ok",'DFP-Com'!N18-'DFP-CASH'!N20)</f>
        <v>ok</v>
      </c>
      <c r="C20" s="358" t="str">
        <f>IF(SUM('DFP-CASH'!$C20:C20)&gt;SUM('DFP-Com'!$C18:D18),SUM('DFP-CASH'!$C20:C20)-SUM('DFP-Com'!$C18:D18),"ok")</f>
        <v>ok</v>
      </c>
      <c r="D20" s="358" t="str">
        <f>IF(SUM('DFP-CASH'!$C20:D20)&gt;SUM('DFP-Com'!$C18:E18),SUM('DFP-CASH'!$C20:D20)-SUM('DFP-Com'!$C18:E18),"ok")</f>
        <v>ok</v>
      </c>
      <c r="E20" s="358" t="str">
        <f>IF(SUM('DFP-CASH'!$C20:E20)&gt;SUM('DFP-Com'!$C18:F18),SUM('DFP-CASH'!$C20:E20)-SUM('DFP-Com'!$C18:F18),"ok")</f>
        <v>ok</v>
      </c>
      <c r="F20" s="358" t="str">
        <f>IF(SUM('DFP-CASH'!$C20:F20)&gt;SUM('DFP-Com'!$C18:G18),SUM('DFP-CASH'!$C20:F20)-SUM('DFP-Com'!$C18:G18),"ok")</f>
        <v>ok</v>
      </c>
      <c r="G20" s="358" t="str">
        <f>IF(SUM('DFP-CASH'!$C20:G20)&gt;SUM('DFP-Com'!$C18:G18),SUM('DFP-CASH'!$C20:G20)-SUM('DFP-Com'!$C18:G18),"ok")</f>
        <v>ok</v>
      </c>
      <c r="H20" s="358" t="str">
        <f>IF(SUM('DFP-CASH'!$C20:$G20)+('DFP-CASH'!H20)&gt;SUM('DFP-Com'!$C18:I18),SUM('DFP-CASH'!$C20:H20)-SUM('DFP-Com'!$C18:I18),"ok")</f>
        <v>ok</v>
      </c>
      <c r="I20" s="358" t="str">
        <f>IF(SUM('DFP-CASH'!$C20:$G20)+('DFP-CASH'!I20)&gt;SUM('DFP-Com'!$C18:J18),SUM('DFP-CASH'!$C20:I20)-SUM('DFP-Com'!$C18:J18),"ok")</f>
        <v>ok</v>
      </c>
      <c r="J20" s="358" t="str">
        <f>IF(SUM('DFP-CASH'!$C20:$G20)+('DFP-CASH'!J20)&gt;SUM('DFP-Com'!$C18:K18),SUM('DFP-CASH'!$C20:J20)-SUM('DFP-Com'!$C18:K18),"ok")</f>
        <v>ok</v>
      </c>
      <c r="K20" s="358" t="str">
        <f>IF(SUM('DFP-CASH'!$C20:$G20)+('DFP-CASH'!K20)&gt;SUM('DFP-Com'!$C18:L18),SUM('DFP-CASH'!$C20:K20)-SUM('DFP-Com'!$C18:L18),"ok")</f>
        <v>ok</v>
      </c>
    </row>
    <row r="21" spans="1:11" ht="25.5" x14ac:dyDescent="0.25">
      <c r="A21" s="45" t="s">
        <v>69</v>
      </c>
      <c r="B21" s="243">
        <f>IF('DFP-Com'!N19-'DFP-CASH'!N21=0,"ok",'DFP-Com'!N19-'DFP-CASH'!N21)</f>
        <v>2.4999999441206455E-2</v>
      </c>
      <c r="C21" s="358" t="str">
        <f>IF(SUM('DFP-CASH'!$C21:C21)&gt;SUM('DFP-Com'!$C19:D19),SUM('DFP-CASH'!$C21:C21)-SUM('DFP-Com'!$C19:D19),"ok")</f>
        <v>ok</v>
      </c>
      <c r="D21" s="358" t="str">
        <f>IF(SUM('DFP-CASH'!$C21:D21)&gt;SUM('DFP-Com'!$C19:E19),SUM('DFP-CASH'!$C21:D21)-SUM('DFP-Com'!$C19:E19),"ok")</f>
        <v>ok</v>
      </c>
      <c r="E21" s="358" t="str">
        <f>IF(SUM('DFP-CASH'!$C21:E21)&gt;SUM('DFP-Com'!$C19:F19),SUM('DFP-CASH'!$C21:E21)-SUM('DFP-Com'!$C19:F19),"ok")</f>
        <v>ok</v>
      </c>
      <c r="F21" s="358" t="str">
        <f>IF(SUM('DFP-CASH'!$C21:F21)&gt;SUM('DFP-Com'!$C19:G19),SUM('DFP-CASH'!$C21:F21)-SUM('DFP-Com'!$C19:G19),"ok")</f>
        <v>ok</v>
      </c>
      <c r="G21" s="358" t="str">
        <f>IF(SUM('DFP-CASH'!$C21:G21)&gt;SUM('DFP-Com'!$C19:G19),SUM('DFP-CASH'!$C21:G21)-SUM('DFP-Com'!$C19:G19),"ok")</f>
        <v>ok</v>
      </c>
      <c r="H21" s="358" t="str">
        <f>IF(SUM('DFP-CASH'!$C21:$G21)+('DFP-CASH'!H21)&gt;SUM('DFP-Com'!$C19:I19),SUM('DFP-CASH'!$C21:H21)-SUM('DFP-Com'!$C19:I19),"ok")</f>
        <v>ok</v>
      </c>
      <c r="I21" s="358" t="str">
        <f>IF(SUM('DFP-CASH'!$C21:$G21)+('DFP-CASH'!I21)&gt;SUM('DFP-Com'!$C19:J19),SUM('DFP-CASH'!$C21:I21)-SUM('DFP-Com'!$C19:J19),"ok")</f>
        <v>ok</v>
      </c>
      <c r="J21" s="358" t="str">
        <f>IF(SUM('DFP-CASH'!$C21:$G21)+('DFP-CASH'!J21)&gt;SUM('DFP-Com'!$C19:K19),SUM('DFP-CASH'!$C21:J21)-SUM('DFP-Com'!$C19:K19),"ok")</f>
        <v>ok</v>
      </c>
      <c r="K21" s="358" t="str">
        <f>IF(SUM('DFP-CASH'!$C21:$G21)+('DFP-CASH'!K21)&gt;SUM('DFP-Com'!$C19:L19),SUM('DFP-CASH'!$C21:K21)-SUM('DFP-Com'!$C19:L19),"ok")</f>
        <v>ok</v>
      </c>
    </row>
    <row r="22" spans="1:11" x14ac:dyDescent="0.25">
      <c r="A22" s="195" t="s">
        <v>105</v>
      </c>
      <c r="B22" s="243">
        <f>IF('DFP-Com'!N20-'DFP-CASH'!N22=0,"ok",'DFP-Com'!N20-'DFP-CASH'!N22)</f>
        <v>2.4999999441206455E-2</v>
      </c>
      <c r="C22" s="358" t="str">
        <f>IF(SUM('DFP-CASH'!$C22:C22)&gt;SUM('DFP-Com'!$C20:D20),SUM('DFP-CASH'!$C22:C22)-SUM('DFP-Com'!$C20:D20),"ok")</f>
        <v>ok</v>
      </c>
      <c r="D22" s="358" t="str">
        <f>IF(SUM('DFP-CASH'!$C22:D22)&gt;SUM('DFP-Com'!$C20:E20),SUM('DFP-CASH'!$C22:D22)-SUM('DFP-Com'!$C20:E20),"ok")</f>
        <v>ok</v>
      </c>
      <c r="E22" s="358" t="str">
        <f>IF(SUM('DFP-CASH'!$C22:E22)&gt;SUM('DFP-Com'!$C20:F20),SUM('DFP-CASH'!$C22:E22)-SUM('DFP-Com'!$C20:F20),"ok")</f>
        <v>ok</v>
      </c>
      <c r="F22" s="358" t="str">
        <f>IF(SUM('DFP-CASH'!$C22:F22)&gt;SUM('DFP-Com'!$C20:G20),SUM('DFP-CASH'!$C22:F22)-SUM('DFP-Com'!$C20:G20),"ok")</f>
        <v>ok</v>
      </c>
      <c r="G22" s="358" t="str">
        <f>IF(SUM('DFP-CASH'!$C22:G22)&gt;SUM('DFP-Com'!$C20:G20),SUM('DFP-CASH'!$C22:G22)-SUM('DFP-Com'!$C20:G20),"ok")</f>
        <v>ok</v>
      </c>
      <c r="H22" s="358" t="str">
        <f>IF(SUM('DFP-CASH'!$C22:$G22)+('DFP-CASH'!H22)&gt;SUM('DFP-Com'!$C20:I20),SUM('DFP-CASH'!$C22:H22)-SUM('DFP-Com'!$C20:I20),"ok")</f>
        <v>ok</v>
      </c>
      <c r="I22" s="358" t="str">
        <f>IF(SUM('DFP-CASH'!$C22:$G22)+('DFP-CASH'!I22)&gt;SUM('DFP-Com'!$C20:J20),SUM('DFP-CASH'!$C22:I22)-SUM('DFP-Com'!$C20:J20),"ok")</f>
        <v>ok</v>
      </c>
      <c r="J22" s="358" t="str">
        <f>IF(SUM('DFP-CASH'!$C22:$G22)+('DFP-CASH'!J22)&gt;SUM('DFP-Com'!$C20:K20),SUM('DFP-CASH'!$C22:J22)-SUM('DFP-Com'!$C20:K20),"ok")</f>
        <v>ok</v>
      </c>
      <c r="K22" s="358" t="str">
        <f>IF(SUM('DFP-CASH'!$C22:$G22)+('DFP-CASH'!K22)&gt;SUM('DFP-Com'!$C20:L20),SUM('DFP-CASH'!$C22:K22)-SUM('DFP-Com'!$C20:L20),"ok")</f>
        <v>ok</v>
      </c>
    </row>
    <row r="23" spans="1:11" ht="25.5" x14ac:dyDescent="0.25">
      <c r="A23" s="45" t="s">
        <v>70</v>
      </c>
      <c r="B23" s="243">
        <f>IF('DFP-Com'!N21-'DFP-CASH'!N23=0,"ok",'DFP-Com'!N21-'DFP-CASH'!N23)</f>
        <v>6.0749994590878487E-3</v>
      </c>
      <c r="C23" s="358" t="str">
        <f>IF(SUM('DFP-CASH'!$C23:C23)&gt;SUM('DFP-Com'!$C21:D21),SUM('DFP-CASH'!$C23:C23)-SUM('DFP-Com'!$C21:D21),"ok")</f>
        <v>ok</v>
      </c>
      <c r="D23" s="358" t="str">
        <f>IF(SUM('DFP-CASH'!$C23:D23)&gt;SUM('DFP-Com'!$C21:E21),SUM('DFP-CASH'!$C23:D23)-SUM('DFP-Com'!$C21:E21),"ok")</f>
        <v>ok</v>
      </c>
      <c r="E23" s="358" t="str">
        <f>IF(SUM('DFP-CASH'!$C23:E23)&gt;SUM('DFP-Com'!$C21:F21),SUM('DFP-CASH'!$C23:E23)-SUM('DFP-Com'!$C21:F21),"ok")</f>
        <v>ok</v>
      </c>
      <c r="F23" s="358" t="str">
        <f>IF(SUM('DFP-CASH'!$C23:F23)&gt;SUM('DFP-Com'!$C21:G21),SUM('DFP-CASH'!$C23:F23)-SUM('DFP-Com'!$C21:G21),"ok")</f>
        <v>ok</v>
      </c>
      <c r="G23" s="358" t="str">
        <f>IF(SUM('DFP-CASH'!$C23:G23)&gt;SUM('DFP-Com'!$C21:G21),SUM('DFP-CASH'!$C23:G23)-SUM('DFP-Com'!$C21:G21),"ok")</f>
        <v>ok</v>
      </c>
      <c r="H23" s="358">
        <f>IF(SUM('DFP-CASH'!$C23:H23)&gt;SUM('DFP-Com'!$C21:H21),SUM('DFP-CASH'!$C23:H23)-SUM('DFP-Com'!$C21:H21),"ok")</f>
        <v>25750.989999999292</v>
      </c>
      <c r="I23" s="358" t="str">
        <f>IF(SUM('DFP-CASH'!$C23:$G23)+('DFP-CASH'!I23)&gt;SUM('DFP-Com'!$C21:J21),SUM('DFP-CASH'!$C23:I23)-SUM('DFP-Com'!$C21:J21),"ok")</f>
        <v>ok</v>
      </c>
      <c r="J23" s="358" t="str">
        <f>IF(SUM('DFP-CASH'!$C23:$G23)+('DFP-CASH'!J23)&gt;SUM('DFP-Com'!$C21:K21),SUM('DFP-CASH'!$C23:J23)-SUM('DFP-Com'!$C21:K21),"ok")</f>
        <v>ok</v>
      </c>
      <c r="K23" s="358" t="str">
        <f>IF(SUM('DFP-CASH'!$C23:$G23)+('DFP-CASH'!K23)&gt;SUM('DFP-Com'!$C21:L21),SUM('DFP-CASH'!$C23:K23)-SUM('DFP-Com'!$C21:L21),"ok")</f>
        <v>ok</v>
      </c>
    </row>
    <row r="24" spans="1:11" x14ac:dyDescent="0.25">
      <c r="A24" s="195" t="s">
        <v>98</v>
      </c>
      <c r="B24" s="243">
        <f>IF('DFP-Com'!N22-'DFP-CASH'!N24=0,"ok",'DFP-Com'!N22-'DFP-CASH'!N24)</f>
        <v>6.0749994590878487E-3</v>
      </c>
      <c r="C24" s="358" t="str">
        <f>IF(SUM('DFP-CASH'!$C24:C24)&gt;SUM('DFP-Com'!$C22:F22),SUM('DFP-CASH'!$C24:C24)-SUM('DFP-Com'!$C22:F22),"ok")</f>
        <v>ok</v>
      </c>
      <c r="D24" s="358" t="str">
        <f>IF(SUM('DFP-CASH'!$C24:G24)&gt;SUM('DFP-Com'!$C22:F22),SUM('DFP-CASH'!$C24:G24)-SUM('DFP-Com'!$C22:F22),"ok")</f>
        <v>ok</v>
      </c>
      <c r="E24" s="358" t="str">
        <f>IF(SUM('DFP-CASH'!$C24:G24)&gt;SUM('DFP-Com'!$C22:F22),SUM('DFP-CASH'!$C24:G24)-SUM('DFP-Com'!$C22:F22),"ok")</f>
        <v>ok</v>
      </c>
      <c r="F24" s="358" t="str">
        <f>IF(SUM('DFP-CASH'!$C24:G24)&gt;SUM('DFP-Com'!$C22:G22),SUM('DFP-CASH'!$C24:G24)-SUM('DFP-Com'!$C22:G22),"ok")</f>
        <v>ok</v>
      </c>
      <c r="G24" s="358" t="str">
        <f>IF(SUM('DFP-CASH'!$C24:G24)&gt;SUM('DFP-Com'!$C22:G22),SUM('DFP-CASH'!$C24:G24)-SUM('DFP-Com'!$C22:G22),"ok")</f>
        <v>ok</v>
      </c>
      <c r="H24" s="358">
        <f>IF(SUM('DFP-CASH'!$C24:H24)&gt;SUM('DFP-Com'!$C22:H22),SUM('DFP-CASH'!$C24:H24)-SUM('DFP-Com'!$C22:H22),"ok")</f>
        <v>155488.33000000007</v>
      </c>
      <c r="I24" s="358" t="str">
        <f>IF(SUM('DFP-CASH'!$C24:$G24)+('DFP-CASH'!I24)&gt;SUM('DFP-Com'!$C22:J22),SUM('DFP-CASH'!$C24:I24)-SUM('DFP-Com'!$C22:J22),"ok")</f>
        <v>ok</v>
      </c>
      <c r="J24" s="358" t="str">
        <f>IF(SUM('DFP-CASH'!$C24:$G24)+('DFP-CASH'!J24)&gt;SUM('DFP-Com'!$C22:K22),SUM('DFP-CASH'!$C24:J24)-SUM('DFP-Com'!$C22:K22),"ok")</f>
        <v>ok</v>
      </c>
      <c r="K24" s="358" t="str">
        <f>IF(SUM('DFP-CASH'!$C24:$G24)+('DFP-CASH'!K24)&gt;SUM('DFP-Com'!$C22:L22),SUM('DFP-CASH'!$C24:K24)-SUM('DFP-Com'!$C22:L22),"ok")</f>
        <v>ok</v>
      </c>
    </row>
    <row r="25" spans="1:11" x14ac:dyDescent="0.25">
      <c r="A25" s="195" t="s">
        <v>114</v>
      </c>
      <c r="B25" s="243">
        <f>IF('DFP-Com'!N23-'DFP-CASH'!N25=0,"ok",'DFP-Com'!N23-'DFP-CASH'!N25)</f>
        <v>-5.8207660913467407E-11</v>
      </c>
      <c r="C25" s="358" t="str">
        <f>IF(SUM('DFP-CASH'!$C25:C25)&gt;SUM('DFP-Com'!$C23:D23),SUM('DFP-CASH'!$C25:C25)-SUM('DFP-Com'!$C23:D23),"ok")</f>
        <v>ok</v>
      </c>
      <c r="D25" s="358" t="str">
        <f>IF(SUM('DFP-CASH'!$C25:D25)&gt;SUM('DFP-Com'!$C23:E23),SUM('DFP-CASH'!$C25:D25)-SUM('DFP-Com'!$C23:E23),"ok")</f>
        <v>ok</v>
      </c>
      <c r="E25" s="358" t="str">
        <f>IF(SUM('DFP-CASH'!$C25:E25)&gt;SUM('DFP-Com'!$C23:F23),SUM('DFP-CASH'!$C25:E25)-SUM('DFP-Com'!$C23:F23),"ok")</f>
        <v>ok</v>
      </c>
      <c r="F25" s="358" t="str">
        <f>IF(SUM('DFP-CASH'!$C25:F25)&gt;SUM('DFP-Com'!$C23:G23),SUM('DFP-CASH'!$C25:F25)-SUM('DFP-Com'!$C23:G23),"ok")</f>
        <v>ok</v>
      </c>
      <c r="G25" s="358" t="str">
        <f>IF(SUM('DFP-CASH'!$C25:G25)&gt;SUM('DFP-Com'!$C23:G23),SUM('DFP-CASH'!$C25:G25)-SUM('DFP-Com'!$C23:G23),"ok")</f>
        <v>ok</v>
      </c>
      <c r="H25" s="358" t="str">
        <f>IF(SUM('DFP-CASH'!$C25:$G25)+('DFP-CASH'!H25)&gt;SUM('DFP-Com'!$C23:I23),SUM('DFP-CASH'!$C25:H25)-SUM('DFP-Com'!$C23:I23),"ok")</f>
        <v>ok</v>
      </c>
      <c r="I25" s="358" t="str">
        <f>IF(SUM('DFP-CASH'!$C25:$G25)+('DFP-CASH'!I25)&gt;SUM('DFP-Com'!$C23:J23),SUM('DFP-CASH'!$C25:I25)-SUM('DFP-Com'!$C23:J23),"ok")</f>
        <v>ok</v>
      </c>
      <c r="J25" s="358" t="str">
        <f>IF(SUM('DFP-CASH'!$C25:$G25)+('DFP-CASH'!J25)&gt;SUM('DFP-Com'!$C23:K23),SUM('DFP-CASH'!$C25:J25)-SUM('DFP-Com'!$C23:K23),"ok")</f>
        <v>ok</v>
      </c>
      <c r="K25" s="358" t="str">
        <f>IF(SUM('DFP-CASH'!$C25:$G25)+('DFP-CASH'!K25)&gt;SUM('DFP-Com'!$C23:L23),SUM('DFP-CASH'!$C25:K25)-SUM('DFP-Com'!$C23:L23),"ok")</f>
        <v>ok</v>
      </c>
    </row>
    <row r="26" spans="1:11" x14ac:dyDescent="0.25">
      <c r="A26" s="195" t="s">
        <v>113</v>
      </c>
      <c r="B26" s="243">
        <f>IF('DFP-Com'!N24-'DFP-CASH'!N26=0,"ok",'DFP-Com'!N24-'DFP-CASH'!N26)</f>
        <v>3.4106051316484809E-13</v>
      </c>
      <c r="C26" s="358" t="str">
        <f>IF(SUM('DFP-CASH'!$C26:C26)&gt;SUM('DFP-Com'!$C24:D24),SUM('DFP-CASH'!$C26:C26)-SUM('DFP-Com'!$C24:D24),"ok")</f>
        <v>ok</v>
      </c>
      <c r="D26" s="358" t="str">
        <f>IF(SUM('DFP-CASH'!$C26:D26)&gt;SUM('DFP-Com'!$C24:E24),SUM('DFP-CASH'!$C26:D26)-SUM('DFP-Com'!$C24:E24),"ok")</f>
        <v>ok</v>
      </c>
      <c r="E26" s="358" t="str">
        <f>IF(SUM('DFP-CASH'!$C26:E26)&gt;SUM('DFP-Com'!$C24:F24),SUM('DFP-CASH'!$C26:E26)-SUM('DFP-Com'!$C24:F24),"ok")</f>
        <v>ok</v>
      </c>
      <c r="F26" s="358" t="str">
        <f>IF(SUM('DFP-CASH'!$C26:F26)&gt;SUM('DFP-Com'!$C24:G24),SUM('DFP-CASH'!$C26:F26)-SUM('DFP-Com'!$C24:G24),"ok")</f>
        <v>ok</v>
      </c>
      <c r="G26" s="358" t="str">
        <f>IF(SUM('DFP-CASH'!$C26:G26)&gt;SUM('DFP-Com'!$C24:G24),SUM('DFP-CASH'!$C26:G26)-SUM('DFP-Com'!$C24:G24),"ok")</f>
        <v>ok</v>
      </c>
      <c r="H26" s="358" t="str">
        <f>IF(SUM('DFP-CASH'!$C26:$G26)+('DFP-CASH'!H26)&gt;SUM('DFP-Com'!$C24:I24),SUM('DFP-CASH'!$C26:H26)-SUM('DFP-Com'!$C24:I24),"ok")</f>
        <v>ok</v>
      </c>
      <c r="I26" s="358" t="str">
        <f>IF(SUM('DFP-CASH'!$C26:$G26)+('DFP-CASH'!I26)&gt;SUM('DFP-Com'!$C24:J24),SUM('DFP-CASH'!$C26:I26)-SUM('DFP-Com'!$C24:J24),"ok")</f>
        <v>ok</v>
      </c>
      <c r="J26" s="358" t="str">
        <f>IF(SUM('DFP-CASH'!$C26:$G26)+('DFP-CASH'!J26)&gt;SUM('DFP-Com'!$C24:K24),SUM('DFP-CASH'!$C26:J26)-SUM('DFP-Com'!$C24:K24),"ok")</f>
        <v>ok</v>
      </c>
      <c r="K26" s="358" t="str">
        <f>IF(SUM('DFP-CASH'!$C26:$G26)+('DFP-CASH'!K26)&gt;SUM('DFP-Com'!$C24:L24),SUM('DFP-CASH'!$C26:K26)-SUM('DFP-Com'!$C24:L24),"ok")</f>
        <v>ok</v>
      </c>
    </row>
    <row r="27" spans="1:11" x14ac:dyDescent="0.25">
      <c r="A27" s="46" t="s">
        <v>61</v>
      </c>
      <c r="B27" s="243">
        <f>IF('DFP-Com'!N25-'DFP-CASH'!N27=0,"ok",'DFP-Com'!N25-'DFP-CASH'!N27)</f>
        <v>2.1564073860645294E-2</v>
      </c>
      <c r="C27" s="358" t="str">
        <f>IF(SUM('DFP-CASH'!$C27:C27)&gt;SUM('DFP-Com'!$C25:D25),SUM('DFP-CASH'!$C27:C27)-SUM('DFP-Com'!$C25:D25),"ok")</f>
        <v>ok</v>
      </c>
      <c r="D27" s="358" t="str">
        <f>IF(SUM('DFP-CASH'!$C27:D27)&gt;SUM('DFP-Com'!$C25:E25),SUM('DFP-CASH'!$C27:D27)-SUM('DFP-Com'!$C25:E25),"ok")</f>
        <v>ok</v>
      </c>
      <c r="E27" s="358" t="str">
        <f>IF(SUM('DFP-CASH'!$C27:E27)&gt;SUM('DFP-Com'!$C25:F25),SUM('DFP-CASH'!$C27:E27)-SUM('DFP-Com'!$C25:F25),"ok")</f>
        <v>ok</v>
      </c>
      <c r="F27" s="358" t="str">
        <f>IF(SUM('DFP-CASH'!$C27:F27)&gt;SUM('DFP-Com'!$C25:G25),SUM('DFP-CASH'!$C27:F27)-SUM('DFP-Com'!$C25:G25),"ok")</f>
        <v>ok</v>
      </c>
      <c r="G27" s="358" t="str">
        <f>IF(SUM('DFP-CASH'!$C27:G27)&gt;SUM('DFP-Com'!$C25:G25),SUM('DFP-CASH'!$C27:G27)-SUM('DFP-Com'!$C25:G25),"ok")</f>
        <v>ok</v>
      </c>
      <c r="H27" s="358" t="str">
        <f>IF(SUM('DFP-CASH'!$C27:H27)&gt;SUM('DFP-Com'!$C25:H25),SUM('DFP-CASH'!$C27:H27)-SUM('DFP-Com'!$C25:H25),"ok")</f>
        <v>ok</v>
      </c>
      <c r="I27" s="358" t="str">
        <f>IF(SUM('DFP-CASH'!$C27:$G27)+('DFP-CASH'!I27)&gt;SUM('DFP-Com'!$C25:J25),SUM('DFP-CASH'!$C27:I27)-SUM('DFP-Com'!$C25:J25),"ok")</f>
        <v>ok</v>
      </c>
      <c r="J27" s="358" t="str">
        <f>IF(SUM('DFP-CASH'!$C27:$G27)+('DFP-CASH'!J27)&gt;SUM('DFP-Com'!$C25:K25),SUM('DFP-CASH'!$C27:J27)-SUM('DFP-Com'!$C25:K25),"ok")</f>
        <v>ok</v>
      </c>
      <c r="K27" s="358" t="str">
        <f>IF(SUM('DFP-CASH'!$C27:$G27)+('DFP-CASH'!K27)&gt;SUM('DFP-Com'!$C25:L25),SUM('DFP-CASH'!$C27:K27)-SUM('DFP-Com'!$C25:L25),"ok")</f>
        <v>ok</v>
      </c>
    </row>
    <row r="28" spans="1:11" x14ac:dyDescent="0.25">
      <c r="A28" s="48"/>
      <c r="B28" s="243" t="str">
        <f>IF('DFP-Com'!N26-'DFP-CASH'!N28=0,"ok",'DFP-Com'!N26-'DFP-CASH'!N28)</f>
        <v>ok</v>
      </c>
      <c r="C28" s="358" t="str">
        <f>IF(SUM('DFP-CASH'!$C28:C28)&gt;SUM('DFP-Com'!$C26:D26),SUM('DFP-CASH'!$C28:C28)-SUM('DFP-Com'!$C26:D26),"ok")</f>
        <v>ok</v>
      </c>
      <c r="D28" s="358" t="str">
        <f>IF(SUM('DFP-CASH'!$C28:D28)&gt;SUM('DFP-Com'!$C26:E26),SUM('DFP-CASH'!$C28:D28)-SUM('DFP-Com'!$C26:E26),"ok")</f>
        <v>ok</v>
      </c>
      <c r="E28" s="358" t="str">
        <f>IF(SUM('DFP-CASH'!$C28:E28)&gt;SUM('DFP-Com'!$C26:F26),SUM('DFP-CASH'!$C28:E28)-SUM('DFP-Com'!$C26:F26),"ok")</f>
        <v>ok</v>
      </c>
      <c r="F28" s="358" t="str">
        <f>IF(SUM('DFP-CASH'!$C28:F28)&gt;SUM('DFP-Com'!$C26:G26),SUM('DFP-CASH'!$C28:F28)-SUM('DFP-Com'!$C26:G26),"ok")</f>
        <v>ok</v>
      </c>
      <c r="G28" s="358" t="str">
        <f>IF(SUM('DFP-CASH'!$C28:G28)&gt;SUM('DFP-Com'!$C26:G26),SUM('DFP-CASH'!$C28:G28)-SUM('DFP-Com'!$C26:G26),"ok")</f>
        <v>ok</v>
      </c>
      <c r="H28" s="358" t="str">
        <f>IF(SUM('DFP-CASH'!$C28:$G28)+('DFP-CASH'!H28)&gt;SUM('DFP-Com'!$C26:I26),SUM('DFP-CASH'!$C28:H28)-SUM('DFP-Com'!$C26:I26),"ok")</f>
        <v>ok</v>
      </c>
      <c r="I28" s="358" t="str">
        <f>IF(SUM('DFP-CASH'!$C28:$G28)+('DFP-CASH'!I28)&gt;SUM('DFP-Com'!$C26:J26),SUM('DFP-CASH'!$C28:I28)-SUM('DFP-Com'!$C26:J26),"ok")</f>
        <v>ok</v>
      </c>
      <c r="J28" s="358" t="str">
        <f>IF(SUM('DFP-CASH'!$C28:$G28)+('DFP-CASH'!J28)&gt;SUM('DFP-Com'!$C26:K26),SUM('DFP-CASH'!$C28:J28)-SUM('DFP-Com'!$C26:K26),"ok")</f>
        <v>ok</v>
      </c>
      <c r="K28" s="358" t="str">
        <f>IF(SUM('DFP-CASH'!$C28:$G28)+('DFP-CASH'!K28)&gt;SUM('DFP-Com'!$C26:L26),SUM('DFP-CASH'!$C28:K28)-SUM('DFP-Com'!$C26:L26),"ok")</f>
        <v>ok</v>
      </c>
    </row>
    <row r="29" spans="1:11" x14ac:dyDescent="0.25">
      <c r="A29" s="40" t="s">
        <v>73</v>
      </c>
      <c r="B29" s="243" t="str">
        <f>IF('DFP-Com'!N27-'DFP-CASH'!N29=0,"ok",'DFP-Com'!N27-'DFP-CASH'!N29)</f>
        <v>ok</v>
      </c>
      <c r="C29" s="358" t="str">
        <f>IF(SUM('DFP-CASH'!$C29:C29)&gt;SUM('DFP-Com'!$C27:D27),SUM('DFP-CASH'!$C29:C29)-SUM('DFP-Com'!$C27:D27),"ok")</f>
        <v>ok</v>
      </c>
      <c r="D29" s="358" t="str">
        <f>IF(SUM('DFP-CASH'!$C29:D29)&gt;SUM('DFP-Com'!$C27:E27),SUM('DFP-CASH'!$C29:D29)-SUM('DFP-Com'!$C27:E27),"ok")</f>
        <v>ok</v>
      </c>
      <c r="E29" s="358" t="str">
        <f>IF(SUM('DFP-CASH'!$C29:E29)&gt;SUM('DFP-Com'!$C27:F27),SUM('DFP-CASH'!$C29:E29)-SUM('DFP-Com'!$C27:F27),"ok")</f>
        <v>ok</v>
      </c>
      <c r="F29" s="358" t="str">
        <f>IF(SUM('DFP-CASH'!$C29:F29)&gt;SUM('DFP-Com'!$C27:G27),SUM('DFP-CASH'!$C29:F29)-SUM('DFP-Com'!$C27:G27),"ok")</f>
        <v>ok</v>
      </c>
      <c r="G29" s="358" t="str">
        <f>IF(SUM('DFP-CASH'!$C29:G29)&gt;SUM('DFP-Com'!$C27:G27),SUM('DFP-CASH'!$C29:G29)-SUM('DFP-Com'!$C27:G27),"ok")</f>
        <v>ok</v>
      </c>
      <c r="H29" s="358" t="str">
        <f>IF(SUM('DFP-CASH'!$C29:$G29)+('DFP-CASH'!H29)&gt;SUM('DFP-Com'!$C27:I27),SUM('DFP-CASH'!$C29:H29)-SUM('DFP-Com'!$C27:I27),"ok")</f>
        <v>ok</v>
      </c>
      <c r="I29" s="358" t="str">
        <f>IF(SUM('DFP-CASH'!$C29:$G29)+('DFP-CASH'!I29)&gt;SUM('DFP-Com'!$C27:J27),SUM('DFP-CASH'!$C29:I29)-SUM('DFP-Com'!$C27:J27),"ok")</f>
        <v>ok</v>
      </c>
      <c r="J29" s="358" t="str">
        <f>IF(SUM('DFP-CASH'!$C29:$G29)+('DFP-CASH'!J29)&gt;SUM('DFP-Com'!$C27:K27),SUM('DFP-CASH'!$C29:J29)-SUM('DFP-Com'!$C27:K27),"ok")</f>
        <v>ok</v>
      </c>
      <c r="K29" s="358" t="str">
        <f>IF(SUM('DFP-CASH'!$C29:$G29)+('DFP-CASH'!K29)&gt;SUM('DFP-Com'!$C27:L27),SUM('DFP-CASH'!$C29:K29)-SUM('DFP-Com'!$C27:L27),"ok")</f>
        <v>ok</v>
      </c>
    </row>
    <row r="30" spans="1:11" x14ac:dyDescent="0.25">
      <c r="A30" s="45" t="s">
        <v>115</v>
      </c>
      <c r="B30" s="243">
        <f>IF('DFP-Com'!N28-'DFP-CASH'!N30=0,"ok",'DFP-Com'!N28-'DFP-CASH'!N30)</f>
        <v>1.1641532182693481E-10</v>
      </c>
      <c r="C30" s="358" t="str">
        <f>IF(SUM('DFP-CASH'!$C30:C30)&gt;SUM('DFP-Com'!$C28:D28),SUM('DFP-CASH'!$C30:C30)-SUM('DFP-Com'!$C28:D28),"ok")</f>
        <v>ok</v>
      </c>
      <c r="D30" s="358" t="str">
        <f>IF(SUM('DFP-CASH'!$C30:D30)&gt;SUM('DFP-Com'!$C28:E28),SUM('DFP-CASH'!$C30:D30)-SUM('DFP-Com'!$C28:E28),"ok")</f>
        <v>ok</v>
      </c>
      <c r="E30" s="358" t="str">
        <f>IF(SUM('DFP-CASH'!$C30:E30)&gt;SUM('DFP-Com'!$C28:F28),SUM('DFP-CASH'!$C30:E30)-SUM('DFP-Com'!$C28:F28),"ok")</f>
        <v>ok</v>
      </c>
      <c r="F30" s="358" t="str">
        <f>IF(SUM('DFP-CASH'!$C30:F30)&gt;SUM('DFP-Com'!$C28:G28),SUM('DFP-CASH'!$C30:F30)-SUM('DFP-Com'!$C28:G28),"ok")</f>
        <v>ok</v>
      </c>
      <c r="G30" s="358" t="str">
        <f>IF(SUM('DFP-CASH'!$C30:G30)&gt;SUM('DFP-Com'!$C28:G28),SUM('DFP-CASH'!$C30:G30)-SUM('DFP-Com'!$C28:G28),"ok")</f>
        <v>ok</v>
      </c>
      <c r="H30" s="358" t="str">
        <f>IF(SUM('DFP-CASH'!$C30:$G30)+('DFP-CASH'!H30)&gt;SUM('DFP-Com'!$C28:I28),SUM('DFP-CASH'!$C30:H30)-SUM('DFP-Com'!$C28:I28),"ok")</f>
        <v>ok</v>
      </c>
      <c r="I30" s="358" t="str">
        <f>IF(SUM('DFP-CASH'!$C30:$G30)+('DFP-CASH'!I30)&gt;SUM('DFP-Com'!$C28:J28),SUM('DFP-CASH'!$C30:I30)-SUM('DFP-Com'!$C28:J28),"ok")</f>
        <v>ok</v>
      </c>
      <c r="J30" s="358" t="str">
        <f>IF(SUM('DFP-CASH'!$C30:$G30)+('DFP-CASH'!J30)&gt;SUM('DFP-Com'!$C28:K28),SUM('DFP-CASH'!$C30:J30)-SUM('DFP-Com'!$C28:K28),"ok")</f>
        <v>ok</v>
      </c>
      <c r="K30" s="358" t="str">
        <f>IF(SUM('DFP-CASH'!$C30:$G30)+('DFP-CASH'!K30)&gt;SUM('DFP-Com'!$C28:L28),SUM('DFP-CASH'!$C30:K30)-SUM('DFP-Com'!$C28:L28),"ok")</f>
        <v>ok</v>
      </c>
    </row>
    <row r="31" spans="1:11" x14ac:dyDescent="0.25">
      <c r="A31" s="195" t="s">
        <v>108</v>
      </c>
      <c r="B31" s="243">
        <f>IF('DFP-Com'!N29-'DFP-CASH'!N31=0,"ok",'DFP-Com'!N29-'DFP-CASH'!N31)</f>
        <v>1.1641532182693481E-10</v>
      </c>
      <c r="C31" s="358" t="str">
        <f>IF(SUM('DFP-CASH'!$C31:C31)&gt;SUM('DFP-Com'!$C29:D29),SUM('DFP-CASH'!$C31:C31)-SUM('DFP-Com'!$C29:D29),"ok")</f>
        <v>ok</v>
      </c>
      <c r="D31" s="358" t="str">
        <f>IF(SUM('DFP-CASH'!$C31:D31)&gt;SUM('DFP-Com'!$C29:E29),SUM('DFP-CASH'!$C31:D31)-SUM('DFP-Com'!$C29:E29),"ok")</f>
        <v>ok</v>
      </c>
      <c r="E31" s="358" t="str">
        <f>IF(SUM('DFP-CASH'!$C31:E31)&gt;SUM('DFP-Com'!$C29:F29),SUM('DFP-CASH'!$C31:E31)-SUM('DFP-Com'!$C29:F29),"ok")</f>
        <v>ok</v>
      </c>
      <c r="F31" s="358" t="str">
        <f>IF(SUM('DFP-CASH'!$C31:F31)&gt;SUM('DFP-Com'!$C29:G29),SUM('DFP-CASH'!$C31:F31)-SUM('DFP-Com'!$C29:G29),"ok")</f>
        <v>ok</v>
      </c>
      <c r="G31" s="358" t="str">
        <f>IF(SUM('DFP-CASH'!$C31:G31)&gt;SUM('DFP-Com'!$C29:G29),SUM('DFP-CASH'!$C31:G31)-SUM('DFP-Com'!$C29:G29),"ok")</f>
        <v>ok</v>
      </c>
      <c r="H31" s="358" t="str">
        <f>IF(SUM('DFP-CASH'!$C31:$G31)+('DFP-CASH'!H31)&gt;SUM('DFP-Com'!$C29:I29),SUM('DFP-CASH'!$C31:H31)-SUM('DFP-Com'!$C29:I29),"ok")</f>
        <v>ok</v>
      </c>
      <c r="I31" s="358" t="str">
        <f>IF(SUM('DFP-CASH'!$C31:$G31)+('DFP-CASH'!I31)&gt;SUM('DFP-Com'!$C29:J29),SUM('DFP-CASH'!$C31:I31)-SUM('DFP-Com'!$C29:J29),"ok")</f>
        <v>ok</v>
      </c>
      <c r="J31" s="358" t="str">
        <f>IF(SUM('DFP-CASH'!$C31:$G31)+('DFP-CASH'!J31)&gt;SUM('DFP-Com'!$C29:K29),SUM('DFP-CASH'!$C31:J31)-SUM('DFP-Com'!$C29:K29),"ok")</f>
        <v>ok</v>
      </c>
      <c r="K31" s="358" t="str">
        <f>IF(SUM('DFP-CASH'!$C31:$G31)+('DFP-CASH'!K31)&gt;SUM('DFP-Com'!$C29:L29),SUM('DFP-CASH'!$C31:K31)-SUM('DFP-Com'!$C29:L29),"ok")</f>
        <v>ok</v>
      </c>
    </row>
    <row r="32" spans="1:11" ht="25.5" x14ac:dyDescent="0.25">
      <c r="A32" s="45" t="s">
        <v>77</v>
      </c>
      <c r="B32" s="243" t="str">
        <f>IF('DFP-Com'!N30-'DFP-CASH'!N32=0,"ok",'DFP-Com'!N30-'DFP-CASH'!N32)</f>
        <v>ok</v>
      </c>
      <c r="C32" s="358" t="str">
        <f>IF(SUM('DFP-CASH'!$C32:C32)&gt;SUM('DFP-Com'!$C30:D30),SUM('DFP-CASH'!$C32:C32)-SUM('DFP-Com'!$C30:D30),"ok")</f>
        <v>ok</v>
      </c>
      <c r="D32" s="358" t="str">
        <f>IF(SUM('DFP-CASH'!$C32:D32)&gt;SUM('DFP-Com'!$C30:E30),SUM('DFP-CASH'!$C32:D32)-SUM('DFP-Com'!$C30:E30),"ok")</f>
        <v>ok</v>
      </c>
      <c r="E32" s="358" t="str">
        <f>IF(SUM('DFP-CASH'!$C32:E32)&gt;SUM('DFP-Com'!$C30:F30),SUM('DFP-CASH'!$C32:E32)-SUM('DFP-Com'!$C30:F30),"ok")</f>
        <v>ok</v>
      </c>
      <c r="F32" s="358" t="str">
        <f>IF(SUM('DFP-CASH'!$C32:F32)&gt;SUM('DFP-Com'!$C30:G30),SUM('DFP-CASH'!$C32:F32)-SUM('DFP-Com'!$C30:G30),"ok")</f>
        <v>ok</v>
      </c>
      <c r="G32" s="358" t="str">
        <f>IF(SUM('DFP-CASH'!$C32:G32)&gt;SUM('DFP-Com'!$C30:G30),SUM('DFP-CASH'!$C32:G32)-SUM('DFP-Com'!$C30:G30),"ok")</f>
        <v>ok</v>
      </c>
      <c r="H32" s="358" t="str">
        <f>IF(SUM('DFP-CASH'!$C32:$G32)+('DFP-CASH'!H32)&gt;SUM('DFP-Com'!$C30:I30),SUM('DFP-CASH'!$C32:H32)-SUM('DFP-Com'!$C30:I30),"ok")</f>
        <v>ok</v>
      </c>
      <c r="I32" s="358" t="str">
        <f>IF(SUM('DFP-CASH'!$C32:$G32)+('DFP-CASH'!I32)&gt;SUM('DFP-Com'!$C30:J30),SUM('DFP-CASH'!$C32:I32)-SUM('DFP-Com'!$C30:J30),"ok")</f>
        <v>ok</v>
      </c>
      <c r="J32" s="358" t="str">
        <f>IF(SUM('DFP-CASH'!$C32:$G32)+('DFP-CASH'!J32)&gt;SUM('DFP-Com'!$C30:K30),SUM('DFP-CASH'!$C32:J32)-SUM('DFP-Com'!$C30:K30),"ok")</f>
        <v>ok</v>
      </c>
      <c r="K32" s="358" t="str">
        <f>IF(SUM('DFP-CASH'!$C32:$G32)+('DFP-CASH'!K32)&gt;SUM('DFP-Com'!$C30:L30),SUM('DFP-CASH'!$C32:K32)-SUM('DFP-Com'!$C30:L30),"ok")</f>
        <v>ok</v>
      </c>
    </row>
    <row r="33" spans="1:11" x14ac:dyDescent="0.25">
      <c r="A33" s="195" t="s">
        <v>109</v>
      </c>
      <c r="B33" s="243">
        <f>IF('DFP-Com'!N31-'DFP-CASH'!N33=0,"ok",'DFP-Com'!N31-'DFP-CASH'!N33)</f>
        <v>-1.1641532182693481E-10</v>
      </c>
      <c r="C33" s="358" t="str">
        <f>IF(SUM('DFP-CASH'!$C33:C33)&gt;SUM('DFP-Com'!$C31:D31),SUM('DFP-CASH'!$C33:C33)-SUM('DFP-Com'!$C31:D31),"ok")</f>
        <v>ok</v>
      </c>
      <c r="D33" s="358" t="str">
        <f>IF(SUM('DFP-CASH'!$C33:D33)&gt;SUM('DFP-Com'!$C31:E31),SUM('DFP-CASH'!$C33:D33)-SUM('DFP-Com'!$C31:E31),"ok")</f>
        <v>ok</v>
      </c>
      <c r="E33" s="358" t="str">
        <f>IF(SUM('DFP-CASH'!$C33:E33)&gt;SUM('DFP-Com'!$C31:F31),SUM('DFP-CASH'!$C33:E33)-SUM('DFP-Com'!$C31:F31),"ok")</f>
        <v>ok</v>
      </c>
      <c r="F33" s="358" t="str">
        <f>IF(SUM('DFP-CASH'!$C33:F33)&gt;SUM('DFP-Com'!$C31:G31),SUM('DFP-CASH'!$C33:F33)-SUM('DFP-Com'!$C31:G31),"ok")</f>
        <v>ok</v>
      </c>
      <c r="G33" s="358" t="str">
        <f>IF(SUM('DFP-CASH'!$C33:G33)&gt;SUM('DFP-Com'!$C31:G31),SUM('DFP-CASH'!$C33:G33)-SUM('DFP-Com'!$C31:G31),"ok")</f>
        <v>ok</v>
      </c>
      <c r="H33" s="358" t="str">
        <f>IF(SUM('DFP-CASH'!$C33:$G33)+('DFP-CASH'!H33)&gt;SUM('DFP-Com'!$C31:I31),SUM('DFP-CASH'!$C33:H33)-SUM('DFP-Com'!$C31:I31),"ok")</f>
        <v>ok</v>
      </c>
      <c r="I33" s="358" t="str">
        <f>IF(SUM('DFP-CASH'!$C33:$G33)+('DFP-CASH'!I33)&gt;SUM('DFP-Com'!$C31:J31),SUM('DFP-CASH'!$C33:I33)-SUM('DFP-Com'!$C31:J31),"ok")</f>
        <v>ok</v>
      </c>
      <c r="J33" s="358" t="str">
        <f>IF(SUM('DFP-CASH'!$C33:$G33)+('DFP-CASH'!J33)&gt;SUM('DFP-Com'!$C31:K31),SUM('DFP-CASH'!$C33:J33)-SUM('DFP-Com'!$C31:K31),"ok")</f>
        <v>ok</v>
      </c>
      <c r="K33" s="358" t="str">
        <f>IF(SUM('DFP-CASH'!$C33:$G33)+('DFP-CASH'!K33)&gt;SUM('DFP-Com'!$C31:L31),SUM('DFP-CASH'!$C33:K33)-SUM('DFP-Com'!$C31:L31),"ok")</f>
        <v>ok</v>
      </c>
    </row>
    <row r="34" spans="1:11" x14ac:dyDescent="0.25">
      <c r="A34" s="195" t="s">
        <v>110</v>
      </c>
      <c r="B34" s="243">
        <f>IF('DFP-Com'!N32-'DFP-CASH'!N34=0,"ok",'DFP-Com'!N32-'DFP-CASH'!N34)</f>
        <v>1.1641532182693481E-10</v>
      </c>
      <c r="C34" s="358" t="str">
        <f>IF(SUM('DFP-CASH'!$C34:C34)&gt;SUM('DFP-Com'!$C32:D32),SUM('DFP-CASH'!$C34:C34)-SUM('DFP-Com'!$C32:D32),"ok")</f>
        <v>ok</v>
      </c>
      <c r="D34" s="358" t="str">
        <f>IF(SUM('DFP-CASH'!$C34:D34)&gt;SUM('DFP-Com'!$C32:E32),SUM('DFP-CASH'!$C34:D34)-SUM('DFP-Com'!$C32:E32),"ok")</f>
        <v>ok</v>
      </c>
      <c r="E34" s="358" t="str">
        <f>IF(SUM('DFP-CASH'!$C34:F34)&gt;SUM('DFP-Com'!$C32:G32),SUM('DFP-CASH'!$C34:F34)-SUM('DFP-Com'!$C32:G32),"ok")</f>
        <v>ok</v>
      </c>
      <c r="F34" s="358" t="str">
        <f>IF(SUM('DFP-CASH'!$C34:F34)&gt;SUM('DFP-Com'!$C32:G32),SUM('DFP-CASH'!$C34:F34)-SUM('DFP-Com'!$C32:G32),"ok")</f>
        <v>ok</v>
      </c>
      <c r="G34" s="358" t="str">
        <f>IF(SUM('DFP-CASH'!$C34:G34)&gt;SUM('DFP-Com'!$C32:G32),SUM('DFP-CASH'!$C34:G34)-SUM('DFP-Com'!$C32:G32),"ok")</f>
        <v>ok</v>
      </c>
      <c r="H34" s="358" t="str">
        <f>IF(SUM('DFP-CASH'!$C34:$G34)+('DFP-CASH'!H34)&gt;SUM('DFP-Com'!$C32:I32),SUM('DFP-CASH'!$C34:H34)-SUM('DFP-Com'!$C32:I32),"ok")</f>
        <v>ok</v>
      </c>
      <c r="I34" s="358" t="str">
        <f>IF(SUM('DFP-CASH'!$C34:$G34)+('DFP-CASH'!I34)&gt;SUM('DFP-Com'!$C32:J32),SUM('DFP-CASH'!$C34:I34)-SUM('DFP-Com'!$C32:J32),"ok")</f>
        <v>ok</v>
      </c>
      <c r="J34" s="358" t="str">
        <f>IF(SUM('DFP-CASH'!$C34:$G34)+('DFP-CASH'!J34)&gt;SUM('DFP-Com'!$C32:K32),SUM('DFP-CASH'!$C34:J34)-SUM('DFP-Com'!$C32:K32),"ok")</f>
        <v>ok</v>
      </c>
      <c r="K34" s="358" t="str">
        <f>IF(SUM('DFP-CASH'!$C34:$G34)+('DFP-CASH'!K34)&gt;SUM('DFP-Com'!$C32:L32),SUM('DFP-CASH'!$C34:K34)-SUM('DFP-Com'!$C32:L32),"ok")</f>
        <v>ok</v>
      </c>
    </row>
    <row r="35" spans="1:11" x14ac:dyDescent="0.25">
      <c r="A35" s="195" t="s">
        <v>112</v>
      </c>
      <c r="B35" s="243" t="str">
        <f>IF('DFP-Com'!N33-'DFP-CASH'!N35=0,"ok",'DFP-Com'!N33-'DFP-CASH'!N35)</f>
        <v>ok</v>
      </c>
      <c r="C35" s="358" t="str">
        <f>IF(SUM('DFP-CASH'!$C35:C35)&gt;SUM('DFP-Com'!$C33:G33),SUM('DFP-CASH'!$C35:C35)-SUM('DFP-Com'!$C33:G33),"ok")</f>
        <v>ok</v>
      </c>
      <c r="D35" s="358" t="str">
        <f>IF(SUM('DFP-CASH'!$C35:D35)&gt;SUM('DFP-Com'!$C33:G33),SUM('DFP-CASH'!$C35:D35)-SUM('DFP-Com'!$C33:G33),"ok")</f>
        <v>ok</v>
      </c>
      <c r="E35" s="358" t="str">
        <f>IF(SUM('DFP-CASH'!$C35:E35)&gt;SUM('DFP-Com'!$C33:F33),SUM('DFP-CASH'!$C35:E35)-SUM('DFP-Com'!$C33:F33),"ok")</f>
        <v>ok</v>
      </c>
      <c r="F35" s="358" t="str">
        <f>IF(SUM('DFP-CASH'!$C35:F35)&gt;SUM('DFP-Com'!$C33:G33),SUM('DFP-CASH'!$C35:F35)-SUM('DFP-Com'!$C33:G33),"ok")</f>
        <v>ok</v>
      </c>
      <c r="G35" s="358" t="str">
        <f>IF(SUM('DFP-CASH'!$C35:G35)&gt;SUM('DFP-Com'!$C33:G33),SUM('DFP-CASH'!$C35:G35)-SUM('DFP-Com'!$C33:G33),"ok")</f>
        <v>ok</v>
      </c>
      <c r="H35" s="358" t="str">
        <f>IF(SUM('DFP-CASH'!$C35:$G35)+('DFP-CASH'!H35)&gt;SUM('DFP-Com'!$C33:I33),SUM('DFP-CASH'!$C35:H35)-SUM('DFP-Com'!$C33:I33),"ok")</f>
        <v>ok</v>
      </c>
      <c r="I35" s="358" t="str">
        <f>IF(SUM('DFP-CASH'!$C35:$G35)+('DFP-CASH'!I35)&gt;SUM('DFP-Com'!$C33:J33),SUM('DFP-CASH'!$C35:I35)-SUM('DFP-Com'!$C33:J33),"ok")</f>
        <v>ok</v>
      </c>
      <c r="J35" s="358" t="str">
        <f>IF(SUM('DFP-CASH'!$C35:$G35)+('DFP-CASH'!J35)&gt;SUM('DFP-Com'!$C33:K33),SUM('DFP-CASH'!$C35:J35)-SUM('DFP-Com'!$C33:K33),"ok")</f>
        <v>ok</v>
      </c>
      <c r="K35" s="358" t="str">
        <f>IF(SUM('DFP-CASH'!$C35:$G35)+('DFP-CASH'!K35)&gt;SUM('DFP-Com'!$C33:L33),SUM('DFP-CASH'!$C35:K35)-SUM('DFP-Com'!$C33:L33),"ok")</f>
        <v>ok</v>
      </c>
    </row>
    <row r="36" spans="1:11" x14ac:dyDescent="0.25">
      <c r="A36" s="53" t="s">
        <v>62</v>
      </c>
      <c r="B36" s="243" t="str">
        <f>IF('DFP-Com'!N34-'DFP-CASH'!N36=0,"ok",'DFP-Com'!N34-'DFP-CASH'!N36)</f>
        <v>ok</v>
      </c>
      <c r="C36" s="358" t="str">
        <f>IF(SUM('DFP-CASH'!$C36:C36)&gt;SUM('DFP-Com'!$C34:D34),SUM('DFP-CASH'!$C36:C36)-SUM('DFP-Com'!$C34:D34),"ok")</f>
        <v>ok</v>
      </c>
      <c r="D36" s="358" t="str">
        <f>IF(SUM('DFP-CASH'!$C36:D36)&gt;SUM('DFP-Com'!$C34:E34),SUM('DFP-CASH'!$C36:D36)-SUM('DFP-Com'!$C34:E34),"ok")</f>
        <v>ok</v>
      </c>
      <c r="E36" s="358" t="str">
        <f>IF(SUM('DFP-CASH'!$C36:E36)&gt;SUM('DFP-Com'!$C34:F34),SUM('DFP-CASH'!$C36:E36)-SUM('DFP-Com'!$C34:F34),"ok")</f>
        <v>ok</v>
      </c>
      <c r="F36" s="358" t="str">
        <f>IF(SUM('DFP-CASH'!$C36:F36)&gt;SUM('DFP-Com'!$C34:G34),SUM('DFP-CASH'!$C36:F36)-SUM('DFP-Com'!$C34:G34),"ok")</f>
        <v>ok</v>
      </c>
      <c r="G36" s="358" t="str">
        <f>IF(SUM('DFP-CASH'!$C36:G36)&gt;SUM('DFP-Com'!$C34:G34),SUM('DFP-CASH'!$C36:G36)-SUM('DFP-Com'!$C34:G34),"ok")</f>
        <v>ok</v>
      </c>
      <c r="H36" s="358" t="str">
        <f>IF(SUM('DFP-CASH'!$C36:$G36)+('DFP-CASH'!H36)&gt;SUM('DFP-Com'!$C34:I34),SUM('DFP-CASH'!$C36:H36)-SUM('DFP-Com'!$C34:I34),"ok")</f>
        <v>ok</v>
      </c>
      <c r="I36" s="358" t="str">
        <f>IF(SUM('DFP-CASH'!$C36:$G36)+('DFP-CASH'!I36)&gt;SUM('DFP-Com'!$C34:J34),SUM('DFP-CASH'!$C36:I36)-SUM('DFP-Com'!$C34:J34),"ok")</f>
        <v>ok</v>
      </c>
      <c r="J36" s="358" t="str">
        <f>IF(SUM('DFP-CASH'!$C36:$G36)+('DFP-CASH'!J36)&gt;SUM('DFP-Com'!$C34:K34),SUM('DFP-CASH'!$C36:J36)-SUM('DFP-Com'!$C34:K34),"ok")</f>
        <v>ok</v>
      </c>
      <c r="K36" s="358" t="str">
        <f>IF(SUM('DFP-CASH'!$C36:$G36)+('DFP-CASH'!K36)&gt;SUM('DFP-Com'!$C34:L34),SUM('DFP-CASH'!$C36:K36)-SUM('DFP-Com'!$C34:L34),"ok")</f>
        <v>ok</v>
      </c>
    </row>
    <row r="37" spans="1:11" x14ac:dyDescent="0.25">
      <c r="A37" s="48"/>
      <c r="B37" s="243" t="str">
        <f>IF('DFP-Com'!N35-'DFP-CASH'!N37=0,"ok",'DFP-Com'!N35-'DFP-CASH'!N37)</f>
        <v>ok</v>
      </c>
      <c r="C37" s="358" t="str">
        <f>IF(SUM('DFP-CASH'!$C37:C37)&gt;SUM('DFP-Com'!$C35:D35),SUM('DFP-CASH'!$C37:C37)-SUM('DFP-Com'!$C35:D35),"ok")</f>
        <v>ok</v>
      </c>
      <c r="D37" s="358" t="str">
        <f>IF(SUM('DFP-CASH'!$C37:D37)&gt;SUM('DFP-Com'!$C35:E35),SUM('DFP-CASH'!$C37:D37)-SUM('DFP-Com'!$C35:E35),"ok")</f>
        <v>ok</v>
      </c>
      <c r="E37" s="358" t="str">
        <f>IF(SUM('DFP-CASH'!$C37:E37)&gt;SUM('DFP-Com'!$C35:F35),SUM('DFP-CASH'!$C37:E37)-SUM('DFP-Com'!$C35:F35),"ok")</f>
        <v>ok</v>
      </c>
      <c r="F37" s="358" t="str">
        <f>IF(SUM('DFP-CASH'!$C37:F37)&gt;SUM('DFP-Com'!$C35:G35),SUM('DFP-CASH'!$C37:F37)-SUM('DFP-Com'!$C35:G35),"ok")</f>
        <v>ok</v>
      </c>
      <c r="G37" s="358" t="str">
        <f>IF(SUM('DFP-CASH'!$C37:G37)&gt;SUM('DFP-Com'!$C35:G35),SUM('DFP-CASH'!$C37:G37)-SUM('DFP-Com'!$C35:G35),"ok")</f>
        <v>ok</v>
      </c>
      <c r="H37" s="358" t="str">
        <f>IF(SUM('DFP-CASH'!$C37:$G37)+('DFP-CASH'!H37)&gt;SUM('DFP-Com'!$C35:I35),SUM('DFP-CASH'!$C37:H37)-SUM('DFP-Com'!$C35:I35),"ok")</f>
        <v>ok</v>
      </c>
      <c r="I37" s="358" t="str">
        <f>IF(SUM('DFP-CASH'!$C37:$G37)+('DFP-CASH'!I37)&gt;SUM('DFP-Com'!$C35:J35),SUM('DFP-CASH'!$C37:I37)-SUM('DFP-Com'!$C35:J35),"ok")</f>
        <v>ok</v>
      </c>
      <c r="J37" s="358" t="str">
        <f>IF(SUM('DFP-CASH'!$C37:$G37)+('DFP-CASH'!J37)&gt;SUM('DFP-Com'!$C35:K35),SUM('DFP-CASH'!$C37:J37)-SUM('DFP-Com'!$C35:K35),"ok")</f>
        <v>ok</v>
      </c>
      <c r="K37" s="358" t="str">
        <f>IF(SUM('DFP-CASH'!$C37:$G37)+('DFP-CASH'!K37)&gt;SUM('DFP-Com'!$C35:L35),SUM('DFP-CASH'!$C37:K37)-SUM('DFP-Com'!$C35:L35),"ok")</f>
        <v>ok</v>
      </c>
    </row>
    <row r="38" spans="1:11" x14ac:dyDescent="0.25">
      <c r="A38" s="40" t="s">
        <v>81</v>
      </c>
      <c r="B38" s="243" t="str">
        <f>IF('DFP-Com'!N36-'DFP-CASH'!N38=0,"ok",'DFP-Com'!N36-'DFP-CASH'!N38)</f>
        <v>ok</v>
      </c>
      <c r="C38" s="358" t="str">
        <f>IF(SUM('DFP-CASH'!$C38:C38)&gt;SUM('DFP-Com'!$C36:D36),SUM('DFP-CASH'!$C38:C38)-SUM('DFP-Com'!$C36:D36),"ok")</f>
        <v>ok</v>
      </c>
      <c r="D38" s="358" t="str">
        <f>IF(SUM('DFP-CASH'!$C38:D38)&gt;SUM('DFP-Com'!$C36:E36),SUM('DFP-CASH'!$C38:D38)-SUM('DFP-Com'!$C36:E36),"ok")</f>
        <v>ok</v>
      </c>
      <c r="E38" s="358" t="str">
        <f>IF(SUM('DFP-CASH'!$C38:E38)&gt;SUM('DFP-Com'!$C36:F36),SUM('DFP-CASH'!$C38:E38)-SUM('DFP-Com'!$C36:F36),"ok")</f>
        <v>ok</v>
      </c>
      <c r="F38" s="358" t="str">
        <f>IF(SUM('DFP-CASH'!$C38:F38)&gt;SUM('DFP-Com'!$C36:G36),SUM('DFP-CASH'!$C38:F38)-SUM('DFP-Com'!$C36:G36),"ok")</f>
        <v>ok</v>
      </c>
      <c r="G38" s="358" t="str">
        <f>IF(SUM('DFP-CASH'!$C38:G38)&gt;SUM('DFP-Com'!$C36:G36),SUM('DFP-CASH'!$C38:G38)-SUM('DFP-Com'!$C36:G36),"ok")</f>
        <v>ok</v>
      </c>
      <c r="H38" s="358" t="str">
        <f>IF(SUM('DFP-CASH'!$C38:$G38)+('DFP-CASH'!H38)&gt;SUM('DFP-Com'!$C36:I36),SUM('DFP-CASH'!$C38:H38)-SUM('DFP-Com'!$C36:I36),"ok")</f>
        <v>ok</v>
      </c>
      <c r="I38" s="358" t="str">
        <f>IF(SUM('DFP-CASH'!$C38:$G38)+('DFP-CASH'!I38)&gt;SUM('DFP-Com'!$C36:J36),SUM('DFP-CASH'!$C38:I38)-SUM('DFP-Com'!$C36:J36),"ok")</f>
        <v>ok</v>
      </c>
      <c r="J38" s="358" t="str">
        <f>IF(SUM('DFP-CASH'!$C38:$G38)+('DFP-CASH'!J38)&gt;SUM('DFP-Com'!$C36:K36),SUM('DFP-CASH'!$C38:J38)-SUM('DFP-Com'!$C36:K36),"ok")</f>
        <v>ok</v>
      </c>
      <c r="K38" s="358" t="str">
        <f>IF(SUM('DFP-CASH'!$C38:$G38)+('DFP-CASH'!K38)&gt;SUM('DFP-Com'!$C36:L36),SUM('DFP-CASH'!$C38:K38)-SUM('DFP-Com'!$C36:L36),"ok")</f>
        <v>ok</v>
      </c>
    </row>
    <row r="39" spans="1:11" x14ac:dyDescent="0.25">
      <c r="A39" s="59" t="s">
        <v>82</v>
      </c>
      <c r="B39" s="243">
        <f>IF('DFP-Com'!N37-'DFP-CASH'!N39=0,"ok",'DFP-Com'!N37-'DFP-CASH'!N39)</f>
        <v>-2.3283064365386963E-10</v>
      </c>
      <c r="C39" s="358" t="str">
        <f>IF(SUM('DFP-CASH'!$C39:C39)&gt;SUM('DFP-Com'!$C37:D37),SUM('DFP-CASH'!$C39:C39)-SUM('DFP-Com'!$C37:D37),"ok")</f>
        <v>ok</v>
      </c>
      <c r="D39" s="358" t="str">
        <f>IF(SUM('DFP-CASH'!$C39:D39)&gt;SUM('DFP-Com'!$C37:E37),SUM('DFP-CASH'!$C39:D39)-SUM('DFP-Com'!$C37:E37),"ok")</f>
        <v>ok</v>
      </c>
      <c r="E39" s="358" t="str">
        <f>IF(SUM('DFP-CASH'!$C39:E39)&gt;SUM('DFP-Com'!$C37:F37),SUM('DFP-CASH'!$C39:E39)-SUM('DFP-Com'!$C37:F37),"ok")</f>
        <v>ok</v>
      </c>
      <c r="F39" s="358" t="str">
        <f>IF(SUM('DFP-CASH'!$C39:F39)&gt;SUM('DFP-Com'!$C37:G37),SUM('DFP-CASH'!$C39:F39)-SUM('DFP-Com'!$C37:G37),"ok")</f>
        <v>ok</v>
      </c>
      <c r="G39" s="358" t="str">
        <f>IF(SUM('DFP-CASH'!$C39:G39)&gt;SUM('DFP-Com'!$C37:G37),SUM('DFP-CASH'!$C39:G39)-SUM('DFP-Com'!$C37:G37),"ok")</f>
        <v>ok</v>
      </c>
      <c r="H39" s="358" t="str">
        <f>IF(SUM('DFP-CASH'!$C39:$G39)+('DFP-CASH'!H39)&gt;SUM('DFP-Com'!$C37:I37),SUM('DFP-CASH'!$C39:H39)-SUM('DFP-Com'!$C37:I37),"ok")</f>
        <v>ok</v>
      </c>
      <c r="I39" s="358" t="str">
        <f>IF(SUM('DFP-CASH'!$C39:$G39)+('DFP-CASH'!I39)&gt;SUM('DFP-Com'!$C37:J37),SUM('DFP-CASH'!$C39:I39)-SUM('DFP-Com'!$C37:J37),"ok")</f>
        <v>ok</v>
      </c>
      <c r="J39" s="358" t="str">
        <f>IF(SUM('DFP-CASH'!$C39:$G39)+('DFP-CASH'!J39)&gt;SUM('DFP-Com'!$C37:K37),SUM('DFP-CASH'!$C39:J39)-SUM('DFP-Com'!$C37:K37),"ok")</f>
        <v>ok</v>
      </c>
      <c r="K39" s="358" t="str">
        <f>IF(SUM('DFP-CASH'!$C39:$G39)+('DFP-CASH'!K39)&gt;SUM('DFP-Com'!$C37:L37),SUM('DFP-CASH'!$C39:K39)-SUM('DFP-Com'!$C37:L37),"ok")</f>
        <v>ok</v>
      </c>
    </row>
    <row r="40" spans="1:11" x14ac:dyDescent="0.25">
      <c r="A40" s="204" t="s">
        <v>99</v>
      </c>
      <c r="B40" s="243">
        <f>IF('DFP-Com'!N38-'DFP-CASH'!N40=0,"ok",'DFP-Com'!N38-'DFP-CASH'!N40)</f>
        <v>56.049999999930151</v>
      </c>
      <c r="C40" s="358" t="str">
        <f>IF(SUM('DFP-CASH'!$C40:C40)&gt;SUM('DFP-Com'!$C38:G38),SUM('DFP-CASH'!$C40:C40)-SUM('DFP-Com'!$C38:G38),"ok")</f>
        <v>ok</v>
      </c>
      <c r="D40" s="358" t="str">
        <f>IF(SUM('DFP-CASH'!$C40:G40)&gt;SUM('DFP-Com'!$C38:G38),SUM('DFP-CASH'!$C40:G40)-SUM('DFP-Com'!$C38:G38),"ok")</f>
        <v>ok</v>
      </c>
      <c r="E40" s="358" t="str">
        <f>IF(SUM('DFP-CASH'!$C40:G40)&gt;SUM('DFP-Com'!$C38:G38),SUM('DFP-CASH'!$C40:G40)-SUM('DFP-Com'!$C38:G38),"ok")</f>
        <v>ok</v>
      </c>
      <c r="F40" s="358" t="str">
        <f>IF(SUM('DFP-CASH'!$C40:G40)&gt;SUM('DFP-Com'!$C38:G38),SUM('DFP-CASH'!$C40:G40)-SUM('DFP-Com'!$C38:G38),"ok")</f>
        <v>ok</v>
      </c>
      <c r="G40" s="358" t="str">
        <f>IF(SUM('DFP-CASH'!$C40:G40)&gt;SUM('DFP-Com'!$C38:G38),SUM('DFP-CASH'!$C40:G40)-SUM('DFP-Com'!$C38:G38),"ok")</f>
        <v>ok</v>
      </c>
      <c r="H40" s="358" t="str">
        <f>IF(SUM('DFP-CASH'!$C40:$G40)+('DFP-CASH'!H40)&gt;SUM('DFP-Com'!$C38:I38),SUM('DFP-CASH'!$C40:H40)-SUM('DFP-Com'!$C38:I38),"ok")</f>
        <v>ok</v>
      </c>
      <c r="I40" s="358" t="str">
        <f>IF(SUM('DFP-CASH'!$C40:$G40)+('DFP-CASH'!I40)&gt;SUM('DFP-Com'!$C38:J38),SUM('DFP-CASH'!$C40:I40)-SUM('DFP-Com'!$C38:J38),"ok")</f>
        <v>ok</v>
      </c>
      <c r="J40" s="358" t="str">
        <f>IF(SUM('DFP-CASH'!$C40:$G40)+('DFP-CASH'!J40)&gt;SUM('DFP-Com'!$C38:K38),SUM('DFP-CASH'!$C40:J40)-SUM('DFP-Com'!$C38:K38),"ok")</f>
        <v>ok</v>
      </c>
      <c r="K40" s="358" t="str">
        <f>IF(SUM('DFP-CASH'!$C40:$G40)+('DFP-CASH'!K40)&gt;SUM('DFP-Com'!$C38:L38),SUM('DFP-CASH'!$C40:K40)-SUM('DFP-Com'!$C38:L38),"ok")</f>
        <v>ok</v>
      </c>
    </row>
    <row r="41" spans="1:11" x14ac:dyDescent="0.25">
      <c r="A41" s="204" t="s">
        <v>100</v>
      </c>
      <c r="B41" s="243" t="str">
        <f>IF('DFP-Com'!N39-'DFP-CASH'!N41=0,"ok",'DFP-Com'!N39-'DFP-CASH'!N41)</f>
        <v>ok</v>
      </c>
      <c r="C41" s="358" t="str">
        <f>IF(SUM('DFP-CASH'!$C41:C41)&gt;SUM('DFP-Com'!$C39:D39),SUM('DFP-CASH'!$C41:C41)-SUM('DFP-Com'!$C39:D39),"ok")</f>
        <v>ok</v>
      </c>
      <c r="D41" s="358" t="str">
        <f>IF(SUM('DFP-CASH'!$C41:D41)&gt;SUM('DFP-Com'!$C39:E39),SUM('DFP-CASH'!$C41:D41)-SUM('DFP-Com'!$C39:E39),"ok")</f>
        <v>ok</v>
      </c>
      <c r="E41" s="358" t="str">
        <f>IF(SUM('DFP-CASH'!$C41:E41)&gt;SUM('DFP-Com'!$C39:F39),SUM('DFP-CASH'!$C41:E41)-SUM('DFP-Com'!$C39:F39),"ok")</f>
        <v>ok</v>
      </c>
      <c r="F41" s="358" t="str">
        <f>IF(SUM('DFP-CASH'!$C41:F41)&gt;SUM('DFP-Com'!$C39:G39),SUM('DFP-CASH'!$C41:F41)-SUM('DFP-Com'!$C39:G39),"ok")</f>
        <v>ok</v>
      </c>
      <c r="G41" s="358" t="str">
        <f>IF(SUM('DFP-CASH'!$C41:G41)&gt;SUM('DFP-Com'!$C39:G39),SUM('DFP-CASH'!$C41:G41)-SUM('DFP-Com'!$C39:G39),"ok")</f>
        <v>ok</v>
      </c>
      <c r="H41" s="358" t="str">
        <f>IF(SUM('DFP-CASH'!$C41:$G41)+('DFP-CASH'!H41)&gt;SUM('DFP-Com'!$C39:I39),SUM('DFP-CASH'!$C41:H41)-SUM('DFP-Com'!$C39:I39),"ok")</f>
        <v>ok</v>
      </c>
      <c r="I41" s="358" t="str">
        <f>IF(SUM('DFP-CASH'!$C41:$G41)+('DFP-CASH'!I41)&gt;SUM('DFP-Com'!$C39:J39),SUM('DFP-CASH'!$C41:I41)-SUM('DFP-Com'!$C39:J39),"ok")</f>
        <v>ok</v>
      </c>
      <c r="J41" s="358" t="str">
        <f>IF(SUM('DFP-CASH'!$C41:$G41)+('DFP-CASH'!J41)&gt;SUM('DFP-Com'!$C39:K39),SUM('DFP-CASH'!$C41:J41)-SUM('DFP-Com'!$C39:K39),"ok")</f>
        <v>ok</v>
      </c>
      <c r="K41" s="358" t="str">
        <f>IF(SUM('DFP-CASH'!$C41:$G41)+('DFP-CASH'!K41)&gt;SUM('DFP-Com'!$C39:L39),SUM('DFP-CASH'!$C41:K41)-SUM('DFP-Com'!$C39:L39),"ok")</f>
        <v>ok</v>
      </c>
    </row>
    <row r="42" spans="1:11" x14ac:dyDescent="0.25">
      <c r="A42" s="204" t="s">
        <v>101</v>
      </c>
      <c r="B42" s="243" t="str">
        <f>IF('DFP-Com'!N40-'DFP-CASH'!N42=0,"ok",'DFP-Com'!N40-'DFP-CASH'!N42)</f>
        <v>ok</v>
      </c>
      <c r="C42" s="358" t="str">
        <f>IF(SUM('DFP-CASH'!$C42:C42)&gt;SUM('DFP-Com'!$C40:D40),SUM('DFP-CASH'!$C42:C42)-SUM('DFP-Com'!$C40:D40),"ok")</f>
        <v>ok</v>
      </c>
      <c r="D42" s="358" t="str">
        <f>IF(SUM('DFP-CASH'!$C42:D42)&gt;SUM('DFP-Com'!$C40:E40),SUM('DFP-CASH'!$C42:D42)-SUM('DFP-Com'!$C40:E40),"ok")</f>
        <v>ok</v>
      </c>
      <c r="E42" s="358" t="str">
        <f>IF(SUM('DFP-CASH'!$C42:E42)&gt;SUM('DFP-Com'!$C40:F40),SUM('DFP-CASH'!$C42:E42)-SUM('DFP-Com'!$C40:F40),"ok")</f>
        <v>ok</v>
      </c>
      <c r="F42" s="358" t="str">
        <f>IF(SUM('DFP-CASH'!$C42:F42)&gt;SUM('DFP-Com'!$C40:G40),SUM('DFP-CASH'!$C42:F42)-SUM('DFP-Com'!$C40:G40),"ok")</f>
        <v>ok</v>
      </c>
      <c r="G42" s="358" t="str">
        <f>IF(SUM('DFP-CASH'!$C42:G42)&gt;SUM('DFP-Com'!$C40:G40),SUM('DFP-CASH'!$C42:G42)-SUM('DFP-Com'!$C40:G40),"ok")</f>
        <v>ok</v>
      </c>
      <c r="H42" s="358" t="str">
        <f>IF(SUM('DFP-CASH'!$C42:$G42)+('DFP-CASH'!H42)&gt;SUM('DFP-Com'!$C40:I40),SUM('DFP-CASH'!$C42:H42)-SUM('DFP-Com'!$C40:I40),"ok")</f>
        <v>ok</v>
      </c>
      <c r="I42" s="358" t="str">
        <f>IF(SUM('DFP-CASH'!$C42:$G42)+('DFP-CASH'!I42)&gt;SUM('DFP-Com'!$C40:J40),SUM('DFP-CASH'!$C42:I42)-SUM('DFP-Com'!$C40:J40),"ok")</f>
        <v>ok</v>
      </c>
      <c r="J42" s="358" t="str">
        <f>IF(SUM('DFP-CASH'!$C42:$G42)+('DFP-CASH'!J42)&gt;SUM('DFP-Com'!$C40:K40),SUM('DFP-CASH'!$C42:J42)-SUM('DFP-Com'!$C40:K40),"ok")</f>
        <v>ok</v>
      </c>
      <c r="K42" s="358" t="str">
        <f>IF(SUM('DFP-CASH'!$C42:$G42)+('DFP-CASH'!K42)&gt;SUM('DFP-Com'!$C40:L40),SUM('DFP-CASH'!$C42:K42)-SUM('DFP-Com'!$C40:L40),"ok")</f>
        <v>ok</v>
      </c>
    </row>
    <row r="43" spans="1:11" x14ac:dyDescent="0.25">
      <c r="A43" s="204" t="s">
        <v>111</v>
      </c>
      <c r="B43" s="243">
        <f>IF('DFP-Com'!N41-'DFP-CASH'!N43=0,"ok",'DFP-Com'!N41-'DFP-CASH'!N43)</f>
        <v>-56.050000000046566</v>
      </c>
      <c r="C43" s="358" t="str">
        <f>IF(SUM('DFP-CASH'!$C43:C43)&gt;SUM('DFP-Com'!$C41:E41),SUM('DFP-CASH'!$C43:C43)-SUM('DFP-Com'!$C41:E41),"ok")</f>
        <v>ok</v>
      </c>
      <c r="D43" s="358" t="str">
        <f>IF(SUM('DFP-CASH'!$C43:D43)&gt;SUM('DFP-Com'!$C41:E41),SUM('DFP-CASH'!$C43:D43)-SUM('DFP-Com'!$C41:E41),"ok")</f>
        <v>ok</v>
      </c>
      <c r="E43" s="358" t="str">
        <f>IF(SUM('DFP-CASH'!$C43:E43)&gt;SUM('DFP-Com'!$C41:F41),SUM('DFP-CASH'!$C43:E43)-SUM('DFP-Com'!$C41:F41),"ok")</f>
        <v>ok</v>
      </c>
      <c r="F43" s="358" t="str">
        <f>IF(SUM('DFP-CASH'!$C43:F43)&gt;SUM('DFP-Com'!$C41:G41),SUM('DFP-CASH'!$C43:F43)-SUM('DFP-Com'!$C41:G41),"ok")</f>
        <v>ok</v>
      </c>
      <c r="G43" s="358" t="str">
        <f>IF(SUM('DFP-CASH'!$C43:G43)&gt;SUM('DFP-Com'!$C41:G41),SUM('DFP-CASH'!$C43:G43)-SUM('DFP-Com'!$C41:G41),"ok")</f>
        <v>ok</v>
      </c>
      <c r="H43" s="358" t="str">
        <f>IF(SUM('DFP-CASH'!$C43:$G43)+('DFP-CASH'!H43)&gt;SUM('DFP-Com'!$C41:I41),SUM('DFP-CASH'!$C43:H43)-SUM('DFP-Com'!$C41:I41),"ok")</f>
        <v>ok</v>
      </c>
      <c r="I43" s="358" t="str">
        <f>IF(SUM('DFP-CASH'!$C43:$G43)+('DFP-CASH'!I43)&gt;SUM('DFP-Com'!$C41:J41),SUM('DFP-CASH'!$C43:I43)-SUM('DFP-Com'!$C41:J41),"ok")</f>
        <v>ok</v>
      </c>
      <c r="J43" s="358" t="str">
        <f>IF(SUM('DFP-CASH'!$C43:$G43)+('DFP-CASH'!J43)&gt;SUM('DFP-Com'!$C41:K41),SUM('DFP-CASH'!$C43:J43)-SUM('DFP-Com'!$C41:K41),"ok")</f>
        <v>ok</v>
      </c>
      <c r="K43" s="358" t="str">
        <f>IF(SUM('DFP-CASH'!$C43:$G43)+('DFP-CASH'!K43)&gt;SUM('DFP-Com'!$C41:L41),SUM('DFP-CASH'!$C43:K43)-SUM('DFP-Com'!$C41:L41),"ok")</f>
        <v>ok</v>
      </c>
    </row>
    <row r="44" spans="1:11" x14ac:dyDescent="0.25">
      <c r="A44" s="53" t="s">
        <v>17</v>
      </c>
      <c r="B44" s="243">
        <f>IF('DFP-Com'!N42-'DFP-CASH'!N44=0,"ok",'DFP-Com'!N42-'DFP-CASH'!N44)</f>
        <v>-2.3283064365386963E-10</v>
      </c>
      <c r="C44" s="358" t="str">
        <f>IF(SUM('DFP-CASH'!$C44:C44)&gt;SUM('DFP-Com'!$C42:D42),SUM('DFP-CASH'!$C44:C44)-SUM('DFP-Com'!$C42:D42),"ok")</f>
        <v>ok</v>
      </c>
      <c r="D44" s="358" t="str">
        <f>IF(SUM('DFP-CASH'!$C44:D44)&gt;SUM('DFP-Com'!$C42:E42),SUM('DFP-CASH'!$C44:D44)-SUM('DFP-Com'!$C42:E42),"ok")</f>
        <v>ok</v>
      </c>
      <c r="E44" s="358" t="str">
        <f>IF(SUM('DFP-CASH'!$C44:E44)&gt;SUM('DFP-Com'!$C42:F42),SUM('DFP-CASH'!$C44:E44)-SUM('DFP-Com'!$C42:F42),"ok")</f>
        <v>ok</v>
      </c>
      <c r="F44" s="358" t="str">
        <f>IF(SUM('DFP-CASH'!$C44:F44)&gt;SUM('DFP-Com'!$C42:G42),SUM('DFP-CASH'!$C44:F44)-SUM('DFP-Com'!$C42:G42),"ok")</f>
        <v>ok</v>
      </c>
      <c r="G44" s="358" t="str">
        <f>IF(SUM('DFP-CASH'!$C44:G44)&gt;SUM('DFP-Com'!$C42:G42),SUM('DFP-CASH'!$C44:G44)-SUM('DFP-Com'!$C42:G42),"ok")</f>
        <v>ok</v>
      </c>
      <c r="H44" s="358" t="str">
        <f>IF(SUM('DFP-CASH'!$C44:$G44)+('DFP-CASH'!H44)&gt;SUM('DFP-Com'!$C42:I42),SUM('DFP-CASH'!$C44:H44)-SUM('DFP-Com'!$C42:I42),"ok")</f>
        <v>ok</v>
      </c>
      <c r="I44" s="358" t="str">
        <f>IF(SUM('DFP-CASH'!$C44:$G44)+('DFP-CASH'!I44)&gt;SUM('DFP-Com'!$C42:J42),SUM('DFP-CASH'!$C44:I44)-SUM('DFP-Com'!$C42:J42),"ok")</f>
        <v>ok</v>
      </c>
      <c r="J44" s="358" t="str">
        <f>IF(SUM('DFP-CASH'!$C44:$G44)+('DFP-CASH'!J44)&gt;SUM('DFP-Com'!$C42:K42),SUM('DFP-CASH'!$C44:J44)-SUM('DFP-Com'!$C42:K42),"ok")</f>
        <v>ok</v>
      </c>
      <c r="K44" s="358" t="str">
        <f>IF(SUM('DFP-CASH'!$C44:$G44)+('DFP-CASH'!K44)&gt;SUM('DFP-Com'!$C42:L42),SUM('DFP-CASH'!$C44:K44)-SUM('DFP-Com'!$C42:L42),"ok")</f>
        <v>ok</v>
      </c>
    </row>
    <row r="45" spans="1:11" x14ac:dyDescent="0.25">
      <c r="A45" s="48"/>
      <c r="B45" s="243" t="str">
        <f>IF('DFP-Com'!N43-'DFP-CASH'!N45=0,"ok",'DFP-Com'!N43-'DFP-CASH'!N45)</f>
        <v>ok</v>
      </c>
      <c r="C45" s="358" t="str">
        <f>IF(SUM('DFP-CASH'!$C45:C45)&gt;SUM('DFP-Com'!$C43:D43),SUM('DFP-CASH'!$C45:C45)-SUM('DFP-Com'!$C43:D43),"ok")</f>
        <v>ok</v>
      </c>
      <c r="D45" s="358" t="str">
        <f>IF(SUM('DFP-CASH'!$C45:D45)&gt;SUM('DFP-Com'!$C43:E43),SUM('DFP-CASH'!$C45:D45)-SUM('DFP-Com'!$C43:E43),"ok")</f>
        <v>ok</v>
      </c>
      <c r="E45" s="358" t="str">
        <f>IF(SUM('DFP-CASH'!$C45:E45)&gt;SUM('DFP-Com'!$C43:F43),SUM('DFP-CASH'!$C45:E45)-SUM('DFP-Com'!$C43:F43),"ok")</f>
        <v>ok</v>
      </c>
      <c r="F45" s="358" t="str">
        <f>IF(SUM('DFP-CASH'!$C45:F45)&gt;SUM('DFP-Com'!$C43:G43),SUM('DFP-CASH'!$C45:F45)-SUM('DFP-Com'!$C43:G43),"ok")</f>
        <v>ok</v>
      </c>
      <c r="G45" s="358" t="str">
        <f>IF(SUM('DFP-CASH'!$C45:G45)&gt;SUM('DFP-Com'!$C43:G43),SUM('DFP-CASH'!$C45:G45)-SUM('DFP-Com'!$C43:G43),"ok")</f>
        <v>ok</v>
      </c>
      <c r="H45" s="358" t="str">
        <f>IF(SUM('DFP-CASH'!$C45:$G45)+('DFP-CASH'!H45)&gt;SUM('DFP-Com'!$C43:I43),SUM('DFP-CASH'!$C45:H45)-SUM('DFP-Com'!$C43:I43),"ok")</f>
        <v>ok</v>
      </c>
      <c r="I45" s="358" t="str">
        <f>IF(SUM('DFP-CASH'!$C45:$G45)+('DFP-CASH'!I45)&gt;SUM('DFP-Com'!$C43:J43),SUM('DFP-CASH'!$C45:I45)-SUM('DFP-Com'!$C43:J43),"ok")</f>
        <v>ok</v>
      </c>
      <c r="J45" s="358" t="str">
        <f>IF(SUM('DFP-CASH'!$C45:$G45)+('DFP-CASH'!J45)&gt;SUM('DFP-Com'!$C43:K43),SUM('DFP-CASH'!$C45:J45)-SUM('DFP-Com'!$C43:K43),"ok")</f>
        <v>ok</v>
      </c>
      <c r="K45" s="358" t="str">
        <f>IF(SUM('DFP-CASH'!$C45:$G45)+('DFP-CASH'!K45)&gt;SUM('DFP-Com'!$C43:L43),SUM('DFP-CASH'!$C45:K45)-SUM('DFP-Com'!$C43:L43),"ok")</f>
        <v>ok</v>
      </c>
    </row>
    <row r="46" spans="1:11" x14ac:dyDescent="0.25">
      <c r="A46" s="40" t="s">
        <v>75</v>
      </c>
      <c r="B46" s="243" t="str">
        <f>IF('DFP-Com'!N44-'DFP-CASH'!N46=0,"ok",'DFP-Com'!N44-'DFP-CASH'!N46)</f>
        <v>ok</v>
      </c>
      <c r="C46" s="358" t="str">
        <f>IF(SUM('DFP-CASH'!$C46:C46)&gt;SUM('DFP-Com'!$C44:D44),SUM('DFP-CASH'!$C46:C46)-SUM('DFP-Com'!$C44:D44),"ok")</f>
        <v>ok</v>
      </c>
      <c r="D46" s="358" t="str">
        <f>IF(SUM('DFP-CASH'!$C46:D46)&gt;SUM('DFP-Com'!$C44:E44),SUM('DFP-CASH'!$C46:D46)-SUM('DFP-Com'!$C44:E44),"ok")</f>
        <v>ok</v>
      </c>
      <c r="E46" s="358" t="str">
        <f>IF(SUM('DFP-CASH'!$C46:E46)&gt;SUM('DFP-Com'!$C44:F44),SUM('DFP-CASH'!$C46:E46)-SUM('DFP-Com'!$C44:F44),"ok")</f>
        <v>ok</v>
      </c>
      <c r="F46" s="358" t="str">
        <f>IF(SUM('DFP-CASH'!$C46:F46)&gt;SUM('DFP-Com'!$C44:G44),SUM('DFP-CASH'!$C46:F46)-SUM('DFP-Com'!$C44:G44),"ok")</f>
        <v>ok</v>
      </c>
      <c r="G46" s="358" t="str">
        <f>IF(SUM('DFP-CASH'!$C46:G46)&gt;SUM('DFP-Com'!$C44:G44),SUM('DFP-CASH'!$C46:G46)-SUM('DFP-Com'!$C44:G44),"ok")</f>
        <v>ok</v>
      </c>
      <c r="H46" s="358" t="str">
        <f>IF(SUM('DFP-CASH'!$C46:$G46)+('DFP-CASH'!H46)&gt;SUM('DFP-Com'!$C44:I44),SUM('DFP-CASH'!$C46:H46)-SUM('DFP-Com'!$C44:I44),"ok")</f>
        <v>ok</v>
      </c>
      <c r="I46" s="358" t="str">
        <f>IF(SUM('DFP-CASH'!$C46:$G46)+('DFP-CASH'!I46)&gt;SUM('DFP-Com'!$C44:J44),SUM('DFP-CASH'!$C46:I46)-SUM('DFP-Com'!$C44:J44),"ok")</f>
        <v>ok</v>
      </c>
      <c r="J46" s="358" t="str">
        <f>IF(SUM('DFP-CASH'!$C46:$G46)+('DFP-CASH'!J46)&gt;SUM('DFP-Com'!$C44:K44),SUM('DFP-CASH'!$C46:J46)-SUM('DFP-Com'!$C44:K44),"ok")</f>
        <v>ok</v>
      </c>
      <c r="K46" s="358" t="str">
        <f>IF(SUM('DFP-CASH'!$C46:$G46)+('DFP-CASH'!K46)&gt;SUM('DFP-Com'!$C44:L44),SUM('DFP-CASH'!$C46:K46)-SUM('DFP-Com'!$C44:L44),"ok")</f>
        <v>ok</v>
      </c>
    </row>
    <row r="47" spans="1:11" x14ac:dyDescent="0.25">
      <c r="A47" s="60" t="s">
        <v>84</v>
      </c>
      <c r="B47" s="243">
        <f>IF('DFP-Com'!N45-'DFP-CASH'!N47=0,"ok",'DFP-Com'!N45-'DFP-CASH'!N47)</f>
        <v>-2.0000000251457095E-2</v>
      </c>
      <c r="C47" s="358" t="str">
        <f>IF(SUM('DFP-CASH'!$C47:C47)&gt;SUM('DFP-Com'!$C45:D45),SUM('DFP-CASH'!$C47:C47)-SUM('DFP-Com'!$C45:D45),"ok")</f>
        <v>ok</v>
      </c>
      <c r="D47" s="358" t="str">
        <f>IF(SUM('DFP-CASH'!$C47:D47)&gt;SUM('DFP-Com'!$C45:E45),SUM('DFP-CASH'!$C47:D47)-SUM('DFP-Com'!$C45:E45),"ok")</f>
        <v>ok</v>
      </c>
      <c r="E47" s="358" t="str">
        <f>IF(SUM('DFP-CASH'!$C47:E47)&gt;SUM('DFP-Com'!$C45:F45),SUM('DFP-CASH'!$C47:E47)-SUM('DFP-Com'!$C45:F45),"ok")</f>
        <v>ok</v>
      </c>
      <c r="F47" s="358" t="str">
        <f>IF(SUM('DFP-CASH'!$C47:F47)&gt;SUM('DFP-Com'!$C45:G45),SUM('DFP-CASH'!$C47:F47)-SUM('DFP-Com'!$C45:G45),"ok")</f>
        <v>ok</v>
      </c>
      <c r="G47" s="358" t="str">
        <f>IF(SUM('DFP-CASH'!$C47:G47)&gt;SUM('DFP-Com'!$C45:G45),SUM('DFP-CASH'!$C47:G47)-SUM('DFP-Com'!$C45:G45),"ok")</f>
        <v>ok</v>
      </c>
      <c r="H47" s="358" t="str">
        <f>IF(SUM('DFP-CASH'!$C47:$G47)+('DFP-CASH'!H47)&gt;SUM('DFP-Com'!$C45:I45),SUM('DFP-CASH'!$C47:H47)-SUM('DFP-Com'!$C45:I45),"ok")</f>
        <v>ok</v>
      </c>
      <c r="I47" s="358" t="str">
        <f>IF(SUM('DFP-CASH'!$C47:$G47)+('DFP-CASH'!I47)&gt;SUM('DFP-Com'!$C45:J45),SUM('DFP-CASH'!$C47:I47)-SUM('DFP-Com'!$C45:J45),"ok")</f>
        <v>ok</v>
      </c>
      <c r="J47" s="358" t="str">
        <f>IF(SUM('DFP-CASH'!$C47:$G47)+('DFP-CASH'!J47)&gt;SUM('DFP-Com'!$C45:K45),SUM('DFP-CASH'!$C47:J47)-SUM('DFP-Com'!$C45:K45),"ok")</f>
        <v>ok</v>
      </c>
      <c r="K47" s="358" t="str">
        <f>IF(SUM('DFP-CASH'!$C47:$G47)+('DFP-CASH'!K47)&gt;SUM('DFP-Com'!$C45:L45),SUM('DFP-CASH'!$C47:K47)-SUM('DFP-Com'!$C45:L45),"ok")</f>
        <v>ok</v>
      </c>
    </row>
    <row r="48" spans="1:11" x14ac:dyDescent="0.25">
      <c r="A48" s="208" t="s">
        <v>121</v>
      </c>
      <c r="B48" s="243">
        <f>IF('DFP-Com'!N46-'DFP-CASH'!N48=0,"ok",'DFP-Com'!N46-'DFP-CASH'!N48)</f>
        <v>-2.3283064365386963E-10</v>
      </c>
      <c r="C48" s="358" t="str">
        <f>IF(SUM('DFP-CASH'!$C48:C48)&gt;SUM('DFP-Com'!$C46:D46),SUM('DFP-CASH'!$C48:C48)-SUM('DFP-Com'!$C46:D46),"ok")</f>
        <v>ok</v>
      </c>
      <c r="D48" s="358" t="str">
        <f>IF(SUM('DFP-CASH'!$C48:G48)&gt;SUM('DFP-Com'!$C46:E46),SUM('DFP-CASH'!$C48:G48)-SUM('DFP-Com'!$C46:E46),"ok")</f>
        <v>ok</v>
      </c>
      <c r="E48" s="358" t="str">
        <f>IF(SUM('DFP-CASH'!$C48:G48)&gt;SUM('DFP-Com'!$C46:F46),SUM('DFP-CASH'!$C48:G48)-SUM('DFP-Com'!$C46:F46),"ok")</f>
        <v>ok</v>
      </c>
      <c r="F48" s="358" t="str">
        <f>IF(SUM('DFP-CASH'!$C48:G48)&gt;SUM('DFP-Com'!$C46:G46),SUM('DFP-CASH'!$C48:G48)-SUM('DFP-Com'!$C46:G46),"ok")</f>
        <v>ok</v>
      </c>
      <c r="G48" s="358" t="str">
        <f>IF(SUM('DFP-CASH'!$C48:G48)&gt;SUM('DFP-Com'!$C46:G46),SUM('DFP-CASH'!$C48:G48)-SUM('DFP-Com'!$C46:G46),"ok")</f>
        <v>ok</v>
      </c>
      <c r="H48" s="358" t="str">
        <f>IF(SUM('DFP-CASH'!$C48:$G48)+('DFP-CASH'!H48)&gt;SUM('DFP-Com'!$C46:I46),SUM('DFP-CASH'!$C48:H48)-SUM('DFP-Com'!$C46:I46),"ok")</f>
        <v>ok</v>
      </c>
      <c r="I48" s="358" t="str">
        <f>IF(SUM('DFP-CASH'!$C48:$G48)+('DFP-CASH'!I48)&gt;SUM('DFP-Com'!$C46:J46),SUM('DFP-CASH'!$C48:I48)-SUM('DFP-Com'!$C46:J46),"ok")</f>
        <v>ok</v>
      </c>
      <c r="J48" s="358" t="str">
        <f>IF(SUM('DFP-CASH'!$C48:$G48)+('DFP-CASH'!J48)&gt;SUM('DFP-Com'!$C46:K46),SUM('DFP-CASH'!$C48:J48)-SUM('DFP-Com'!$C46:K46),"ok")</f>
        <v>ok</v>
      </c>
      <c r="K48" s="358" t="str">
        <f>IF(SUM('DFP-CASH'!$C48:$G48)+('DFP-CASH'!K48)&gt;SUM('DFP-Com'!$C46:L46),SUM('DFP-CASH'!$C48:K48)-SUM('DFP-Com'!$C46:L46),"ok")</f>
        <v>ok</v>
      </c>
    </row>
    <row r="49" spans="1:11" x14ac:dyDescent="0.25">
      <c r="A49" s="208" t="s">
        <v>122</v>
      </c>
      <c r="B49" s="243" t="str">
        <f>IF('DFP-Com'!N47-'DFP-CASH'!N49=0,"ok",'DFP-Com'!N47-'DFP-CASH'!N49)</f>
        <v>ok</v>
      </c>
      <c r="C49" s="358" t="str">
        <f>IF(SUM('DFP-CASH'!$C49:C49)&gt;SUM('DFP-Com'!$C47:G47),SUM('DFP-CASH'!$C49:C49)-SUM('DFP-Com'!$C47:G47),"ok")</f>
        <v>ok</v>
      </c>
      <c r="D49" s="358" t="str">
        <f>IF(SUM('DFP-CASH'!$C49:D49)&gt;SUM('DFP-Com'!$C47:G47),SUM('DFP-CASH'!$C49:D49)-SUM('DFP-Com'!$C47:G47),"ok")</f>
        <v>ok</v>
      </c>
      <c r="E49" s="358" t="str">
        <f>IF(SUM('DFP-CASH'!$C49:E49)&gt;SUM('DFP-Com'!$C47:H47),SUM('DFP-CASH'!$C49:E49)-SUM('DFP-Com'!$C47:H47),"ok")</f>
        <v>ok</v>
      </c>
      <c r="F49" s="358" t="str">
        <f>IF(SUM('DFP-CASH'!$C49:F49)&gt;SUM('DFP-Com'!$C47:I47),SUM('DFP-CASH'!$C49:F49)-SUM('DFP-Com'!$C47:I47),"ok")</f>
        <v>ok</v>
      </c>
      <c r="G49" s="358">
        <f>IF(SUM('DFP-CASH'!$C49:$G49)+('DFP-CASH'!G49)&gt;SUM('DFP-Com'!$C47:G47),SUM('DFP-CASH'!$C49:G49)-SUM('DFP-Com'!$C47:G47),"ok")</f>
        <v>7.2759576141834259E-12</v>
      </c>
      <c r="H49" s="358" t="str">
        <f>IF(SUM('DFP-CASH'!$C49:$G49)+('DFP-CASH'!H49)&gt;SUM('DFP-Com'!$C47:I47),SUM('DFP-CASH'!$C49:H49)-SUM('DFP-Com'!$C47:I47),"ok")</f>
        <v>ok</v>
      </c>
      <c r="I49" s="358" t="str">
        <f>IF(SUM('DFP-CASH'!$C49:$G49)+('DFP-CASH'!I49)&gt;SUM('DFP-Com'!$C47:J47),SUM('DFP-CASH'!$C49:I49)-SUM('DFP-Com'!$C47:J47),"ok")</f>
        <v>ok</v>
      </c>
      <c r="J49" s="358" t="str">
        <f>IF(SUM('DFP-CASH'!$C49:$G49)+('DFP-CASH'!J49)&gt;SUM('DFP-Com'!$C47:K47),SUM('DFP-CASH'!$C49:J49)-SUM('DFP-Com'!$C47:K47),"ok")</f>
        <v>ok</v>
      </c>
      <c r="K49" s="358" t="str">
        <f>IF(SUM('DFP-CASH'!$C49:$G49)+('DFP-CASH'!K49)&gt;SUM('DFP-Com'!$C47:L47),SUM('DFP-CASH'!$C49:K49)-SUM('DFP-Com'!$C47:L47),"ok")</f>
        <v>ok</v>
      </c>
    </row>
    <row r="50" spans="1:11" x14ac:dyDescent="0.25">
      <c r="A50" s="208" t="s">
        <v>123</v>
      </c>
      <c r="B50" s="243" t="str">
        <f>IF('DFP-Com'!N48-'DFP-CASH'!N50=0,"ok",'DFP-Com'!N48-'DFP-CASH'!N50)</f>
        <v>ok</v>
      </c>
      <c r="C50" s="358" t="str">
        <f>IF(SUM('DFP-CASH'!$C50:C50)&gt;SUM('DFP-Com'!$C48:D48),SUM('DFP-CASH'!$C50:C50)-SUM('DFP-Com'!$C48:D48),"ok")</f>
        <v>ok</v>
      </c>
      <c r="D50" s="358" t="str">
        <f>IF(SUM('DFP-CASH'!$C50:G50)&gt;SUM('DFP-Com'!$C48:E48),SUM('DFP-CASH'!$C50:G50)-SUM('DFP-Com'!$C48:E48),"ok")</f>
        <v>ok</v>
      </c>
      <c r="E50" s="358" t="str">
        <f>IF(SUM('DFP-CASH'!$C50:G50)&gt;SUM('DFP-Com'!$C48:F48),SUM('DFP-CASH'!$C50:G50)-SUM('DFP-Com'!$C48:F48),"ok")</f>
        <v>ok</v>
      </c>
      <c r="F50" s="358" t="str">
        <f>IF(SUM('DFP-CASH'!$C50:G50)&gt;SUM('DFP-Com'!$C48:G48),SUM('DFP-CASH'!$C50:G50)-SUM('DFP-Com'!$C48:G48),"ok")</f>
        <v>ok</v>
      </c>
      <c r="G50" s="358" t="str">
        <f>IF(SUM('DFP-CASH'!$C50:G50)&gt;SUM('DFP-Com'!$C48:G48),SUM('DFP-CASH'!$C50:G50)-SUM('DFP-Com'!$C48:G48),"ok")</f>
        <v>ok</v>
      </c>
      <c r="H50" s="358" t="str">
        <f>IF(SUM('DFP-CASH'!$C50:$G50)+('DFP-CASH'!H50)&gt;SUM('DFP-Com'!$C48:I48),SUM('DFP-CASH'!$C50:H50)-SUM('DFP-Com'!$C48:I48),"ok")</f>
        <v>ok</v>
      </c>
      <c r="I50" s="358" t="str">
        <f>IF(SUM('DFP-CASH'!$C50:$G50)+('DFP-CASH'!I50)&gt;SUM('DFP-Com'!$C48:J48),SUM('DFP-CASH'!$C50:I50)-SUM('DFP-Com'!$C48:J48),"ok")</f>
        <v>ok</v>
      </c>
      <c r="J50" s="358" t="str">
        <f>IF(SUM('DFP-CASH'!$C50:$G50)+('DFP-CASH'!J50)&gt;SUM('DFP-Com'!$C48:K48),SUM('DFP-CASH'!$C50:J50)-SUM('DFP-Com'!$C48:K48),"ok")</f>
        <v>ok</v>
      </c>
      <c r="K50" s="358" t="str">
        <f>IF(SUM('DFP-CASH'!$C50:$G50)+('DFP-CASH'!K50)&gt;SUM('DFP-Com'!$C48:L48),SUM('DFP-CASH'!$C50:K50)-SUM('DFP-Com'!$C48:L48),"ok")</f>
        <v>ok</v>
      </c>
    </row>
    <row r="51" spans="1:11" x14ac:dyDescent="0.25">
      <c r="A51" s="208" t="s">
        <v>124</v>
      </c>
      <c r="B51" s="243">
        <f>IF('DFP-Com'!N49-'DFP-CASH'!N51=0,"ok",'DFP-Com'!N49-'DFP-CASH'!N51)</f>
        <v>-2.0000000004074536E-2</v>
      </c>
      <c r="C51" s="358" t="str">
        <f>IF(SUM('DFP-CASH'!$C51:C51)&gt;SUM('DFP-Com'!$C49:E49),SUM('DFP-CASH'!$C51:C51)-SUM('DFP-Com'!$C49:E49),"ok")</f>
        <v>ok</v>
      </c>
      <c r="D51" s="358" t="str">
        <f>IF(SUM('DFP-CASH'!$C51:D51)&gt;SUM('DFP-Com'!$C49:E49),SUM('DFP-CASH'!$C51:D51)-SUM('DFP-Com'!$C49:E49),"ok")</f>
        <v>ok</v>
      </c>
      <c r="E51" s="358" t="str">
        <f>IF(SUM('DFP-CASH'!$C51:E51)&gt;SUM('DFP-Com'!$C49:F49),SUM('DFP-CASH'!$C51:E51)-SUM('DFP-Com'!$C49:F49),"ok")</f>
        <v>ok</v>
      </c>
      <c r="F51" s="358" t="str">
        <f>IF(SUM('DFP-CASH'!$C51:F51)&gt;SUM('DFP-Com'!$C49:G49),SUM('DFP-CASH'!$C51:F51)-SUM('DFP-Com'!$C49:G49),"ok")</f>
        <v>ok</v>
      </c>
      <c r="G51" s="358" t="str">
        <f>IF(SUM('DFP-CASH'!$C51:G51)&gt;SUM('DFP-Com'!$C49:G49),SUM('DFP-CASH'!$C51:G51)-SUM('DFP-Com'!$C49:G49),"ok")</f>
        <v>ok</v>
      </c>
      <c r="H51" s="358" t="str">
        <f>IF(SUM('DFP-CASH'!$C51:$G51)+('DFP-CASH'!H51)&gt;SUM('DFP-Com'!$C49:I49),SUM('DFP-CASH'!$C51:H51)-SUM('DFP-Com'!$C49:I49),"ok")</f>
        <v>ok</v>
      </c>
      <c r="I51" s="358" t="str">
        <f>IF(SUM('DFP-CASH'!$C51:$G51)+('DFP-CASH'!I51)&gt;SUM('DFP-Com'!$C49:J49),SUM('DFP-CASH'!$C51:I51)-SUM('DFP-Com'!$C49:J49),"ok")</f>
        <v>ok</v>
      </c>
      <c r="J51" s="358" t="str">
        <f>IF(SUM('DFP-CASH'!$C51:$G51)+('DFP-CASH'!J51)&gt;SUM('DFP-Com'!$C49:K49),SUM('DFP-CASH'!$C51:J51)-SUM('DFP-Com'!$C49:K49),"ok")</f>
        <v>ok</v>
      </c>
      <c r="K51" s="358" t="str">
        <f>IF(SUM('DFP-CASH'!$C51:$G51)+('DFP-CASH'!K51)&gt;SUM('DFP-Com'!$C49:L49),SUM('DFP-CASH'!$C51:K51)-SUM('DFP-Com'!$C49:L49),"ok")</f>
        <v>ok</v>
      </c>
    </row>
    <row r="52" spans="1:11" x14ac:dyDescent="0.25">
      <c r="A52" s="61" t="s">
        <v>83</v>
      </c>
      <c r="B52" s="243">
        <f>IF('DFP-Com'!N50-'DFP-CASH'!N52=0,"ok",'DFP-Com'!N50-'DFP-CASH'!N52)</f>
        <v>-2.0000000251457095E-2</v>
      </c>
      <c r="C52" s="358" t="str">
        <f>IF(SUM('DFP-CASH'!$C52:C52)&gt;SUM('DFP-Com'!$C50:D50),SUM('DFP-CASH'!$C52:C52)-SUM('DFP-Com'!$C50:D50),"ok")</f>
        <v>ok</v>
      </c>
      <c r="D52" s="358" t="str">
        <f>IF(SUM('DFP-CASH'!$C52:D52)&gt;SUM('DFP-Com'!$C50:E50),SUM('DFP-CASH'!$C52:D52)-SUM('DFP-Com'!$C50:E50),"ok")</f>
        <v>ok</v>
      </c>
      <c r="E52" s="358" t="str">
        <f>IF(SUM('DFP-CASH'!$C52:E52)&gt;SUM('DFP-Com'!$C50:F50),SUM('DFP-CASH'!$C52:E52)-SUM('DFP-Com'!$C50:F50),"ok")</f>
        <v>ok</v>
      </c>
      <c r="F52" s="358" t="str">
        <f>IF(SUM('DFP-CASH'!$C52:F52)&gt;SUM('DFP-Com'!$C50:G50),SUM('DFP-CASH'!$C52:F52)-SUM('DFP-Com'!$C50:G50),"ok")</f>
        <v>ok</v>
      </c>
      <c r="G52" s="358" t="str">
        <f>IF(SUM('DFP-CASH'!$C52:G52)&gt;SUM('DFP-Com'!$C50:G50),SUM('DFP-CASH'!$C52:G52)-SUM('DFP-Com'!$C50:G50),"ok")</f>
        <v>ok</v>
      </c>
      <c r="H52" s="358" t="str">
        <f>IF(SUM('DFP-CASH'!$C52:$G52)+('DFP-CASH'!H52)&gt;SUM('DFP-Com'!$C50:I50),SUM('DFP-CASH'!$C52:H52)-SUM('DFP-Com'!$C50:I50),"ok")</f>
        <v>ok</v>
      </c>
      <c r="I52" s="358" t="str">
        <f>IF(SUM('DFP-CASH'!$C52:$G52)+('DFP-CASH'!I52)&gt;SUM('DFP-Com'!$C50:J50),SUM('DFP-CASH'!$C52:I52)-SUM('DFP-Com'!$C50:J50),"ok")</f>
        <v>ok</v>
      </c>
      <c r="J52" s="358" t="str">
        <f>IF(SUM('DFP-CASH'!$C52:$G52)+('DFP-CASH'!J52)&gt;SUM('DFP-Com'!$C50:K50),SUM('DFP-CASH'!$C52:J52)-SUM('DFP-Com'!$C50:K50),"ok")</f>
        <v>ok</v>
      </c>
      <c r="K52" s="358" t="str">
        <f>IF(SUM('DFP-CASH'!$C52:$G52)+('DFP-CASH'!K52)&gt;SUM('DFP-Com'!$C50:L50),SUM('DFP-CASH'!$C52:K52)-SUM('DFP-Com'!$C50:L50),"ok")</f>
        <v>ok</v>
      </c>
    </row>
    <row r="53" spans="1:11" x14ac:dyDescent="0.25">
      <c r="A53" s="48"/>
      <c r="B53" s="243" t="str">
        <f>IF('DFP-Com'!N51-'DFP-CASH'!N53=0,"ok",'DFP-Com'!N51-'DFP-CASH'!N53)</f>
        <v>ok</v>
      </c>
      <c r="C53" s="358" t="str">
        <f>IF(SUM('DFP-CASH'!$C53:C53)&gt;SUM('DFP-Com'!$C51:D51),SUM('DFP-CASH'!$C53:C53)-SUM('DFP-Com'!$C51:D51),"ok")</f>
        <v>ok</v>
      </c>
      <c r="D53" s="358" t="str">
        <f>IF(SUM('DFP-CASH'!$C53:D53)&gt;SUM('DFP-Com'!$C51:E51),SUM('DFP-CASH'!$C53:D53)-SUM('DFP-Com'!$C51:E51),"ok")</f>
        <v>ok</v>
      </c>
      <c r="E53" s="358" t="str">
        <f>IF(SUM('DFP-CASH'!$C53:E53)&gt;SUM('DFP-Com'!$C51:F51),SUM('DFP-CASH'!$C53:E53)-SUM('DFP-Com'!$C51:F51),"ok")</f>
        <v>ok</v>
      </c>
      <c r="F53" s="358" t="str">
        <f>IF(SUM('DFP-CASH'!$C53:F53)&gt;SUM('DFP-Com'!$C51:G51),SUM('DFP-CASH'!$C53:F53)-SUM('DFP-Com'!$C51:G51),"ok")</f>
        <v>ok</v>
      </c>
      <c r="G53" s="358" t="str">
        <f>IF(SUM('DFP-CASH'!$C53:G53)&gt;SUM('DFP-Com'!$C51:G51),SUM('DFP-CASH'!$C53:G53)-SUM('DFP-Com'!$C51:G51),"ok")</f>
        <v>ok</v>
      </c>
      <c r="H53" s="358" t="str">
        <f>IF(SUM('DFP-CASH'!$C53:$G53)+('DFP-CASH'!H53)&gt;SUM('DFP-Com'!$C51:I51),SUM('DFP-CASH'!$C53:H53)-SUM('DFP-Com'!$C51:I51),"ok")</f>
        <v>ok</v>
      </c>
      <c r="I53" s="358" t="str">
        <f>IF(SUM('DFP-CASH'!$C53:$G53)+('DFP-CASH'!I53)&gt;SUM('DFP-Com'!$C51:J51),SUM('DFP-CASH'!$C53:I53)-SUM('DFP-Com'!$C51:J51),"ok")</f>
        <v>ok</v>
      </c>
      <c r="J53" s="358" t="str">
        <f>IF(SUM('DFP-CASH'!$C53:$G53)+('DFP-CASH'!J53)&gt;SUM('DFP-Com'!$C51:K51),SUM('DFP-CASH'!$C53:J53)-SUM('DFP-Com'!$C51:K51),"ok")</f>
        <v>ok</v>
      </c>
      <c r="K53" s="358" t="str">
        <f>IF(SUM('DFP-CASH'!$C53:$G53)+('DFP-CASH'!K53)&gt;SUM('DFP-Com'!$C51:L51),SUM('DFP-CASH'!$C53:K53)-SUM('DFP-Com'!$C51:L51),"ok")</f>
        <v>ok</v>
      </c>
    </row>
    <row r="54" spans="1:11" ht="16.5" x14ac:dyDescent="0.25">
      <c r="A54" s="221" t="s">
        <v>117</v>
      </c>
    </row>
  </sheetData>
  <mergeCells count="1">
    <mergeCell ref="E15:G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D79"/>
  <sheetViews>
    <sheetView showGridLines="0" zoomScale="115" zoomScaleNormal="115" workbookViewId="0">
      <pane ySplit="3" topLeftCell="A4" activePane="bottomLeft" state="frozen"/>
      <selection pane="bottomLeft" activeCell="C31" sqref="C31"/>
    </sheetView>
  </sheetViews>
  <sheetFormatPr baseColWidth="10" defaultColWidth="8.85546875" defaultRowHeight="15" x14ac:dyDescent="0.25"/>
  <cols>
    <col min="1" max="1" width="8.85546875" style="288"/>
    <col min="2" max="2" width="30.5703125" style="288" customWidth="1"/>
    <col min="3" max="3" width="51.42578125" style="288" customWidth="1"/>
    <col min="4" max="4" width="14" style="288" customWidth="1"/>
    <col min="5" max="5" width="13.140625" style="288" customWidth="1"/>
    <col min="6" max="6" width="12.42578125" style="288" customWidth="1"/>
    <col min="7" max="7" width="10.42578125" style="288" customWidth="1"/>
    <col min="8" max="8" width="10.42578125" style="305" customWidth="1"/>
    <col min="9" max="21" width="10.42578125" style="288" customWidth="1"/>
    <col min="22" max="23" width="14" style="288" customWidth="1"/>
    <col min="24" max="24" width="11" style="288" customWidth="1"/>
    <col min="25" max="34" width="10.42578125" style="288" customWidth="1"/>
    <col min="35" max="35" width="12.42578125" style="288" customWidth="1"/>
    <col min="36" max="37" width="10.42578125" style="288" customWidth="1"/>
    <col min="38" max="38" width="12.5703125" style="288" customWidth="1"/>
    <col min="39" max="39" width="8.85546875" style="288"/>
    <col min="40" max="41" width="11.42578125" style="288" customWidth="1"/>
    <col min="42" max="42" width="12.140625" style="288" customWidth="1"/>
    <col min="43" max="44" width="11.42578125" style="288" customWidth="1"/>
    <col min="45" max="45" width="12.42578125" style="288" customWidth="1"/>
    <col min="46" max="54" width="11.42578125" style="288" customWidth="1"/>
    <col min="55" max="55" width="8.85546875" style="288"/>
    <col min="56" max="56" width="11.5703125" style="288" customWidth="1"/>
    <col min="57" max="16384" width="8.85546875" style="288"/>
  </cols>
  <sheetData>
    <row r="1" spans="1:56" x14ac:dyDescent="0.25">
      <c r="D1" s="227">
        <f>SUM(D2:D55)</f>
        <v>23584570</v>
      </c>
      <c r="F1" s="288" t="s">
        <v>149</v>
      </c>
      <c r="U1" s="288" t="s">
        <v>163</v>
      </c>
      <c r="X1" s="231" t="s">
        <v>191</v>
      </c>
      <c r="Y1" s="231"/>
      <c r="Z1" s="231"/>
      <c r="AA1" s="231"/>
      <c r="AB1" s="231"/>
      <c r="AC1" s="231"/>
      <c r="AD1" s="231"/>
      <c r="AE1" s="231"/>
      <c r="AF1" s="231"/>
      <c r="AG1" s="231"/>
      <c r="AH1" s="231"/>
      <c r="AI1" s="231"/>
      <c r="AJ1" s="231"/>
      <c r="AK1" s="231"/>
      <c r="AL1" s="231"/>
      <c r="AM1" s="232"/>
      <c r="AN1" s="231" t="s">
        <v>192</v>
      </c>
      <c r="AO1" s="231"/>
      <c r="AP1" s="231"/>
      <c r="AQ1" s="231"/>
      <c r="AR1" s="231"/>
      <c r="AS1" s="231"/>
      <c r="AT1" s="231"/>
      <c r="AU1" s="231"/>
      <c r="AV1" s="231"/>
      <c r="AW1" s="231"/>
      <c r="AX1" s="231"/>
      <c r="AY1" s="231"/>
      <c r="AZ1" s="231"/>
      <c r="BA1" s="231"/>
      <c r="BB1" s="231"/>
    </row>
    <row r="2" spans="1:56" x14ac:dyDescent="0.25">
      <c r="A2" s="288" t="s">
        <v>125</v>
      </c>
      <c r="C2" s="288" t="s">
        <v>145</v>
      </c>
      <c r="D2" s="288" t="s">
        <v>147</v>
      </c>
      <c r="F2" s="225">
        <v>42552</v>
      </c>
      <c r="G2" s="225">
        <v>42644</v>
      </c>
      <c r="H2" s="306">
        <v>42736</v>
      </c>
      <c r="I2" s="225">
        <v>42826</v>
      </c>
      <c r="J2" s="225">
        <v>42917</v>
      </c>
      <c r="K2" s="225">
        <v>43009</v>
      </c>
      <c r="L2" s="225">
        <v>43101</v>
      </c>
      <c r="M2" s="225">
        <v>43191</v>
      </c>
      <c r="N2" s="225">
        <v>43282</v>
      </c>
      <c r="O2" s="225">
        <v>43374</v>
      </c>
      <c r="P2" s="225">
        <v>43466</v>
      </c>
      <c r="Q2" s="225">
        <v>43556</v>
      </c>
      <c r="R2" s="225">
        <v>43647</v>
      </c>
      <c r="S2" s="225">
        <v>43739</v>
      </c>
      <c r="T2" s="225">
        <v>43831</v>
      </c>
      <c r="X2" s="233">
        <v>42552</v>
      </c>
      <c r="Y2" s="233">
        <v>42644</v>
      </c>
      <c r="Z2" s="233">
        <v>42736</v>
      </c>
      <c r="AA2" s="233">
        <v>42826</v>
      </c>
      <c r="AB2" s="233">
        <v>42917</v>
      </c>
      <c r="AC2" s="233">
        <v>43009</v>
      </c>
      <c r="AD2" s="233">
        <v>43101</v>
      </c>
      <c r="AE2" s="233">
        <v>43191</v>
      </c>
      <c r="AF2" s="233">
        <v>43282</v>
      </c>
      <c r="AG2" s="233">
        <v>43374</v>
      </c>
      <c r="AH2" s="233">
        <v>43466</v>
      </c>
      <c r="AI2" s="233">
        <v>43556</v>
      </c>
      <c r="AJ2" s="233">
        <v>43647</v>
      </c>
      <c r="AK2" s="233">
        <v>43739</v>
      </c>
      <c r="AL2" s="233">
        <v>43831</v>
      </c>
      <c r="AM2" s="232"/>
      <c r="AN2" s="233">
        <v>42552</v>
      </c>
      <c r="AO2" s="233">
        <v>42644</v>
      </c>
      <c r="AP2" s="233">
        <v>42736</v>
      </c>
      <c r="AQ2" s="233">
        <v>42826</v>
      </c>
      <c r="AR2" s="233">
        <v>42917</v>
      </c>
      <c r="AS2" s="233">
        <v>43009</v>
      </c>
      <c r="AT2" s="233">
        <v>43101</v>
      </c>
      <c r="AU2" s="233">
        <v>43191</v>
      </c>
      <c r="AV2" s="233">
        <v>43282</v>
      </c>
      <c r="AW2" s="233">
        <v>43374</v>
      </c>
      <c r="AX2" s="233">
        <v>43466</v>
      </c>
      <c r="AY2" s="233">
        <v>43556</v>
      </c>
      <c r="AZ2" s="233">
        <v>43647</v>
      </c>
      <c r="BA2" s="233">
        <v>43739</v>
      </c>
      <c r="BB2" s="233">
        <v>43831</v>
      </c>
      <c r="BD2" s="288" t="s">
        <v>199</v>
      </c>
    </row>
    <row r="3" spans="1:56" x14ac:dyDescent="0.25">
      <c r="A3" s="288" t="s">
        <v>125</v>
      </c>
      <c r="C3" s="288" t="s">
        <v>145</v>
      </c>
      <c r="E3" s="288" t="s">
        <v>148</v>
      </c>
      <c r="F3" s="288" t="s">
        <v>146</v>
      </c>
      <c r="G3" s="288" t="s">
        <v>150</v>
      </c>
      <c r="H3" s="305" t="s">
        <v>151</v>
      </c>
      <c r="I3" s="288" t="s">
        <v>152</v>
      </c>
      <c r="J3" s="288" t="s">
        <v>153</v>
      </c>
      <c r="K3" s="288" t="s">
        <v>154</v>
      </c>
      <c r="L3" s="288" t="s">
        <v>155</v>
      </c>
      <c r="M3" s="288" t="s">
        <v>156</v>
      </c>
      <c r="N3" s="288" t="s">
        <v>157</v>
      </c>
      <c r="O3" s="288" t="s">
        <v>158</v>
      </c>
      <c r="P3" s="288" t="s">
        <v>159</v>
      </c>
      <c r="Q3" s="288" t="s">
        <v>160</v>
      </c>
      <c r="R3" s="288" t="s">
        <v>161</v>
      </c>
      <c r="S3" s="288" t="s">
        <v>162</v>
      </c>
      <c r="T3" s="288" t="s">
        <v>164</v>
      </c>
      <c r="X3" s="231" t="s">
        <v>146</v>
      </c>
      <c r="Y3" s="231" t="s">
        <v>150</v>
      </c>
      <c r="Z3" s="231" t="s">
        <v>151</v>
      </c>
      <c r="AA3" s="231" t="s">
        <v>152</v>
      </c>
      <c r="AB3" s="231" t="s">
        <v>153</v>
      </c>
      <c r="AC3" s="231" t="s">
        <v>154</v>
      </c>
      <c r="AD3" s="231" t="s">
        <v>155</v>
      </c>
      <c r="AE3" s="231" t="s">
        <v>156</v>
      </c>
      <c r="AF3" s="231" t="s">
        <v>157</v>
      </c>
      <c r="AG3" s="231" t="s">
        <v>158</v>
      </c>
      <c r="AH3" s="231" t="s">
        <v>159</v>
      </c>
      <c r="AI3" s="231" t="s">
        <v>160</v>
      </c>
      <c r="AJ3" s="231" t="s">
        <v>161</v>
      </c>
      <c r="AK3" s="231" t="s">
        <v>162</v>
      </c>
      <c r="AL3" s="231" t="s">
        <v>164</v>
      </c>
      <c r="AM3" s="232"/>
      <c r="AN3" s="231" t="s">
        <v>146</v>
      </c>
      <c r="AO3" s="231" t="s">
        <v>150</v>
      </c>
      <c r="AP3" s="231" t="s">
        <v>151</v>
      </c>
      <c r="AQ3" s="231" t="s">
        <v>152</v>
      </c>
      <c r="AR3" s="231" t="s">
        <v>153</v>
      </c>
      <c r="AS3" s="231" t="s">
        <v>154</v>
      </c>
      <c r="AT3" s="231" t="s">
        <v>155</v>
      </c>
      <c r="AU3" s="231" t="s">
        <v>156</v>
      </c>
      <c r="AV3" s="231" t="s">
        <v>157</v>
      </c>
      <c r="AW3" s="231" t="s">
        <v>158</v>
      </c>
      <c r="AX3" s="231" t="s">
        <v>159</v>
      </c>
      <c r="AY3" s="231" t="s">
        <v>160</v>
      </c>
      <c r="AZ3" s="231" t="s">
        <v>161</v>
      </c>
      <c r="BA3" s="231" t="s">
        <v>162</v>
      </c>
      <c r="BB3" s="231" t="s">
        <v>164</v>
      </c>
    </row>
    <row r="4" spans="1:56" x14ac:dyDescent="0.25">
      <c r="A4" s="288" t="s">
        <v>126</v>
      </c>
      <c r="B4" s="236" t="str">
        <f>VLOOKUP(A4,'DFP-Com'!$A$16:$B$50,2,1)</f>
        <v xml:space="preserve">     1.1.a  Education Project Implementation Contract</v>
      </c>
      <c r="C4" s="288" t="s">
        <v>234</v>
      </c>
      <c r="D4" s="316">
        <v>8500000</v>
      </c>
      <c r="E4" s="288" t="s">
        <v>165</v>
      </c>
      <c r="H4" s="307"/>
      <c r="I4" s="226">
        <v>0.03</v>
      </c>
      <c r="J4" s="226">
        <v>0.05</v>
      </c>
      <c r="K4" s="226">
        <v>0.05</v>
      </c>
      <c r="L4" s="226">
        <v>0.05</v>
      </c>
      <c r="M4" s="226">
        <v>0.1</v>
      </c>
      <c r="N4" s="226">
        <v>0.1</v>
      </c>
      <c r="O4" s="226">
        <v>0.1</v>
      </c>
      <c r="P4" s="226">
        <v>0.1</v>
      </c>
      <c r="Q4" s="226">
        <v>0.1</v>
      </c>
      <c r="R4" s="226">
        <v>0.1</v>
      </c>
      <c r="S4" s="226">
        <v>0.1</v>
      </c>
      <c r="T4" s="226">
        <v>0.12</v>
      </c>
      <c r="U4" s="291">
        <f t="shared" ref="U4:U38" si="0">SUM(F4:T4)</f>
        <v>0.99999999999999989</v>
      </c>
      <c r="X4" s="293">
        <f t="shared" ref="X4:AL20" si="1">F4*$D4</f>
        <v>0</v>
      </c>
      <c r="Y4" s="293">
        <f t="shared" si="1"/>
        <v>0</v>
      </c>
      <c r="Z4" s="293">
        <f t="shared" si="1"/>
        <v>0</v>
      </c>
      <c r="AA4" s="293">
        <f t="shared" si="1"/>
        <v>255000</v>
      </c>
      <c r="AB4" s="293">
        <f t="shared" si="1"/>
        <v>425000</v>
      </c>
      <c r="AC4" s="293">
        <f t="shared" si="1"/>
        <v>425000</v>
      </c>
      <c r="AD4" s="293">
        <f t="shared" si="1"/>
        <v>425000</v>
      </c>
      <c r="AE4" s="293">
        <f t="shared" si="1"/>
        <v>850000</v>
      </c>
      <c r="AF4" s="293">
        <f t="shared" si="1"/>
        <v>850000</v>
      </c>
      <c r="AG4" s="293">
        <f t="shared" si="1"/>
        <v>850000</v>
      </c>
      <c r="AH4" s="293">
        <f t="shared" si="1"/>
        <v>850000</v>
      </c>
      <c r="AI4" s="293">
        <f t="shared" si="1"/>
        <v>850000</v>
      </c>
      <c r="AJ4" s="293">
        <f t="shared" si="1"/>
        <v>850000</v>
      </c>
      <c r="AK4" s="293">
        <f t="shared" si="1"/>
        <v>850000</v>
      </c>
      <c r="AL4" s="293">
        <f t="shared" si="1"/>
        <v>1020000</v>
      </c>
      <c r="AM4" s="232"/>
      <c r="AN4" s="293">
        <f t="shared" ref="AN4:BB19" si="2">IF(AN$3=$E4,$D4,0)</f>
        <v>0</v>
      </c>
      <c r="AO4" s="293">
        <f t="shared" si="2"/>
        <v>0</v>
      </c>
      <c r="AP4" s="293">
        <f t="shared" si="2"/>
        <v>8500000</v>
      </c>
      <c r="AQ4" s="293">
        <f t="shared" si="2"/>
        <v>0</v>
      </c>
      <c r="AR4" s="293">
        <f t="shared" si="2"/>
        <v>0</v>
      </c>
      <c r="AS4" s="293">
        <f t="shared" si="2"/>
        <v>0</v>
      </c>
      <c r="AT4" s="293">
        <f t="shared" si="2"/>
        <v>0</v>
      </c>
      <c r="AU4" s="293">
        <f t="shared" si="2"/>
        <v>0</v>
      </c>
      <c r="AV4" s="293">
        <f t="shared" si="2"/>
        <v>0</v>
      </c>
      <c r="AW4" s="293">
        <f t="shared" si="2"/>
        <v>0</v>
      </c>
      <c r="AX4" s="293">
        <f t="shared" si="2"/>
        <v>0</v>
      </c>
      <c r="AY4" s="293">
        <f t="shared" si="2"/>
        <v>0</v>
      </c>
      <c r="AZ4" s="293">
        <f t="shared" si="2"/>
        <v>0</v>
      </c>
      <c r="BA4" s="293">
        <f t="shared" si="2"/>
        <v>0</v>
      </c>
      <c r="BB4" s="293">
        <f t="shared" si="2"/>
        <v>0</v>
      </c>
      <c r="BD4" s="292">
        <f t="shared" ref="BD4:BD27" si="3">SUM(X4:AL4)-SUM(AN4:BB4)</f>
        <v>0</v>
      </c>
    </row>
    <row r="5" spans="1:56" x14ac:dyDescent="0.25">
      <c r="A5" s="288" t="s">
        <v>126</v>
      </c>
      <c r="B5" s="236" t="str">
        <f>VLOOKUP(A5,'DFP-Com'!$A$16:$B$50,2,1)</f>
        <v xml:space="preserve">     1.1.a  Education Project Implementation Contract</v>
      </c>
      <c r="C5" s="288" t="s">
        <v>168</v>
      </c>
      <c r="D5" s="315">
        <v>200000</v>
      </c>
      <c r="E5" s="288" t="s">
        <v>179</v>
      </c>
      <c r="L5" s="291">
        <v>0.25</v>
      </c>
      <c r="M5" s="291">
        <v>0.25</v>
      </c>
      <c r="N5" s="291">
        <v>0.25</v>
      </c>
      <c r="O5" s="291">
        <v>0.25</v>
      </c>
      <c r="U5" s="291">
        <f t="shared" si="0"/>
        <v>1</v>
      </c>
      <c r="X5" s="293">
        <f t="shared" si="1"/>
        <v>0</v>
      </c>
      <c r="Y5" s="293">
        <f t="shared" si="1"/>
        <v>0</v>
      </c>
      <c r="Z5" s="293">
        <f t="shared" si="1"/>
        <v>0</v>
      </c>
      <c r="AA5" s="293">
        <f t="shared" si="1"/>
        <v>0</v>
      </c>
      <c r="AB5" s="293">
        <f t="shared" si="1"/>
        <v>0</v>
      </c>
      <c r="AC5" s="293">
        <f t="shared" si="1"/>
        <v>0</v>
      </c>
      <c r="AD5" s="293">
        <f t="shared" si="1"/>
        <v>50000</v>
      </c>
      <c r="AE5" s="293">
        <f t="shared" si="1"/>
        <v>50000</v>
      </c>
      <c r="AF5" s="293">
        <f t="shared" si="1"/>
        <v>50000</v>
      </c>
      <c r="AG5" s="293">
        <f t="shared" si="1"/>
        <v>50000</v>
      </c>
      <c r="AH5" s="293">
        <f t="shared" si="1"/>
        <v>0</v>
      </c>
      <c r="AI5" s="293">
        <f t="shared" si="1"/>
        <v>0</v>
      </c>
      <c r="AJ5" s="293">
        <f t="shared" si="1"/>
        <v>0</v>
      </c>
      <c r="AK5" s="293">
        <f t="shared" si="1"/>
        <v>0</v>
      </c>
      <c r="AL5" s="293">
        <f t="shared" si="1"/>
        <v>0</v>
      </c>
      <c r="AM5" s="232"/>
      <c r="AN5" s="293">
        <f t="shared" si="2"/>
        <v>0</v>
      </c>
      <c r="AO5" s="293">
        <f t="shared" si="2"/>
        <v>0</v>
      </c>
      <c r="AP5" s="293">
        <f t="shared" si="2"/>
        <v>0</v>
      </c>
      <c r="AQ5" s="293">
        <f t="shared" si="2"/>
        <v>0</v>
      </c>
      <c r="AR5" s="293">
        <f t="shared" si="2"/>
        <v>0</v>
      </c>
      <c r="AS5" s="293">
        <f t="shared" si="2"/>
        <v>0</v>
      </c>
      <c r="AT5" s="293">
        <f t="shared" si="2"/>
        <v>200000</v>
      </c>
      <c r="AU5" s="293">
        <f t="shared" si="2"/>
        <v>0</v>
      </c>
      <c r="AV5" s="293">
        <f t="shared" si="2"/>
        <v>0</v>
      </c>
      <c r="AW5" s="293">
        <f t="shared" si="2"/>
        <v>0</v>
      </c>
      <c r="AX5" s="293">
        <f t="shared" si="2"/>
        <v>0</v>
      </c>
      <c r="AY5" s="293">
        <f t="shared" si="2"/>
        <v>0</v>
      </c>
      <c r="AZ5" s="293">
        <f t="shared" si="2"/>
        <v>0</v>
      </c>
      <c r="BA5" s="293">
        <f t="shared" si="2"/>
        <v>0</v>
      </c>
      <c r="BB5" s="293">
        <f t="shared" si="2"/>
        <v>0</v>
      </c>
      <c r="BD5" s="292">
        <f t="shared" si="3"/>
        <v>0</v>
      </c>
    </row>
    <row r="6" spans="1:56" x14ac:dyDescent="0.25">
      <c r="A6" s="288" t="s">
        <v>127</v>
      </c>
      <c r="B6" s="236" t="str">
        <f>VLOOKUP(A6,'DFP-Com'!$A$16:$B$50,2,1)</f>
        <v xml:space="preserve">     1.1.b  Grants to Universities for Teacher Training (Diplomados)</v>
      </c>
      <c r="C6" s="288" t="s">
        <v>166</v>
      </c>
      <c r="D6" s="227">
        <v>3000000</v>
      </c>
      <c r="E6" s="288" t="s">
        <v>167</v>
      </c>
      <c r="H6" s="307"/>
      <c r="I6" s="226"/>
      <c r="J6" s="226"/>
      <c r="K6" s="226"/>
      <c r="L6" s="226">
        <v>0.125</v>
      </c>
      <c r="M6" s="226">
        <v>0.125</v>
      </c>
      <c r="N6" s="226">
        <v>0.125</v>
      </c>
      <c r="O6" s="226">
        <v>0.125</v>
      </c>
      <c r="P6" s="226">
        <v>0.125</v>
      </c>
      <c r="Q6" s="226">
        <v>0.125</v>
      </c>
      <c r="R6" s="226">
        <v>0.125</v>
      </c>
      <c r="S6" s="226">
        <v>0.125</v>
      </c>
      <c r="T6" s="291"/>
      <c r="U6" s="291">
        <f t="shared" si="0"/>
        <v>1</v>
      </c>
      <c r="X6" s="293">
        <f t="shared" si="1"/>
        <v>0</v>
      </c>
      <c r="Y6" s="293">
        <f t="shared" si="1"/>
        <v>0</v>
      </c>
      <c r="Z6" s="293">
        <f t="shared" si="1"/>
        <v>0</v>
      </c>
      <c r="AA6" s="293">
        <f t="shared" si="1"/>
        <v>0</v>
      </c>
      <c r="AB6" s="293">
        <f t="shared" si="1"/>
        <v>0</v>
      </c>
      <c r="AC6" s="293">
        <f t="shared" si="1"/>
        <v>0</v>
      </c>
      <c r="AD6" s="293">
        <f t="shared" si="1"/>
        <v>375000</v>
      </c>
      <c r="AE6" s="293">
        <f t="shared" si="1"/>
        <v>375000</v>
      </c>
      <c r="AF6" s="293">
        <f t="shared" si="1"/>
        <v>375000</v>
      </c>
      <c r="AG6" s="293">
        <f t="shared" si="1"/>
        <v>375000</v>
      </c>
      <c r="AH6" s="293">
        <f t="shared" si="1"/>
        <v>375000</v>
      </c>
      <c r="AI6" s="293">
        <f t="shared" si="1"/>
        <v>375000</v>
      </c>
      <c r="AJ6" s="293">
        <f t="shared" si="1"/>
        <v>375000</v>
      </c>
      <c r="AK6" s="293">
        <f t="shared" si="1"/>
        <v>375000</v>
      </c>
      <c r="AL6" s="293">
        <f t="shared" si="1"/>
        <v>0</v>
      </c>
      <c r="AM6" s="232"/>
      <c r="AN6" s="293">
        <f t="shared" si="2"/>
        <v>0</v>
      </c>
      <c r="AO6" s="293">
        <f t="shared" si="2"/>
        <v>0</v>
      </c>
      <c r="AP6" s="293">
        <f t="shared" si="2"/>
        <v>0</v>
      </c>
      <c r="AQ6" s="293">
        <f t="shared" si="2"/>
        <v>0</v>
      </c>
      <c r="AR6" s="293">
        <f t="shared" si="2"/>
        <v>0</v>
      </c>
      <c r="AS6" s="293">
        <f t="shared" si="2"/>
        <v>3000000</v>
      </c>
      <c r="AT6" s="293">
        <f t="shared" si="2"/>
        <v>0</v>
      </c>
      <c r="AU6" s="293">
        <f t="shared" si="2"/>
        <v>0</v>
      </c>
      <c r="AV6" s="293">
        <f t="shared" si="2"/>
        <v>0</v>
      </c>
      <c r="AW6" s="293">
        <f t="shared" si="2"/>
        <v>0</v>
      </c>
      <c r="AX6" s="293">
        <f t="shared" si="2"/>
        <v>0</v>
      </c>
      <c r="AY6" s="293">
        <f t="shared" si="2"/>
        <v>0</v>
      </c>
      <c r="AZ6" s="293">
        <f t="shared" si="2"/>
        <v>0</v>
      </c>
      <c r="BA6" s="293">
        <f t="shared" si="2"/>
        <v>0</v>
      </c>
      <c r="BB6" s="293">
        <f t="shared" si="2"/>
        <v>0</v>
      </c>
      <c r="BD6" s="292">
        <f t="shared" si="3"/>
        <v>0</v>
      </c>
    </row>
    <row r="7" spans="1:56" x14ac:dyDescent="0.25">
      <c r="A7" s="288" t="s">
        <v>129</v>
      </c>
      <c r="B7" s="236" t="str">
        <f>VLOOKUP(A7,'DFP-Com'!$A$16:$B$50,2,1)</f>
        <v xml:space="preserve">     1.2.a  TVET</v>
      </c>
      <c r="C7" s="238" t="s">
        <v>208</v>
      </c>
      <c r="D7" s="294">
        <v>4000000</v>
      </c>
      <c r="E7" s="288" t="s">
        <v>194</v>
      </c>
      <c r="J7" s="291">
        <v>0.05</v>
      </c>
      <c r="K7" s="291">
        <v>0.1</v>
      </c>
      <c r="L7" s="291">
        <v>0.1</v>
      </c>
      <c r="M7" s="291">
        <v>0.1</v>
      </c>
      <c r="N7" s="291">
        <v>0.1</v>
      </c>
      <c r="O7" s="291">
        <v>0.1</v>
      </c>
      <c r="P7" s="291">
        <v>0.1</v>
      </c>
      <c r="Q7" s="291">
        <v>0.1</v>
      </c>
      <c r="R7" s="291">
        <v>0.1</v>
      </c>
      <c r="S7" s="291">
        <v>0.1</v>
      </c>
      <c r="T7" s="291">
        <v>0.05</v>
      </c>
      <c r="U7" s="291">
        <f t="shared" si="0"/>
        <v>0.99999999999999989</v>
      </c>
      <c r="X7" s="293">
        <f t="shared" si="1"/>
        <v>0</v>
      </c>
      <c r="Y7" s="293">
        <f t="shared" si="1"/>
        <v>0</v>
      </c>
      <c r="Z7" s="293">
        <f t="shared" si="1"/>
        <v>0</v>
      </c>
      <c r="AA7" s="293">
        <f t="shared" si="1"/>
        <v>0</v>
      </c>
      <c r="AB7" s="293">
        <f t="shared" si="1"/>
        <v>200000</v>
      </c>
      <c r="AC7" s="293">
        <f t="shared" si="1"/>
        <v>400000</v>
      </c>
      <c r="AD7" s="293">
        <f t="shared" si="1"/>
        <v>400000</v>
      </c>
      <c r="AE7" s="293">
        <f t="shared" si="1"/>
        <v>400000</v>
      </c>
      <c r="AF7" s="293">
        <f t="shared" si="1"/>
        <v>400000</v>
      </c>
      <c r="AG7" s="293">
        <f t="shared" si="1"/>
        <v>400000</v>
      </c>
      <c r="AH7" s="293">
        <f t="shared" si="1"/>
        <v>400000</v>
      </c>
      <c r="AI7" s="293">
        <f t="shared" si="1"/>
        <v>400000</v>
      </c>
      <c r="AJ7" s="293">
        <f t="shared" si="1"/>
        <v>400000</v>
      </c>
      <c r="AK7" s="293">
        <f t="shared" si="1"/>
        <v>400000</v>
      </c>
      <c r="AL7" s="293">
        <f t="shared" si="1"/>
        <v>200000</v>
      </c>
      <c r="AM7" s="232"/>
      <c r="AN7" s="293">
        <f t="shared" si="2"/>
        <v>0</v>
      </c>
      <c r="AO7" s="293">
        <f t="shared" si="2"/>
        <v>0</v>
      </c>
      <c r="AP7" s="293">
        <f t="shared" si="2"/>
        <v>0</v>
      </c>
      <c r="AQ7" s="293">
        <f t="shared" si="2"/>
        <v>0</v>
      </c>
      <c r="AR7" s="293">
        <f t="shared" si="2"/>
        <v>4000000</v>
      </c>
      <c r="AS7" s="293">
        <f t="shared" si="2"/>
        <v>0</v>
      </c>
      <c r="AT7" s="293">
        <f t="shared" si="2"/>
        <v>0</v>
      </c>
      <c r="AU7" s="293">
        <f t="shared" si="2"/>
        <v>0</v>
      </c>
      <c r="AV7" s="293">
        <f t="shared" si="2"/>
        <v>0</v>
      </c>
      <c r="AW7" s="293">
        <f t="shared" si="2"/>
        <v>0</v>
      </c>
      <c r="AX7" s="293">
        <f t="shared" si="2"/>
        <v>0</v>
      </c>
      <c r="AY7" s="293">
        <f t="shared" si="2"/>
        <v>0</v>
      </c>
      <c r="AZ7" s="293">
        <f t="shared" si="2"/>
        <v>0</v>
      </c>
      <c r="BA7" s="293">
        <f t="shared" si="2"/>
        <v>0</v>
      </c>
      <c r="BB7" s="293">
        <f t="shared" si="2"/>
        <v>0</v>
      </c>
      <c r="BD7" s="292">
        <f t="shared" si="3"/>
        <v>0</v>
      </c>
    </row>
    <row r="8" spans="1:56" x14ac:dyDescent="0.25">
      <c r="A8" s="288" t="s">
        <v>130</v>
      </c>
      <c r="B8" s="236" t="str">
        <f>VLOOKUP(A8,'DFP-Com'!$A$16:$B$50,2,1)</f>
        <v xml:space="preserve">     1.3.a  Education Project Implementation Contract</v>
      </c>
      <c r="C8" s="288" t="s">
        <v>233</v>
      </c>
      <c r="D8" s="316">
        <v>2500000</v>
      </c>
      <c r="E8" s="288" t="s">
        <v>165</v>
      </c>
      <c r="H8" s="307"/>
      <c r="I8" s="226">
        <v>0.03</v>
      </c>
      <c r="J8" s="226">
        <v>0.05</v>
      </c>
      <c r="K8" s="226">
        <v>0.05</v>
      </c>
      <c r="L8" s="226">
        <v>0.05</v>
      </c>
      <c r="M8" s="226">
        <v>0.1</v>
      </c>
      <c r="N8" s="226">
        <v>0.1</v>
      </c>
      <c r="O8" s="226">
        <v>0.1</v>
      </c>
      <c r="P8" s="226">
        <v>0.1</v>
      </c>
      <c r="Q8" s="226">
        <v>0.1</v>
      </c>
      <c r="R8" s="226">
        <v>0.1</v>
      </c>
      <c r="S8" s="226">
        <v>0.1</v>
      </c>
      <c r="T8" s="226">
        <v>0.12</v>
      </c>
      <c r="U8" s="291">
        <f t="shared" si="0"/>
        <v>0.99999999999999989</v>
      </c>
      <c r="X8" s="293">
        <f t="shared" si="1"/>
        <v>0</v>
      </c>
      <c r="Y8" s="293">
        <f t="shared" si="1"/>
        <v>0</v>
      </c>
      <c r="Z8" s="293">
        <f t="shared" si="1"/>
        <v>0</v>
      </c>
      <c r="AA8" s="293">
        <f t="shared" si="1"/>
        <v>75000</v>
      </c>
      <c r="AB8" s="293">
        <f t="shared" si="1"/>
        <v>125000</v>
      </c>
      <c r="AC8" s="293">
        <f t="shared" si="1"/>
        <v>125000</v>
      </c>
      <c r="AD8" s="293">
        <f t="shared" si="1"/>
        <v>125000</v>
      </c>
      <c r="AE8" s="293">
        <f t="shared" si="1"/>
        <v>250000</v>
      </c>
      <c r="AF8" s="293">
        <f t="shared" si="1"/>
        <v>250000</v>
      </c>
      <c r="AG8" s="293">
        <f t="shared" si="1"/>
        <v>250000</v>
      </c>
      <c r="AH8" s="293">
        <f t="shared" si="1"/>
        <v>250000</v>
      </c>
      <c r="AI8" s="293">
        <f t="shared" si="1"/>
        <v>250000</v>
      </c>
      <c r="AJ8" s="293">
        <f t="shared" si="1"/>
        <v>250000</v>
      </c>
      <c r="AK8" s="293">
        <f t="shared" si="1"/>
        <v>250000</v>
      </c>
      <c r="AL8" s="293">
        <f t="shared" si="1"/>
        <v>300000</v>
      </c>
      <c r="AM8" s="232"/>
      <c r="AN8" s="293">
        <f t="shared" si="2"/>
        <v>0</v>
      </c>
      <c r="AO8" s="293">
        <f t="shared" si="2"/>
        <v>0</v>
      </c>
      <c r="AP8" s="293">
        <f t="shared" si="2"/>
        <v>2500000</v>
      </c>
      <c r="AQ8" s="293">
        <f t="shared" si="2"/>
        <v>0</v>
      </c>
      <c r="AR8" s="293">
        <f t="shared" si="2"/>
        <v>0</v>
      </c>
      <c r="AS8" s="293">
        <f t="shared" si="2"/>
        <v>0</v>
      </c>
      <c r="AT8" s="293">
        <f t="shared" si="2"/>
        <v>0</v>
      </c>
      <c r="AU8" s="293">
        <f t="shared" si="2"/>
        <v>0</v>
      </c>
      <c r="AV8" s="293">
        <f t="shared" si="2"/>
        <v>0</v>
      </c>
      <c r="AW8" s="293">
        <f t="shared" si="2"/>
        <v>0</v>
      </c>
      <c r="AX8" s="293">
        <f t="shared" si="2"/>
        <v>0</v>
      </c>
      <c r="AY8" s="293">
        <f t="shared" si="2"/>
        <v>0</v>
      </c>
      <c r="AZ8" s="293">
        <f t="shared" si="2"/>
        <v>0</v>
      </c>
      <c r="BA8" s="293">
        <f t="shared" si="2"/>
        <v>0</v>
      </c>
      <c r="BB8" s="293">
        <f t="shared" si="2"/>
        <v>0</v>
      </c>
      <c r="BD8" s="292">
        <f t="shared" si="3"/>
        <v>0</v>
      </c>
    </row>
    <row r="9" spans="1:56" x14ac:dyDescent="0.25">
      <c r="A9" s="288" t="s">
        <v>133</v>
      </c>
      <c r="B9" s="300" t="str">
        <f>VLOOKUP(A9,'DFP-Com'!$A$16:$B$50,2,1)</f>
        <v xml:space="preserve">     2.1.a  Tax and Customs</v>
      </c>
      <c r="C9" s="288" t="s">
        <v>215</v>
      </c>
      <c r="D9" s="227">
        <v>140000</v>
      </c>
      <c r="E9" s="288" t="s">
        <v>197</v>
      </c>
      <c r="G9" s="291"/>
      <c r="H9" s="308"/>
      <c r="I9" s="291">
        <v>0.25</v>
      </c>
      <c r="J9" s="291">
        <v>0.25</v>
      </c>
      <c r="K9" s="291">
        <v>0.25</v>
      </c>
      <c r="L9" s="291">
        <v>0.25</v>
      </c>
      <c r="M9" s="291"/>
      <c r="N9" s="291"/>
      <c r="O9" s="291"/>
      <c r="P9" s="291"/>
      <c r="Q9" s="291"/>
      <c r="U9" s="291">
        <f t="shared" si="0"/>
        <v>1</v>
      </c>
      <c r="X9" s="293">
        <f t="shared" si="1"/>
        <v>0</v>
      </c>
      <c r="Y9" s="293">
        <f t="shared" si="1"/>
        <v>0</v>
      </c>
      <c r="Z9" s="293">
        <f t="shared" si="1"/>
        <v>0</v>
      </c>
      <c r="AA9" s="293">
        <f t="shared" si="1"/>
        <v>35000</v>
      </c>
      <c r="AB9" s="293">
        <f t="shared" si="1"/>
        <v>35000</v>
      </c>
      <c r="AC9" s="293">
        <f t="shared" si="1"/>
        <v>35000</v>
      </c>
      <c r="AD9" s="293">
        <f t="shared" si="1"/>
        <v>35000</v>
      </c>
      <c r="AE9" s="293">
        <f t="shared" si="1"/>
        <v>0</v>
      </c>
      <c r="AF9" s="293">
        <f t="shared" si="1"/>
        <v>0</v>
      </c>
      <c r="AG9" s="293">
        <f t="shared" si="1"/>
        <v>0</v>
      </c>
      <c r="AH9" s="293">
        <f t="shared" si="1"/>
        <v>0</v>
      </c>
      <c r="AI9" s="293">
        <f t="shared" si="1"/>
        <v>0</v>
      </c>
      <c r="AJ9" s="293">
        <f t="shared" si="1"/>
        <v>0</v>
      </c>
      <c r="AK9" s="293">
        <f t="shared" si="1"/>
        <v>0</v>
      </c>
      <c r="AL9" s="293">
        <f t="shared" si="1"/>
        <v>0</v>
      </c>
      <c r="AM9" s="232"/>
      <c r="AN9" s="293">
        <f t="shared" si="2"/>
        <v>0</v>
      </c>
      <c r="AO9" s="293">
        <f t="shared" si="2"/>
        <v>0</v>
      </c>
      <c r="AP9" s="293">
        <f t="shared" si="2"/>
        <v>0</v>
      </c>
      <c r="AQ9" s="293">
        <f t="shared" si="2"/>
        <v>140000</v>
      </c>
      <c r="AR9" s="293">
        <f t="shared" si="2"/>
        <v>0</v>
      </c>
      <c r="AS9" s="293">
        <f t="shared" si="2"/>
        <v>0</v>
      </c>
      <c r="AT9" s="293">
        <f t="shared" si="2"/>
        <v>0</v>
      </c>
      <c r="AU9" s="293">
        <f t="shared" si="2"/>
        <v>0</v>
      </c>
      <c r="AV9" s="293">
        <f t="shared" si="2"/>
        <v>0</v>
      </c>
      <c r="AW9" s="293">
        <f t="shared" si="2"/>
        <v>0</v>
      </c>
      <c r="AX9" s="293">
        <f t="shared" si="2"/>
        <v>0</v>
      </c>
      <c r="AY9" s="293">
        <f t="shared" si="2"/>
        <v>0</v>
      </c>
      <c r="AZ9" s="293">
        <f t="shared" si="2"/>
        <v>0</v>
      </c>
      <c r="BA9" s="293">
        <f t="shared" si="2"/>
        <v>0</v>
      </c>
      <c r="BB9" s="293">
        <f t="shared" si="2"/>
        <v>0</v>
      </c>
      <c r="BD9" s="292">
        <f t="shared" si="3"/>
        <v>0</v>
      </c>
    </row>
    <row r="10" spans="1:56" x14ac:dyDescent="0.25">
      <c r="A10" s="288" t="s">
        <v>133</v>
      </c>
      <c r="B10" s="300" t="str">
        <f>VLOOKUP(A10,'DFP-Com'!$A$16:$B$50,2,1)</f>
        <v xml:space="preserve">     2.1.a  Tax and Customs</v>
      </c>
      <c r="C10" s="288" t="s">
        <v>228</v>
      </c>
      <c r="D10" s="227">
        <v>140000</v>
      </c>
      <c r="E10" s="288" t="s">
        <v>179</v>
      </c>
      <c r="G10" s="291"/>
      <c r="H10" s="308"/>
      <c r="I10" s="291"/>
      <c r="J10" s="291"/>
      <c r="K10" s="291"/>
      <c r="L10" s="291">
        <v>0.25</v>
      </c>
      <c r="M10" s="291">
        <v>0.25</v>
      </c>
      <c r="N10" s="291">
        <v>0.25</v>
      </c>
      <c r="O10" s="291">
        <v>0.25</v>
      </c>
      <c r="P10" s="291"/>
      <c r="Q10" s="291"/>
      <c r="U10" s="291">
        <f t="shared" si="0"/>
        <v>1</v>
      </c>
      <c r="X10" s="293">
        <f t="shared" si="1"/>
        <v>0</v>
      </c>
      <c r="Y10" s="293">
        <f t="shared" si="1"/>
        <v>0</v>
      </c>
      <c r="Z10" s="293">
        <f t="shared" si="1"/>
        <v>0</v>
      </c>
      <c r="AA10" s="293">
        <f t="shared" si="1"/>
        <v>0</v>
      </c>
      <c r="AB10" s="293">
        <f t="shared" si="1"/>
        <v>0</v>
      </c>
      <c r="AC10" s="293">
        <f t="shared" si="1"/>
        <v>0</v>
      </c>
      <c r="AD10" s="293">
        <f t="shared" si="1"/>
        <v>35000</v>
      </c>
      <c r="AE10" s="293">
        <f t="shared" si="1"/>
        <v>35000</v>
      </c>
      <c r="AF10" s="293">
        <f t="shared" si="1"/>
        <v>35000</v>
      </c>
      <c r="AG10" s="293">
        <f t="shared" si="1"/>
        <v>35000</v>
      </c>
      <c r="AH10" s="293">
        <f t="shared" si="1"/>
        <v>0</v>
      </c>
      <c r="AI10" s="293">
        <f t="shared" si="1"/>
        <v>0</v>
      </c>
      <c r="AJ10" s="293">
        <f t="shared" si="1"/>
        <v>0</v>
      </c>
      <c r="AK10" s="293">
        <f t="shared" si="1"/>
        <v>0</v>
      </c>
      <c r="AL10" s="293">
        <f t="shared" si="1"/>
        <v>0</v>
      </c>
      <c r="AM10" s="232"/>
      <c r="AN10" s="293">
        <f t="shared" si="2"/>
        <v>0</v>
      </c>
      <c r="AO10" s="293">
        <f t="shared" si="2"/>
        <v>0</v>
      </c>
      <c r="AP10" s="293">
        <f t="shared" si="2"/>
        <v>0</v>
      </c>
      <c r="AQ10" s="293">
        <f t="shared" si="2"/>
        <v>0</v>
      </c>
      <c r="AR10" s="293">
        <f t="shared" si="2"/>
        <v>0</v>
      </c>
      <c r="AS10" s="293">
        <f t="shared" si="2"/>
        <v>0</v>
      </c>
      <c r="AT10" s="293">
        <f t="shared" si="2"/>
        <v>140000</v>
      </c>
      <c r="AU10" s="293">
        <f t="shared" si="2"/>
        <v>0</v>
      </c>
      <c r="AV10" s="293">
        <f t="shared" si="2"/>
        <v>0</v>
      </c>
      <c r="AW10" s="293">
        <f t="shared" si="2"/>
        <v>0</v>
      </c>
      <c r="AX10" s="293">
        <f t="shared" si="2"/>
        <v>0</v>
      </c>
      <c r="AY10" s="293">
        <f t="shared" si="2"/>
        <v>0</v>
      </c>
      <c r="AZ10" s="293">
        <f t="shared" si="2"/>
        <v>0</v>
      </c>
      <c r="BA10" s="293">
        <f t="shared" si="2"/>
        <v>0</v>
      </c>
      <c r="BB10" s="293">
        <f t="shared" si="2"/>
        <v>0</v>
      </c>
      <c r="BD10" s="292">
        <f t="shared" si="3"/>
        <v>0</v>
      </c>
    </row>
    <row r="11" spans="1:56" x14ac:dyDescent="0.25">
      <c r="A11" s="288" t="s">
        <v>133</v>
      </c>
      <c r="B11" s="300" t="str">
        <f>VLOOKUP(A11,'DFP-Com'!$A$16:$B$50,2,1)</f>
        <v xml:space="preserve">     2.1.a  Tax and Customs</v>
      </c>
      <c r="C11" s="288" t="s">
        <v>213</v>
      </c>
      <c r="D11" s="227">
        <v>4000</v>
      </c>
      <c r="E11" s="288" t="s">
        <v>165</v>
      </c>
      <c r="G11" s="291"/>
      <c r="H11" s="308">
        <v>1</v>
      </c>
      <c r="I11" s="291"/>
      <c r="J11" s="291"/>
      <c r="K11" s="291"/>
      <c r="L11" s="291"/>
      <c r="M11" s="291"/>
      <c r="N11" s="291"/>
      <c r="U11" s="291">
        <f t="shared" si="0"/>
        <v>1</v>
      </c>
      <c r="X11" s="293">
        <f t="shared" si="1"/>
        <v>0</v>
      </c>
      <c r="Y11" s="293">
        <f t="shared" si="1"/>
        <v>0</v>
      </c>
      <c r="Z11" s="293">
        <f t="shared" si="1"/>
        <v>4000</v>
      </c>
      <c r="AA11" s="293">
        <f t="shared" si="1"/>
        <v>0</v>
      </c>
      <c r="AB11" s="293">
        <f t="shared" si="1"/>
        <v>0</v>
      </c>
      <c r="AC11" s="293">
        <f t="shared" si="1"/>
        <v>0</v>
      </c>
      <c r="AD11" s="293">
        <f t="shared" si="1"/>
        <v>0</v>
      </c>
      <c r="AE11" s="293">
        <f t="shared" si="1"/>
        <v>0</v>
      </c>
      <c r="AF11" s="293">
        <f t="shared" si="1"/>
        <v>0</v>
      </c>
      <c r="AG11" s="293">
        <f t="shared" si="1"/>
        <v>0</v>
      </c>
      <c r="AH11" s="293">
        <f t="shared" si="1"/>
        <v>0</v>
      </c>
      <c r="AI11" s="293">
        <f t="shared" si="1"/>
        <v>0</v>
      </c>
      <c r="AJ11" s="293">
        <f t="shared" si="1"/>
        <v>0</v>
      </c>
      <c r="AK11" s="293">
        <f t="shared" si="1"/>
        <v>0</v>
      </c>
      <c r="AL11" s="293">
        <f t="shared" si="1"/>
        <v>0</v>
      </c>
      <c r="AM11" s="232"/>
      <c r="AN11" s="293">
        <f t="shared" si="2"/>
        <v>0</v>
      </c>
      <c r="AO11" s="293">
        <f t="shared" si="2"/>
        <v>0</v>
      </c>
      <c r="AP11" s="293">
        <f t="shared" si="2"/>
        <v>4000</v>
      </c>
      <c r="AQ11" s="293">
        <f t="shared" si="2"/>
        <v>0</v>
      </c>
      <c r="AR11" s="293">
        <f t="shared" si="2"/>
        <v>0</v>
      </c>
      <c r="AS11" s="293">
        <f t="shared" si="2"/>
        <v>0</v>
      </c>
      <c r="AT11" s="293">
        <f t="shared" si="2"/>
        <v>0</v>
      </c>
      <c r="AU11" s="293">
        <f t="shared" si="2"/>
        <v>0</v>
      </c>
      <c r="AV11" s="293">
        <f t="shared" si="2"/>
        <v>0</v>
      </c>
      <c r="AW11" s="293">
        <f t="shared" si="2"/>
        <v>0</v>
      </c>
      <c r="AX11" s="293">
        <f t="shared" si="2"/>
        <v>0</v>
      </c>
      <c r="AY11" s="293">
        <f t="shared" si="2"/>
        <v>0</v>
      </c>
      <c r="AZ11" s="293">
        <f t="shared" si="2"/>
        <v>0</v>
      </c>
      <c r="BA11" s="293">
        <f t="shared" si="2"/>
        <v>0</v>
      </c>
      <c r="BB11" s="293">
        <f t="shared" si="2"/>
        <v>0</v>
      </c>
      <c r="BD11" s="292">
        <f t="shared" si="3"/>
        <v>0</v>
      </c>
    </row>
    <row r="12" spans="1:56" x14ac:dyDescent="0.25">
      <c r="A12" s="288" t="s">
        <v>133</v>
      </c>
      <c r="B12" s="300" t="str">
        <f>VLOOKUP(A12,'DFP-Com'!$A$16:$B$50,2,1)</f>
        <v xml:space="preserve">     2.1.a  Tax and Customs</v>
      </c>
      <c r="C12" s="288" t="s">
        <v>214</v>
      </c>
      <c r="D12" s="227">
        <v>100000</v>
      </c>
      <c r="E12" s="288" t="s">
        <v>165</v>
      </c>
      <c r="G12" s="291"/>
      <c r="H12" s="308">
        <v>0.25</v>
      </c>
      <c r="I12" s="291">
        <v>0.25</v>
      </c>
      <c r="J12" s="291">
        <v>0.25</v>
      </c>
      <c r="K12" s="291">
        <v>0.25</v>
      </c>
      <c r="L12" s="291"/>
      <c r="M12" s="291"/>
      <c r="N12" s="291"/>
      <c r="U12" s="291">
        <f t="shared" si="0"/>
        <v>1</v>
      </c>
      <c r="X12" s="293">
        <f t="shared" si="1"/>
        <v>0</v>
      </c>
      <c r="Y12" s="293">
        <f t="shared" si="1"/>
        <v>0</v>
      </c>
      <c r="Z12" s="293">
        <f t="shared" si="1"/>
        <v>25000</v>
      </c>
      <c r="AA12" s="293">
        <f t="shared" si="1"/>
        <v>25000</v>
      </c>
      <c r="AB12" s="293">
        <f t="shared" si="1"/>
        <v>25000</v>
      </c>
      <c r="AC12" s="293">
        <f t="shared" si="1"/>
        <v>25000</v>
      </c>
      <c r="AD12" s="293">
        <f t="shared" si="1"/>
        <v>0</v>
      </c>
      <c r="AE12" s="293">
        <f t="shared" si="1"/>
        <v>0</v>
      </c>
      <c r="AF12" s="293">
        <f t="shared" si="1"/>
        <v>0</v>
      </c>
      <c r="AG12" s="293">
        <f t="shared" si="1"/>
        <v>0</v>
      </c>
      <c r="AH12" s="293">
        <f t="shared" si="1"/>
        <v>0</v>
      </c>
      <c r="AI12" s="293">
        <f t="shared" si="1"/>
        <v>0</v>
      </c>
      <c r="AJ12" s="293">
        <f t="shared" si="1"/>
        <v>0</v>
      </c>
      <c r="AK12" s="293">
        <f t="shared" si="1"/>
        <v>0</v>
      </c>
      <c r="AL12" s="293">
        <f t="shared" si="1"/>
        <v>0</v>
      </c>
      <c r="AM12" s="232"/>
      <c r="AN12" s="293">
        <f t="shared" si="2"/>
        <v>0</v>
      </c>
      <c r="AO12" s="293">
        <f t="shared" si="2"/>
        <v>0</v>
      </c>
      <c r="AP12" s="293">
        <f t="shared" si="2"/>
        <v>100000</v>
      </c>
      <c r="AQ12" s="293">
        <f t="shared" si="2"/>
        <v>0</v>
      </c>
      <c r="AR12" s="293">
        <f t="shared" si="2"/>
        <v>0</v>
      </c>
      <c r="AS12" s="293">
        <f t="shared" si="2"/>
        <v>0</v>
      </c>
      <c r="AT12" s="293">
        <f t="shared" si="2"/>
        <v>0</v>
      </c>
      <c r="AU12" s="293">
        <f t="shared" si="2"/>
        <v>0</v>
      </c>
      <c r="AV12" s="293">
        <f t="shared" si="2"/>
        <v>0</v>
      </c>
      <c r="AW12" s="293">
        <f t="shared" si="2"/>
        <v>0</v>
      </c>
      <c r="AX12" s="293">
        <f t="shared" si="2"/>
        <v>0</v>
      </c>
      <c r="AY12" s="293">
        <f t="shared" si="2"/>
        <v>0</v>
      </c>
      <c r="AZ12" s="293">
        <f t="shared" si="2"/>
        <v>0</v>
      </c>
      <c r="BA12" s="293">
        <f t="shared" si="2"/>
        <v>0</v>
      </c>
      <c r="BB12" s="293">
        <f t="shared" si="2"/>
        <v>0</v>
      </c>
      <c r="BD12" s="292">
        <f t="shared" si="3"/>
        <v>0</v>
      </c>
    </row>
    <row r="13" spans="1:56" x14ac:dyDescent="0.25">
      <c r="A13" s="288" t="s">
        <v>133</v>
      </c>
      <c r="B13" s="300" t="str">
        <f>VLOOKUP(A13,'DFP-Com'!$A$16:$B$50,2,1)</f>
        <v xml:space="preserve">     2.1.a  Tax and Customs</v>
      </c>
      <c r="D13" s="227"/>
      <c r="G13" s="291"/>
      <c r="H13" s="308"/>
      <c r="I13" s="291"/>
      <c r="J13" s="291"/>
      <c r="K13" s="291"/>
      <c r="L13" s="291"/>
      <c r="M13" s="291"/>
      <c r="N13" s="291"/>
      <c r="O13" s="291"/>
      <c r="P13" s="291"/>
      <c r="Q13" s="291"/>
      <c r="U13" s="291">
        <f t="shared" si="0"/>
        <v>0</v>
      </c>
      <c r="X13" s="293">
        <f t="shared" si="1"/>
        <v>0</v>
      </c>
      <c r="Y13" s="293">
        <f t="shared" si="1"/>
        <v>0</v>
      </c>
      <c r="Z13" s="293">
        <f t="shared" si="1"/>
        <v>0</v>
      </c>
      <c r="AA13" s="293">
        <f t="shared" si="1"/>
        <v>0</v>
      </c>
      <c r="AB13" s="293">
        <f t="shared" si="1"/>
        <v>0</v>
      </c>
      <c r="AC13" s="293">
        <f t="shared" si="1"/>
        <v>0</v>
      </c>
      <c r="AD13" s="293">
        <f t="shared" si="1"/>
        <v>0</v>
      </c>
      <c r="AE13" s="293">
        <f t="shared" si="1"/>
        <v>0</v>
      </c>
      <c r="AF13" s="293">
        <f t="shared" si="1"/>
        <v>0</v>
      </c>
      <c r="AG13" s="293">
        <f t="shared" si="1"/>
        <v>0</v>
      </c>
      <c r="AH13" s="293">
        <f t="shared" si="1"/>
        <v>0</v>
      </c>
      <c r="AI13" s="293">
        <f t="shared" si="1"/>
        <v>0</v>
      </c>
      <c r="AJ13" s="293">
        <f t="shared" si="1"/>
        <v>0</v>
      </c>
      <c r="AK13" s="293">
        <f t="shared" si="1"/>
        <v>0</v>
      </c>
      <c r="AL13" s="293">
        <f t="shared" si="1"/>
        <v>0</v>
      </c>
      <c r="AM13" s="232"/>
      <c r="AN13" s="293">
        <f t="shared" si="2"/>
        <v>0</v>
      </c>
      <c r="AO13" s="293">
        <f t="shared" si="2"/>
        <v>0</v>
      </c>
      <c r="AP13" s="293">
        <f t="shared" si="2"/>
        <v>0</v>
      </c>
      <c r="AQ13" s="293">
        <f t="shared" si="2"/>
        <v>0</v>
      </c>
      <c r="AR13" s="293">
        <f t="shared" si="2"/>
        <v>0</v>
      </c>
      <c r="AS13" s="293">
        <f t="shared" si="2"/>
        <v>0</v>
      </c>
      <c r="AT13" s="293">
        <f t="shared" si="2"/>
        <v>0</v>
      </c>
      <c r="AU13" s="293">
        <f t="shared" si="2"/>
        <v>0</v>
      </c>
      <c r="AV13" s="293">
        <f t="shared" si="2"/>
        <v>0</v>
      </c>
      <c r="AW13" s="293">
        <f t="shared" si="2"/>
        <v>0</v>
      </c>
      <c r="AX13" s="293">
        <f t="shared" si="2"/>
        <v>0</v>
      </c>
      <c r="AY13" s="293">
        <f t="shared" si="2"/>
        <v>0</v>
      </c>
      <c r="AZ13" s="293">
        <f t="shared" si="2"/>
        <v>0</v>
      </c>
      <c r="BA13" s="293">
        <f t="shared" si="2"/>
        <v>0</v>
      </c>
      <c r="BB13" s="293">
        <f t="shared" si="2"/>
        <v>0</v>
      </c>
      <c r="BD13" s="292">
        <f t="shared" si="3"/>
        <v>0</v>
      </c>
    </row>
    <row r="14" spans="1:56" x14ac:dyDescent="0.25">
      <c r="A14" s="288" t="s">
        <v>134</v>
      </c>
      <c r="B14" s="301" t="str">
        <f>VLOOKUP(A14,'DFP-Com'!$A$16:$B$50,2,1)</f>
        <v xml:space="preserve">     2.2.a  Advisors</v>
      </c>
      <c r="C14" s="288" t="s">
        <v>178</v>
      </c>
      <c r="D14" s="227">
        <v>150000</v>
      </c>
      <c r="E14" s="288" t="s">
        <v>165</v>
      </c>
      <c r="G14" s="291"/>
      <c r="H14" s="308">
        <v>0.25</v>
      </c>
      <c r="I14" s="291">
        <v>0.25</v>
      </c>
      <c r="J14" s="291">
        <v>0.25</v>
      </c>
      <c r="K14" s="291">
        <v>0.25</v>
      </c>
      <c r="U14" s="291">
        <f t="shared" si="0"/>
        <v>1</v>
      </c>
      <c r="X14" s="293">
        <f t="shared" si="1"/>
        <v>0</v>
      </c>
      <c r="Y14" s="293">
        <f t="shared" si="1"/>
        <v>0</v>
      </c>
      <c r="Z14" s="293">
        <f t="shared" si="1"/>
        <v>37500</v>
      </c>
      <c r="AA14" s="293">
        <f t="shared" si="1"/>
        <v>37500</v>
      </c>
      <c r="AB14" s="293">
        <f t="shared" si="1"/>
        <v>37500</v>
      </c>
      <c r="AC14" s="293">
        <f t="shared" si="1"/>
        <v>37500</v>
      </c>
      <c r="AD14" s="293">
        <f t="shared" si="1"/>
        <v>0</v>
      </c>
      <c r="AE14" s="293">
        <f t="shared" si="1"/>
        <v>0</v>
      </c>
      <c r="AF14" s="293">
        <f t="shared" si="1"/>
        <v>0</v>
      </c>
      <c r="AG14" s="293">
        <f t="shared" si="1"/>
        <v>0</v>
      </c>
      <c r="AH14" s="293">
        <f t="shared" si="1"/>
        <v>0</v>
      </c>
      <c r="AI14" s="293">
        <f t="shared" si="1"/>
        <v>0</v>
      </c>
      <c r="AJ14" s="293">
        <f t="shared" si="1"/>
        <v>0</v>
      </c>
      <c r="AK14" s="293">
        <f t="shared" si="1"/>
        <v>0</v>
      </c>
      <c r="AL14" s="293">
        <f t="shared" si="1"/>
        <v>0</v>
      </c>
      <c r="AM14" s="232"/>
      <c r="AN14" s="293">
        <f t="shared" si="2"/>
        <v>0</v>
      </c>
      <c r="AO14" s="293">
        <f t="shared" si="2"/>
        <v>0</v>
      </c>
      <c r="AP14" s="293">
        <f t="shared" si="2"/>
        <v>150000</v>
      </c>
      <c r="AQ14" s="293">
        <f t="shared" si="2"/>
        <v>0</v>
      </c>
      <c r="AR14" s="293">
        <f t="shared" si="2"/>
        <v>0</v>
      </c>
      <c r="AS14" s="293">
        <f t="shared" si="2"/>
        <v>0</v>
      </c>
      <c r="AT14" s="293">
        <f t="shared" si="2"/>
        <v>0</v>
      </c>
      <c r="AU14" s="293">
        <f t="shared" si="2"/>
        <v>0</v>
      </c>
      <c r="AV14" s="293">
        <f t="shared" si="2"/>
        <v>0</v>
      </c>
      <c r="AW14" s="293">
        <f t="shared" si="2"/>
        <v>0</v>
      </c>
      <c r="AX14" s="293">
        <f t="shared" si="2"/>
        <v>0</v>
      </c>
      <c r="AY14" s="293">
        <f t="shared" si="2"/>
        <v>0</v>
      </c>
      <c r="AZ14" s="293">
        <f t="shared" si="2"/>
        <v>0</v>
      </c>
      <c r="BA14" s="293">
        <f t="shared" si="2"/>
        <v>0</v>
      </c>
      <c r="BB14" s="293">
        <f t="shared" si="2"/>
        <v>0</v>
      </c>
      <c r="BD14" s="292">
        <f t="shared" si="3"/>
        <v>0</v>
      </c>
    </row>
    <row r="15" spans="1:56" x14ac:dyDescent="0.25">
      <c r="A15" s="288" t="s">
        <v>134</v>
      </c>
      <c r="B15" s="301" t="str">
        <f>VLOOKUP(A15,'DFP-Com'!$A$16:$B$50,2,1)</f>
        <v xml:space="preserve">     2.2.a  Advisors</v>
      </c>
      <c r="C15" s="288" t="s">
        <v>196</v>
      </c>
      <c r="D15" s="227">
        <v>150000</v>
      </c>
      <c r="E15" s="288" t="s">
        <v>167</v>
      </c>
      <c r="K15" s="291">
        <v>0.25</v>
      </c>
      <c r="L15" s="291">
        <v>0.25</v>
      </c>
      <c r="M15" s="291">
        <v>0.25</v>
      </c>
      <c r="N15" s="291">
        <v>0.25</v>
      </c>
      <c r="U15" s="291">
        <f t="shared" si="0"/>
        <v>1</v>
      </c>
      <c r="X15" s="293">
        <f t="shared" si="1"/>
        <v>0</v>
      </c>
      <c r="Y15" s="293">
        <f t="shared" si="1"/>
        <v>0</v>
      </c>
      <c r="Z15" s="293">
        <f t="shared" si="1"/>
        <v>0</v>
      </c>
      <c r="AA15" s="293">
        <f t="shared" si="1"/>
        <v>0</v>
      </c>
      <c r="AB15" s="293">
        <f t="shared" si="1"/>
        <v>0</v>
      </c>
      <c r="AC15" s="293">
        <f t="shared" si="1"/>
        <v>37500</v>
      </c>
      <c r="AD15" s="293">
        <f t="shared" si="1"/>
        <v>37500</v>
      </c>
      <c r="AE15" s="293">
        <f t="shared" si="1"/>
        <v>37500</v>
      </c>
      <c r="AF15" s="293">
        <f t="shared" si="1"/>
        <v>37500</v>
      </c>
      <c r="AG15" s="293">
        <f t="shared" si="1"/>
        <v>0</v>
      </c>
      <c r="AH15" s="293">
        <f t="shared" si="1"/>
        <v>0</v>
      </c>
      <c r="AI15" s="293">
        <f t="shared" si="1"/>
        <v>0</v>
      </c>
      <c r="AJ15" s="293">
        <f t="shared" si="1"/>
        <v>0</v>
      </c>
      <c r="AK15" s="293">
        <f t="shared" si="1"/>
        <v>0</v>
      </c>
      <c r="AL15" s="293">
        <f t="shared" si="1"/>
        <v>0</v>
      </c>
      <c r="AM15" s="232"/>
      <c r="AN15" s="293">
        <f t="shared" si="2"/>
        <v>0</v>
      </c>
      <c r="AO15" s="293">
        <f t="shared" si="2"/>
        <v>0</v>
      </c>
      <c r="AP15" s="293">
        <f t="shared" si="2"/>
        <v>0</v>
      </c>
      <c r="AQ15" s="293">
        <f t="shared" si="2"/>
        <v>0</v>
      </c>
      <c r="AR15" s="293">
        <f t="shared" si="2"/>
        <v>0</v>
      </c>
      <c r="AS15" s="293">
        <f t="shared" si="2"/>
        <v>150000</v>
      </c>
      <c r="AT15" s="293">
        <f t="shared" si="2"/>
        <v>0</v>
      </c>
      <c r="AU15" s="293">
        <f t="shared" si="2"/>
        <v>0</v>
      </c>
      <c r="AV15" s="293">
        <f t="shared" si="2"/>
        <v>0</v>
      </c>
      <c r="AW15" s="293">
        <f t="shared" si="2"/>
        <v>0</v>
      </c>
      <c r="AX15" s="293">
        <f t="shared" si="2"/>
        <v>0</v>
      </c>
      <c r="AY15" s="293">
        <f t="shared" si="2"/>
        <v>0</v>
      </c>
      <c r="AZ15" s="293">
        <f t="shared" si="2"/>
        <v>0</v>
      </c>
      <c r="BA15" s="293">
        <f t="shared" si="2"/>
        <v>0</v>
      </c>
      <c r="BB15" s="293">
        <f t="shared" si="2"/>
        <v>0</v>
      </c>
      <c r="BD15" s="292">
        <f t="shared" si="3"/>
        <v>0</v>
      </c>
    </row>
    <row r="16" spans="1:56" x14ac:dyDescent="0.25">
      <c r="A16" s="288" t="s">
        <v>134</v>
      </c>
      <c r="B16" s="301" t="str">
        <f>VLOOKUP(A16,'DFP-Com'!$A$16:$B$50,2,1)</f>
        <v xml:space="preserve">     2.2.a  Advisors</v>
      </c>
      <c r="C16" s="288" t="s">
        <v>170</v>
      </c>
      <c r="D16" s="227">
        <v>73500</v>
      </c>
      <c r="E16" s="288" t="s">
        <v>165</v>
      </c>
      <c r="F16" s="291"/>
      <c r="G16" s="291"/>
      <c r="H16" s="308">
        <v>0.16666666666666699</v>
      </c>
      <c r="I16" s="291">
        <v>0.25</v>
      </c>
      <c r="J16" s="291">
        <v>0.25</v>
      </c>
      <c r="K16" s="291">
        <v>0.25</v>
      </c>
      <c r="L16" s="291">
        <v>8.3333333333333329E-2</v>
      </c>
      <c r="M16" s="291"/>
      <c r="N16" s="291"/>
      <c r="O16" s="291"/>
      <c r="P16" s="291"/>
      <c r="Q16" s="291"/>
      <c r="U16" s="291">
        <f t="shared" si="0"/>
        <v>1.0000000000000002</v>
      </c>
      <c r="X16" s="242">
        <f t="shared" si="1"/>
        <v>0</v>
      </c>
      <c r="Y16" s="293">
        <f t="shared" si="1"/>
        <v>0</v>
      </c>
      <c r="Z16" s="293">
        <f t="shared" si="1"/>
        <v>12250.000000000024</v>
      </c>
      <c r="AA16" s="293">
        <f t="shared" si="1"/>
        <v>18375</v>
      </c>
      <c r="AB16" s="293">
        <f t="shared" si="1"/>
        <v>18375</v>
      </c>
      <c r="AC16" s="293">
        <f t="shared" si="1"/>
        <v>18375</v>
      </c>
      <c r="AD16" s="293">
        <f t="shared" si="1"/>
        <v>6125</v>
      </c>
      <c r="AE16" s="293">
        <f t="shared" si="1"/>
        <v>0</v>
      </c>
      <c r="AF16" s="293">
        <f t="shared" si="1"/>
        <v>0</v>
      </c>
      <c r="AG16" s="293">
        <f t="shared" si="1"/>
        <v>0</v>
      </c>
      <c r="AH16" s="293">
        <f t="shared" si="1"/>
        <v>0</v>
      </c>
      <c r="AI16" s="293">
        <f t="shared" si="1"/>
        <v>0</v>
      </c>
      <c r="AJ16" s="293">
        <f t="shared" si="1"/>
        <v>0</v>
      </c>
      <c r="AK16" s="293">
        <f t="shared" si="1"/>
        <v>0</v>
      </c>
      <c r="AL16" s="293">
        <f t="shared" si="1"/>
        <v>0</v>
      </c>
      <c r="AM16" s="232"/>
      <c r="AN16" s="293">
        <f t="shared" si="2"/>
        <v>0</v>
      </c>
      <c r="AO16" s="293">
        <f t="shared" si="2"/>
        <v>0</v>
      </c>
      <c r="AP16" s="293">
        <f t="shared" si="2"/>
        <v>73500</v>
      </c>
      <c r="AQ16" s="293">
        <f t="shared" si="2"/>
        <v>0</v>
      </c>
      <c r="AR16" s="293">
        <f t="shared" si="2"/>
        <v>0</v>
      </c>
      <c r="AS16" s="293">
        <f t="shared" si="2"/>
        <v>0</v>
      </c>
      <c r="AT16" s="293">
        <f t="shared" si="2"/>
        <v>0</v>
      </c>
      <c r="AU16" s="293">
        <f t="shared" si="2"/>
        <v>0</v>
      </c>
      <c r="AV16" s="293">
        <f t="shared" si="2"/>
        <v>0</v>
      </c>
      <c r="AW16" s="293">
        <f t="shared" si="2"/>
        <v>0</v>
      </c>
      <c r="AX16" s="293">
        <f t="shared" si="2"/>
        <v>0</v>
      </c>
      <c r="AY16" s="293">
        <f t="shared" si="2"/>
        <v>0</v>
      </c>
      <c r="AZ16" s="293">
        <f t="shared" si="2"/>
        <v>0</v>
      </c>
      <c r="BA16" s="293">
        <f t="shared" si="2"/>
        <v>0</v>
      </c>
      <c r="BB16" s="293">
        <f t="shared" si="2"/>
        <v>0</v>
      </c>
      <c r="BD16" s="292">
        <f t="shared" si="3"/>
        <v>0</v>
      </c>
    </row>
    <row r="17" spans="1:56" x14ac:dyDescent="0.25">
      <c r="A17" s="288" t="s">
        <v>134</v>
      </c>
      <c r="B17" s="301" t="str">
        <f>VLOOKUP(A17,'DFP-Com'!$A$16:$B$50,2,1)</f>
        <v xml:space="preserve">     2.2.a  Advisors</v>
      </c>
      <c r="C17" s="288" t="s">
        <v>216</v>
      </c>
      <c r="D17" s="227">
        <f>12250*12</f>
        <v>147000</v>
      </c>
      <c r="E17" s="288" t="s">
        <v>167</v>
      </c>
      <c r="F17" s="291"/>
      <c r="G17" s="291"/>
      <c r="H17" s="308"/>
      <c r="I17" s="291"/>
      <c r="J17" s="291"/>
      <c r="K17" s="291">
        <v>0.16666666666666699</v>
      </c>
      <c r="L17" s="291">
        <v>0.25</v>
      </c>
      <c r="M17" s="291">
        <v>0.25</v>
      </c>
      <c r="N17" s="291">
        <v>0.25</v>
      </c>
      <c r="O17" s="291">
        <v>8.3333333333333329E-2</v>
      </c>
      <c r="P17" s="291"/>
      <c r="Q17" s="291"/>
      <c r="U17" s="291">
        <f t="shared" si="0"/>
        <v>1.0000000000000002</v>
      </c>
      <c r="X17" s="242">
        <f t="shared" si="1"/>
        <v>0</v>
      </c>
      <c r="Y17" s="293">
        <f t="shared" si="1"/>
        <v>0</v>
      </c>
      <c r="Z17" s="293">
        <f t="shared" si="1"/>
        <v>0</v>
      </c>
      <c r="AA17" s="293">
        <f t="shared" si="1"/>
        <v>0</v>
      </c>
      <c r="AB17" s="293">
        <f t="shared" si="1"/>
        <v>0</v>
      </c>
      <c r="AC17" s="293">
        <f t="shared" si="1"/>
        <v>24500.000000000047</v>
      </c>
      <c r="AD17" s="293">
        <f t="shared" si="1"/>
        <v>36750</v>
      </c>
      <c r="AE17" s="293">
        <f t="shared" si="1"/>
        <v>36750</v>
      </c>
      <c r="AF17" s="293">
        <f t="shared" si="1"/>
        <v>36750</v>
      </c>
      <c r="AG17" s="293">
        <f t="shared" si="1"/>
        <v>12250</v>
      </c>
      <c r="AH17" s="293">
        <f t="shared" si="1"/>
        <v>0</v>
      </c>
      <c r="AI17" s="293">
        <f t="shared" si="1"/>
        <v>0</v>
      </c>
      <c r="AJ17" s="293">
        <f t="shared" si="1"/>
        <v>0</v>
      </c>
      <c r="AK17" s="293">
        <f t="shared" si="1"/>
        <v>0</v>
      </c>
      <c r="AL17" s="293">
        <f t="shared" si="1"/>
        <v>0</v>
      </c>
      <c r="AM17" s="232"/>
      <c r="AN17" s="293">
        <f t="shared" si="2"/>
        <v>0</v>
      </c>
      <c r="AO17" s="293">
        <f t="shared" si="2"/>
        <v>0</v>
      </c>
      <c r="AP17" s="293">
        <f t="shared" si="2"/>
        <v>0</v>
      </c>
      <c r="AQ17" s="293">
        <f t="shared" si="2"/>
        <v>0</v>
      </c>
      <c r="AR17" s="293">
        <f t="shared" si="2"/>
        <v>0</v>
      </c>
      <c r="AS17" s="293">
        <f t="shared" si="2"/>
        <v>147000</v>
      </c>
      <c r="AT17" s="293">
        <f t="shared" si="2"/>
        <v>0</v>
      </c>
      <c r="AU17" s="293">
        <f t="shared" si="2"/>
        <v>0</v>
      </c>
      <c r="AV17" s="293">
        <f t="shared" si="2"/>
        <v>0</v>
      </c>
      <c r="AW17" s="293">
        <f t="shared" si="2"/>
        <v>0</v>
      </c>
      <c r="AX17" s="293">
        <f t="shared" si="2"/>
        <v>0</v>
      </c>
      <c r="AY17" s="293">
        <f t="shared" si="2"/>
        <v>0</v>
      </c>
      <c r="AZ17" s="293">
        <f t="shared" si="2"/>
        <v>0</v>
      </c>
      <c r="BA17" s="293">
        <f t="shared" si="2"/>
        <v>0</v>
      </c>
      <c r="BB17" s="293">
        <f t="shared" si="2"/>
        <v>0</v>
      </c>
      <c r="BD17" s="292">
        <f t="shared" si="3"/>
        <v>0</v>
      </c>
    </row>
    <row r="18" spans="1:56" x14ac:dyDescent="0.25">
      <c r="A18" s="288" t="s">
        <v>134</v>
      </c>
      <c r="B18" s="301" t="str">
        <f>VLOOKUP(A18,'DFP-Com'!$A$16:$B$50,2,1)</f>
        <v xml:space="preserve">     2.2.a  Advisors</v>
      </c>
      <c r="C18" s="288" t="s">
        <v>217</v>
      </c>
      <c r="D18" s="227">
        <f>12250*12</f>
        <v>147000</v>
      </c>
      <c r="E18" s="288" t="s">
        <v>218</v>
      </c>
      <c r="F18" s="291"/>
      <c r="G18" s="291"/>
      <c r="H18" s="308"/>
      <c r="I18" s="291"/>
      <c r="J18" s="291"/>
      <c r="K18" s="291"/>
      <c r="L18" s="291"/>
      <c r="M18" s="291"/>
      <c r="N18" s="291"/>
      <c r="O18" s="291">
        <v>0.16666666666666699</v>
      </c>
      <c r="P18" s="291">
        <v>0.25</v>
      </c>
      <c r="Q18" s="291">
        <v>0.25</v>
      </c>
      <c r="R18" s="291">
        <v>0.25</v>
      </c>
      <c r="S18" s="291">
        <v>8.3333333333333329E-2</v>
      </c>
      <c r="U18" s="291">
        <f t="shared" si="0"/>
        <v>1.0000000000000002</v>
      </c>
      <c r="X18" s="242">
        <f t="shared" si="1"/>
        <v>0</v>
      </c>
      <c r="Y18" s="293">
        <f t="shared" si="1"/>
        <v>0</v>
      </c>
      <c r="Z18" s="293">
        <f t="shared" si="1"/>
        <v>0</v>
      </c>
      <c r="AA18" s="293">
        <f t="shared" si="1"/>
        <v>0</v>
      </c>
      <c r="AB18" s="293">
        <f t="shared" si="1"/>
        <v>0</v>
      </c>
      <c r="AC18" s="293">
        <f t="shared" si="1"/>
        <v>0</v>
      </c>
      <c r="AD18" s="293">
        <f t="shared" si="1"/>
        <v>0</v>
      </c>
      <c r="AE18" s="293">
        <f t="shared" si="1"/>
        <v>0</v>
      </c>
      <c r="AF18" s="293">
        <f t="shared" si="1"/>
        <v>0</v>
      </c>
      <c r="AG18" s="293">
        <f t="shared" si="1"/>
        <v>24500.000000000047</v>
      </c>
      <c r="AH18" s="293">
        <f t="shared" si="1"/>
        <v>36750</v>
      </c>
      <c r="AI18" s="293">
        <f t="shared" si="1"/>
        <v>36750</v>
      </c>
      <c r="AJ18" s="293">
        <f t="shared" si="1"/>
        <v>36750</v>
      </c>
      <c r="AK18" s="293">
        <f t="shared" si="1"/>
        <v>12250</v>
      </c>
      <c r="AL18" s="293">
        <f t="shared" si="1"/>
        <v>0</v>
      </c>
      <c r="AM18" s="232"/>
      <c r="AN18" s="293">
        <f t="shared" si="2"/>
        <v>0</v>
      </c>
      <c r="AO18" s="293">
        <f t="shared" si="2"/>
        <v>0</v>
      </c>
      <c r="AP18" s="293">
        <f t="shared" si="2"/>
        <v>0</v>
      </c>
      <c r="AQ18" s="293">
        <f t="shared" si="2"/>
        <v>0</v>
      </c>
      <c r="AR18" s="293">
        <f t="shared" si="2"/>
        <v>0</v>
      </c>
      <c r="AS18" s="293">
        <f t="shared" si="2"/>
        <v>0</v>
      </c>
      <c r="AT18" s="293">
        <f t="shared" si="2"/>
        <v>0</v>
      </c>
      <c r="AU18" s="293">
        <f t="shared" si="2"/>
        <v>147000</v>
      </c>
      <c r="AV18" s="293">
        <f t="shared" si="2"/>
        <v>0</v>
      </c>
      <c r="AW18" s="293">
        <f t="shared" si="2"/>
        <v>0</v>
      </c>
      <c r="AX18" s="293">
        <f t="shared" si="2"/>
        <v>0</v>
      </c>
      <c r="AY18" s="293">
        <f t="shared" si="2"/>
        <v>0</v>
      </c>
      <c r="AZ18" s="293">
        <f t="shared" si="2"/>
        <v>0</v>
      </c>
      <c r="BA18" s="293">
        <f t="shared" si="2"/>
        <v>0</v>
      </c>
      <c r="BB18" s="293">
        <f t="shared" si="2"/>
        <v>0</v>
      </c>
      <c r="BD18" s="292">
        <f t="shared" si="3"/>
        <v>0</v>
      </c>
    </row>
    <row r="19" spans="1:56" x14ac:dyDescent="0.25">
      <c r="A19" s="288" t="s">
        <v>134</v>
      </c>
      <c r="B19" s="301" t="str">
        <f>VLOOKUP(A19,'DFP-Com'!$A$16:$B$50,2,1)</f>
        <v xml:space="preserve">     2.2.a  Advisors</v>
      </c>
      <c r="C19" s="288" t="s">
        <v>171</v>
      </c>
      <c r="D19" s="227">
        <v>61250</v>
      </c>
      <c r="E19" s="288" t="s">
        <v>193</v>
      </c>
      <c r="F19" s="291"/>
      <c r="G19" s="291">
        <v>0.2</v>
      </c>
      <c r="H19" s="308">
        <v>0.6</v>
      </c>
      <c r="I19" s="291">
        <v>0.2</v>
      </c>
      <c r="J19" s="291"/>
      <c r="K19" s="291"/>
      <c r="L19" s="291"/>
      <c r="M19" s="291"/>
      <c r="N19" s="291"/>
      <c r="O19" s="291"/>
      <c r="P19" s="291"/>
      <c r="Q19" s="291"/>
      <c r="U19" s="291">
        <f t="shared" si="0"/>
        <v>1</v>
      </c>
      <c r="X19" s="293">
        <f t="shared" si="1"/>
        <v>0</v>
      </c>
      <c r="Y19" s="293">
        <f t="shared" si="1"/>
        <v>12250</v>
      </c>
      <c r="Z19" s="293">
        <f t="shared" si="1"/>
        <v>36750</v>
      </c>
      <c r="AA19" s="293">
        <f t="shared" si="1"/>
        <v>12250</v>
      </c>
      <c r="AB19" s="293">
        <f t="shared" si="1"/>
        <v>0</v>
      </c>
      <c r="AC19" s="293">
        <f t="shared" si="1"/>
        <v>0</v>
      </c>
      <c r="AD19" s="293">
        <f t="shared" si="1"/>
        <v>0</v>
      </c>
      <c r="AE19" s="293">
        <f t="shared" si="1"/>
        <v>0</v>
      </c>
      <c r="AF19" s="293">
        <f t="shared" si="1"/>
        <v>0</v>
      </c>
      <c r="AG19" s="293">
        <f t="shared" si="1"/>
        <v>0</v>
      </c>
      <c r="AH19" s="293">
        <f t="shared" si="1"/>
        <v>0</v>
      </c>
      <c r="AI19" s="293">
        <f t="shared" si="1"/>
        <v>0</v>
      </c>
      <c r="AJ19" s="293">
        <f t="shared" si="1"/>
        <v>0</v>
      </c>
      <c r="AK19" s="293">
        <f t="shared" si="1"/>
        <v>0</v>
      </c>
      <c r="AL19" s="293">
        <f t="shared" si="1"/>
        <v>0</v>
      </c>
      <c r="AM19" s="232"/>
      <c r="AN19" s="293">
        <f t="shared" si="2"/>
        <v>0</v>
      </c>
      <c r="AO19" s="293">
        <f t="shared" si="2"/>
        <v>61250</v>
      </c>
      <c r="AP19" s="293">
        <f t="shared" si="2"/>
        <v>0</v>
      </c>
      <c r="AQ19" s="293">
        <f t="shared" si="2"/>
        <v>0</v>
      </c>
      <c r="AR19" s="293">
        <f t="shared" si="2"/>
        <v>0</v>
      </c>
      <c r="AS19" s="293">
        <f t="shared" si="2"/>
        <v>0</v>
      </c>
      <c r="AT19" s="293">
        <f t="shared" si="2"/>
        <v>0</v>
      </c>
      <c r="AU19" s="293">
        <f t="shared" si="2"/>
        <v>0</v>
      </c>
      <c r="AV19" s="293">
        <f t="shared" si="2"/>
        <v>0</v>
      </c>
      <c r="AW19" s="293">
        <f t="shared" si="2"/>
        <v>0</v>
      </c>
      <c r="AX19" s="293">
        <f t="shared" si="2"/>
        <v>0</v>
      </c>
      <c r="AY19" s="293">
        <f t="shared" si="2"/>
        <v>0</v>
      </c>
      <c r="AZ19" s="293">
        <f t="shared" si="2"/>
        <v>0</v>
      </c>
      <c r="BA19" s="293">
        <f t="shared" si="2"/>
        <v>0</v>
      </c>
      <c r="BB19" s="293">
        <f t="shared" si="2"/>
        <v>0</v>
      </c>
      <c r="BD19" s="292">
        <f t="shared" si="3"/>
        <v>0</v>
      </c>
    </row>
    <row r="20" spans="1:56" x14ac:dyDescent="0.25">
      <c r="A20" s="288" t="s">
        <v>135</v>
      </c>
      <c r="B20" s="301" t="str">
        <f>VLOOKUP(A20,'DFP-Com'!$A$16:$B$50,2,1)</f>
        <v xml:space="preserve">     2.2.b  Feasiblity Studies/  Transaction Advisory Services</v>
      </c>
      <c r="C20" s="288" t="s">
        <v>172</v>
      </c>
      <c r="D20" s="227">
        <v>500000</v>
      </c>
      <c r="E20" s="288" t="s">
        <v>165</v>
      </c>
      <c r="F20" s="291"/>
      <c r="G20" s="291"/>
      <c r="H20" s="308">
        <v>0.25</v>
      </c>
      <c r="I20" s="291">
        <v>0.25</v>
      </c>
      <c r="J20" s="291">
        <v>0.25</v>
      </c>
      <c r="K20" s="291">
        <v>0.25</v>
      </c>
      <c r="L20" s="291"/>
      <c r="M20" s="291"/>
      <c r="N20" s="291"/>
      <c r="U20" s="291">
        <f t="shared" si="0"/>
        <v>1</v>
      </c>
      <c r="X20" s="293">
        <f t="shared" si="1"/>
        <v>0</v>
      </c>
      <c r="Y20" s="293">
        <f t="shared" si="1"/>
        <v>0</v>
      </c>
      <c r="Z20" s="293">
        <f t="shared" si="1"/>
        <v>125000</v>
      </c>
      <c r="AA20" s="293">
        <f t="shared" si="1"/>
        <v>125000</v>
      </c>
      <c r="AB20" s="293">
        <f t="shared" si="1"/>
        <v>125000</v>
      </c>
      <c r="AC20" s="293">
        <f t="shared" si="1"/>
        <v>125000</v>
      </c>
      <c r="AD20" s="293">
        <f t="shared" si="1"/>
        <v>0</v>
      </c>
      <c r="AE20" s="293">
        <f t="shared" si="1"/>
        <v>0</v>
      </c>
      <c r="AF20" s="293">
        <f t="shared" si="1"/>
        <v>0</v>
      </c>
      <c r="AG20" s="293">
        <f t="shared" si="1"/>
        <v>0</v>
      </c>
      <c r="AH20" s="293">
        <f t="shared" si="1"/>
        <v>0</v>
      </c>
      <c r="AI20" s="293">
        <f t="shared" si="1"/>
        <v>0</v>
      </c>
      <c r="AJ20" s="293">
        <f t="shared" si="1"/>
        <v>0</v>
      </c>
      <c r="AK20" s="293">
        <f t="shared" si="1"/>
        <v>0</v>
      </c>
      <c r="AL20" s="293">
        <f t="shared" si="1"/>
        <v>0</v>
      </c>
      <c r="AM20" s="232"/>
      <c r="AN20" s="293">
        <f t="shared" ref="AN20:BB35" si="4">IF(AN$3=$E20,$D20,0)</f>
        <v>0</v>
      </c>
      <c r="AO20" s="293">
        <f t="shared" si="4"/>
        <v>0</v>
      </c>
      <c r="AP20" s="293">
        <f t="shared" si="4"/>
        <v>500000</v>
      </c>
      <c r="AQ20" s="293">
        <f t="shared" si="4"/>
        <v>0</v>
      </c>
      <c r="AR20" s="293">
        <f t="shared" si="4"/>
        <v>0</v>
      </c>
      <c r="AS20" s="293">
        <f t="shared" si="4"/>
        <v>0</v>
      </c>
      <c r="AT20" s="293">
        <f t="shared" si="4"/>
        <v>0</v>
      </c>
      <c r="AU20" s="293">
        <f t="shared" si="4"/>
        <v>0</v>
      </c>
      <c r="AV20" s="293">
        <f t="shared" si="4"/>
        <v>0</v>
      </c>
      <c r="AW20" s="293">
        <f t="shared" si="4"/>
        <v>0</v>
      </c>
      <c r="AX20" s="293">
        <f t="shared" si="4"/>
        <v>0</v>
      </c>
      <c r="AY20" s="293">
        <f t="shared" si="4"/>
        <v>0</v>
      </c>
      <c r="AZ20" s="293">
        <f t="shared" si="4"/>
        <v>0</v>
      </c>
      <c r="BA20" s="293">
        <f t="shared" si="4"/>
        <v>0</v>
      </c>
      <c r="BB20" s="293">
        <f t="shared" si="4"/>
        <v>0</v>
      </c>
      <c r="BD20" s="292">
        <f t="shared" si="3"/>
        <v>0</v>
      </c>
    </row>
    <row r="21" spans="1:56" x14ac:dyDescent="0.25">
      <c r="A21" s="288" t="s">
        <v>135</v>
      </c>
      <c r="B21" s="301" t="str">
        <f>VLOOKUP(A21,'DFP-Com'!$A$16:$B$50,2,1)</f>
        <v xml:space="preserve">     2.2.b  Feasiblity Studies/  Transaction Advisory Services</v>
      </c>
      <c r="C21" s="288" t="s">
        <v>173</v>
      </c>
      <c r="D21" s="227">
        <v>200000</v>
      </c>
      <c r="E21" s="288" t="s">
        <v>165</v>
      </c>
      <c r="F21" s="291"/>
      <c r="G21" s="291"/>
      <c r="H21" s="308"/>
      <c r="I21" s="291"/>
      <c r="J21" s="291">
        <v>0.25</v>
      </c>
      <c r="K21" s="291">
        <v>0.25</v>
      </c>
      <c r="L21" s="291">
        <v>0.25</v>
      </c>
      <c r="M21" s="291">
        <v>0.25</v>
      </c>
      <c r="U21" s="291">
        <f t="shared" si="0"/>
        <v>1</v>
      </c>
      <c r="X21" s="293">
        <f t="shared" ref="X21:AL37" si="5">F21*$D21</f>
        <v>0</v>
      </c>
      <c r="Y21" s="293">
        <f t="shared" si="5"/>
        <v>0</v>
      </c>
      <c r="Z21" s="293">
        <f t="shared" si="5"/>
        <v>0</v>
      </c>
      <c r="AA21" s="293">
        <f t="shared" si="5"/>
        <v>0</v>
      </c>
      <c r="AB21" s="293">
        <f t="shared" si="5"/>
        <v>50000</v>
      </c>
      <c r="AC21" s="293">
        <f t="shared" si="5"/>
        <v>50000</v>
      </c>
      <c r="AD21" s="293">
        <f t="shared" si="5"/>
        <v>50000</v>
      </c>
      <c r="AE21" s="293">
        <f t="shared" si="5"/>
        <v>50000</v>
      </c>
      <c r="AF21" s="293">
        <f t="shared" si="5"/>
        <v>0</v>
      </c>
      <c r="AG21" s="293">
        <f t="shared" si="5"/>
        <v>0</v>
      </c>
      <c r="AH21" s="293">
        <f t="shared" si="5"/>
        <v>0</v>
      </c>
      <c r="AI21" s="293">
        <f t="shared" si="5"/>
        <v>0</v>
      </c>
      <c r="AJ21" s="293">
        <f t="shared" si="5"/>
        <v>0</v>
      </c>
      <c r="AK21" s="293">
        <f t="shared" si="5"/>
        <v>0</v>
      </c>
      <c r="AL21" s="293">
        <f t="shared" si="5"/>
        <v>0</v>
      </c>
      <c r="AM21" s="232"/>
      <c r="AN21" s="293">
        <f t="shared" si="4"/>
        <v>0</v>
      </c>
      <c r="AO21" s="293">
        <f t="shared" si="4"/>
        <v>0</v>
      </c>
      <c r="AP21" s="293">
        <f t="shared" si="4"/>
        <v>200000</v>
      </c>
      <c r="AQ21" s="293">
        <f t="shared" si="4"/>
        <v>0</v>
      </c>
      <c r="AR21" s="293">
        <f t="shared" si="4"/>
        <v>0</v>
      </c>
      <c r="AS21" s="293">
        <f t="shared" si="4"/>
        <v>0</v>
      </c>
      <c r="AT21" s="293">
        <f t="shared" si="4"/>
        <v>0</v>
      </c>
      <c r="AU21" s="293">
        <f t="shared" si="4"/>
        <v>0</v>
      </c>
      <c r="AV21" s="293">
        <f t="shared" si="4"/>
        <v>0</v>
      </c>
      <c r="AW21" s="293">
        <f t="shared" si="4"/>
        <v>0</v>
      </c>
      <c r="AX21" s="293">
        <f t="shared" si="4"/>
        <v>0</v>
      </c>
      <c r="AY21" s="293">
        <f t="shared" si="4"/>
        <v>0</v>
      </c>
      <c r="AZ21" s="293">
        <f t="shared" si="4"/>
        <v>0</v>
      </c>
      <c r="BA21" s="293">
        <f t="shared" si="4"/>
        <v>0</v>
      </c>
      <c r="BB21" s="293">
        <f t="shared" si="4"/>
        <v>0</v>
      </c>
      <c r="BD21" s="292">
        <f t="shared" si="3"/>
        <v>0</v>
      </c>
    </row>
    <row r="22" spans="1:56" x14ac:dyDescent="0.25">
      <c r="A22" s="288" t="s">
        <v>135</v>
      </c>
      <c r="B22" s="301" t="str">
        <f>VLOOKUP(A22,'DFP-Com'!$A$16:$B$50,2,1)</f>
        <v xml:space="preserve">     2.2.b  Feasiblity Studies/  Transaction Advisory Services</v>
      </c>
      <c r="C22" s="288" t="s">
        <v>174</v>
      </c>
      <c r="D22" s="227">
        <v>350000</v>
      </c>
      <c r="U22" s="291">
        <f t="shared" si="0"/>
        <v>0</v>
      </c>
      <c r="X22" s="293">
        <f t="shared" si="5"/>
        <v>0</v>
      </c>
      <c r="Y22" s="293">
        <f t="shared" si="5"/>
        <v>0</v>
      </c>
      <c r="Z22" s="293">
        <f t="shared" si="5"/>
        <v>0</v>
      </c>
      <c r="AA22" s="293">
        <f t="shared" si="5"/>
        <v>0</v>
      </c>
      <c r="AB22" s="293">
        <f t="shared" si="5"/>
        <v>0</v>
      </c>
      <c r="AC22" s="293">
        <f t="shared" si="5"/>
        <v>0</v>
      </c>
      <c r="AD22" s="293">
        <f t="shared" si="5"/>
        <v>0</v>
      </c>
      <c r="AE22" s="293">
        <f t="shared" si="5"/>
        <v>0</v>
      </c>
      <c r="AF22" s="293">
        <f t="shared" si="5"/>
        <v>0</v>
      </c>
      <c r="AG22" s="293">
        <f t="shared" si="5"/>
        <v>0</v>
      </c>
      <c r="AH22" s="293">
        <f t="shared" si="5"/>
        <v>0</v>
      </c>
      <c r="AI22" s="293">
        <f t="shared" si="5"/>
        <v>0</v>
      </c>
      <c r="AJ22" s="293">
        <f t="shared" si="5"/>
        <v>0</v>
      </c>
      <c r="AK22" s="293">
        <f t="shared" si="5"/>
        <v>0</v>
      </c>
      <c r="AL22" s="293">
        <f t="shared" si="5"/>
        <v>0</v>
      </c>
      <c r="AM22" s="232"/>
      <c r="AN22" s="293">
        <f t="shared" si="4"/>
        <v>0</v>
      </c>
      <c r="AO22" s="293">
        <f t="shared" si="4"/>
        <v>0</v>
      </c>
      <c r="AP22" s="293">
        <f t="shared" si="4"/>
        <v>0</v>
      </c>
      <c r="AQ22" s="293">
        <f t="shared" si="4"/>
        <v>0</v>
      </c>
      <c r="AR22" s="293">
        <f t="shared" si="4"/>
        <v>0</v>
      </c>
      <c r="AS22" s="293">
        <f t="shared" si="4"/>
        <v>0</v>
      </c>
      <c r="AT22" s="293">
        <f t="shared" si="4"/>
        <v>0</v>
      </c>
      <c r="AU22" s="293">
        <f t="shared" si="4"/>
        <v>0</v>
      </c>
      <c r="AV22" s="293">
        <f t="shared" si="4"/>
        <v>0</v>
      </c>
      <c r="AW22" s="293">
        <f t="shared" si="4"/>
        <v>0</v>
      </c>
      <c r="AX22" s="293">
        <f t="shared" si="4"/>
        <v>0</v>
      </c>
      <c r="AY22" s="293">
        <f t="shared" si="4"/>
        <v>0</v>
      </c>
      <c r="AZ22" s="293">
        <f t="shared" si="4"/>
        <v>0</v>
      </c>
      <c r="BA22" s="293">
        <f t="shared" si="4"/>
        <v>0</v>
      </c>
      <c r="BB22" s="293">
        <f t="shared" si="4"/>
        <v>0</v>
      </c>
      <c r="BD22" s="292">
        <f t="shared" si="3"/>
        <v>0</v>
      </c>
    </row>
    <row r="23" spans="1:56" x14ac:dyDescent="0.25">
      <c r="A23" s="288" t="s">
        <v>135</v>
      </c>
      <c r="B23" s="301" t="str">
        <f>VLOOKUP(A23,'DFP-Com'!$A$16:$B$50,2,1)</f>
        <v xml:space="preserve">     2.2.b  Feasiblity Studies/  Transaction Advisory Services</v>
      </c>
      <c r="C23" s="288" t="s">
        <v>175</v>
      </c>
      <c r="D23" s="227">
        <v>200000</v>
      </c>
      <c r="E23" s="288" t="s">
        <v>197</v>
      </c>
      <c r="I23" s="291">
        <v>0.25</v>
      </c>
      <c r="J23" s="291">
        <v>0.25</v>
      </c>
      <c r="K23" s="291">
        <v>0.25</v>
      </c>
      <c r="L23" s="291">
        <v>0.25</v>
      </c>
      <c r="U23" s="291">
        <f t="shared" si="0"/>
        <v>1</v>
      </c>
      <c r="X23" s="293">
        <f t="shared" si="5"/>
        <v>0</v>
      </c>
      <c r="Y23" s="293">
        <f t="shared" si="5"/>
        <v>0</v>
      </c>
      <c r="Z23" s="293">
        <f t="shared" si="5"/>
        <v>0</v>
      </c>
      <c r="AA23" s="293">
        <f t="shared" si="5"/>
        <v>50000</v>
      </c>
      <c r="AB23" s="293">
        <f t="shared" si="5"/>
        <v>50000</v>
      </c>
      <c r="AC23" s="293">
        <f t="shared" si="5"/>
        <v>50000</v>
      </c>
      <c r="AD23" s="293">
        <f t="shared" si="5"/>
        <v>50000</v>
      </c>
      <c r="AE23" s="293">
        <f t="shared" si="5"/>
        <v>0</v>
      </c>
      <c r="AF23" s="293">
        <f t="shared" si="5"/>
        <v>0</v>
      </c>
      <c r="AG23" s="293">
        <f t="shared" si="5"/>
        <v>0</v>
      </c>
      <c r="AH23" s="293">
        <f t="shared" si="5"/>
        <v>0</v>
      </c>
      <c r="AI23" s="293">
        <f t="shared" si="5"/>
        <v>0</v>
      </c>
      <c r="AJ23" s="293">
        <f t="shared" si="5"/>
        <v>0</v>
      </c>
      <c r="AK23" s="293">
        <f t="shared" si="5"/>
        <v>0</v>
      </c>
      <c r="AL23" s="293">
        <f t="shared" si="5"/>
        <v>0</v>
      </c>
      <c r="AM23" s="232"/>
      <c r="AN23" s="293">
        <f t="shared" si="4"/>
        <v>0</v>
      </c>
      <c r="AO23" s="293">
        <f t="shared" si="4"/>
        <v>0</v>
      </c>
      <c r="AP23" s="293">
        <f t="shared" si="4"/>
        <v>0</v>
      </c>
      <c r="AQ23" s="293">
        <f t="shared" si="4"/>
        <v>200000</v>
      </c>
      <c r="AR23" s="293">
        <f t="shared" si="4"/>
        <v>0</v>
      </c>
      <c r="AS23" s="293">
        <f t="shared" si="4"/>
        <v>0</v>
      </c>
      <c r="AT23" s="293">
        <f t="shared" si="4"/>
        <v>0</v>
      </c>
      <c r="AU23" s="293">
        <f t="shared" si="4"/>
        <v>0</v>
      </c>
      <c r="AV23" s="293">
        <f t="shared" si="4"/>
        <v>0</v>
      </c>
      <c r="AW23" s="293">
        <f t="shared" si="4"/>
        <v>0</v>
      </c>
      <c r="AX23" s="293">
        <f t="shared" si="4"/>
        <v>0</v>
      </c>
      <c r="AY23" s="293">
        <f t="shared" si="4"/>
        <v>0</v>
      </c>
      <c r="AZ23" s="293">
        <f t="shared" si="4"/>
        <v>0</v>
      </c>
      <c r="BA23" s="293">
        <f t="shared" si="4"/>
        <v>0</v>
      </c>
      <c r="BB23" s="293">
        <f t="shared" si="4"/>
        <v>0</v>
      </c>
      <c r="BD23" s="292">
        <f t="shared" si="3"/>
        <v>0</v>
      </c>
    </row>
    <row r="24" spans="1:56" x14ac:dyDescent="0.25">
      <c r="A24" s="288" t="s">
        <v>135</v>
      </c>
      <c r="B24" s="301" t="str">
        <f>VLOOKUP(A24,'DFP-Com'!$A$16:$B$50,2,1)</f>
        <v xml:space="preserve">     2.2.b  Feasiblity Studies/  Transaction Advisory Services</v>
      </c>
      <c r="C24" s="288" t="s">
        <v>176</v>
      </c>
      <c r="D24" s="227">
        <v>350000</v>
      </c>
      <c r="E24" s="288" t="s">
        <v>197</v>
      </c>
      <c r="H24" s="308"/>
      <c r="I24" s="291">
        <v>0.25</v>
      </c>
      <c r="J24" s="291">
        <v>0.25</v>
      </c>
      <c r="K24" s="291">
        <v>0.25</v>
      </c>
      <c r="L24" s="291">
        <v>0.25</v>
      </c>
      <c r="U24" s="291">
        <f t="shared" si="0"/>
        <v>1</v>
      </c>
      <c r="X24" s="293">
        <f t="shared" si="5"/>
        <v>0</v>
      </c>
      <c r="Y24" s="293">
        <f t="shared" si="5"/>
        <v>0</v>
      </c>
      <c r="Z24" s="293">
        <f t="shared" si="5"/>
        <v>0</v>
      </c>
      <c r="AA24" s="293">
        <f t="shared" si="5"/>
        <v>87500</v>
      </c>
      <c r="AB24" s="293">
        <f t="shared" si="5"/>
        <v>87500</v>
      </c>
      <c r="AC24" s="293">
        <f t="shared" si="5"/>
        <v>87500</v>
      </c>
      <c r="AD24" s="293">
        <f t="shared" si="5"/>
        <v>87500</v>
      </c>
      <c r="AE24" s="293">
        <f t="shared" si="5"/>
        <v>0</v>
      </c>
      <c r="AF24" s="293">
        <f t="shared" si="5"/>
        <v>0</v>
      </c>
      <c r="AG24" s="293">
        <f t="shared" si="5"/>
        <v>0</v>
      </c>
      <c r="AH24" s="293">
        <f t="shared" si="5"/>
        <v>0</v>
      </c>
      <c r="AI24" s="293">
        <f t="shared" si="5"/>
        <v>0</v>
      </c>
      <c r="AJ24" s="293">
        <f t="shared" si="5"/>
        <v>0</v>
      </c>
      <c r="AK24" s="293">
        <f t="shared" si="5"/>
        <v>0</v>
      </c>
      <c r="AL24" s="293">
        <f t="shared" si="5"/>
        <v>0</v>
      </c>
      <c r="AM24" s="232"/>
      <c r="AN24" s="293">
        <f t="shared" si="4"/>
        <v>0</v>
      </c>
      <c r="AO24" s="293">
        <f t="shared" si="4"/>
        <v>0</v>
      </c>
      <c r="AP24" s="293">
        <f t="shared" si="4"/>
        <v>0</v>
      </c>
      <c r="AQ24" s="293">
        <f t="shared" si="4"/>
        <v>350000</v>
      </c>
      <c r="AR24" s="293">
        <f t="shared" si="4"/>
        <v>0</v>
      </c>
      <c r="AS24" s="293">
        <f t="shared" si="4"/>
        <v>0</v>
      </c>
      <c r="AT24" s="293">
        <f t="shared" si="4"/>
        <v>0</v>
      </c>
      <c r="AU24" s="293">
        <f t="shared" si="4"/>
        <v>0</v>
      </c>
      <c r="AV24" s="293">
        <f t="shared" si="4"/>
        <v>0</v>
      </c>
      <c r="AW24" s="293">
        <f t="shared" si="4"/>
        <v>0</v>
      </c>
      <c r="AX24" s="293">
        <f t="shared" si="4"/>
        <v>0</v>
      </c>
      <c r="AY24" s="293">
        <f t="shared" si="4"/>
        <v>0</v>
      </c>
      <c r="AZ24" s="293">
        <f t="shared" si="4"/>
        <v>0</v>
      </c>
      <c r="BA24" s="293">
        <f t="shared" si="4"/>
        <v>0</v>
      </c>
      <c r="BB24" s="293">
        <f t="shared" si="4"/>
        <v>0</v>
      </c>
      <c r="BD24" s="292">
        <f t="shared" si="3"/>
        <v>0</v>
      </c>
    </row>
    <row r="25" spans="1:56" x14ac:dyDescent="0.25">
      <c r="A25" s="288" t="s">
        <v>135</v>
      </c>
      <c r="B25" s="301" t="str">
        <f>VLOOKUP(A25,'DFP-Com'!$A$16:$B$50,2,1)</f>
        <v xml:space="preserve">     2.2.b  Feasiblity Studies/  Transaction Advisory Services</v>
      </c>
      <c r="C25" s="288" t="s">
        <v>177</v>
      </c>
      <c r="D25" s="227">
        <v>50000</v>
      </c>
      <c r="E25" s="288" t="s">
        <v>194</v>
      </c>
      <c r="J25" s="291">
        <v>0.25</v>
      </c>
      <c r="K25" s="291">
        <v>0.25</v>
      </c>
      <c r="L25" s="291">
        <v>0.25</v>
      </c>
      <c r="M25" s="291">
        <v>0.25</v>
      </c>
      <c r="U25" s="291">
        <f t="shared" si="0"/>
        <v>1</v>
      </c>
      <c r="X25" s="293">
        <f t="shared" si="5"/>
        <v>0</v>
      </c>
      <c r="Y25" s="293">
        <f t="shared" si="5"/>
        <v>0</v>
      </c>
      <c r="Z25" s="293">
        <f t="shared" si="5"/>
        <v>0</v>
      </c>
      <c r="AA25" s="293">
        <f t="shared" si="5"/>
        <v>0</v>
      </c>
      <c r="AB25" s="293">
        <f t="shared" si="5"/>
        <v>12500</v>
      </c>
      <c r="AC25" s="293">
        <f t="shared" si="5"/>
        <v>12500</v>
      </c>
      <c r="AD25" s="293">
        <f t="shared" si="5"/>
        <v>12500</v>
      </c>
      <c r="AE25" s="293">
        <f t="shared" si="5"/>
        <v>12500</v>
      </c>
      <c r="AF25" s="293">
        <f t="shared" si="5"/>
        <v>0</v>
      </c>
      <c r="AG25" s="293">
        <f t="shared" si="5"/>
        <v>0</v>
      </c>
      <c r="AH25" s="293">
        <f t="shared" si="5"/>
        <v>0</v>
      </c>
      <c r="AI25" s="293">
        <f t="shared" si="5"/>
        <v>0</v>
      </c>
      <c r="AJ25" s="293">
        <f t="shared" si="5"/>
        <v>0</v>
      </c>
      <c r="AK25" s="293">
        <f t="shared" si="5"/>
        <v>0</v>
      </c>
      <c r="AL25" s="293">
        <f t="shared" si="5"/>
        <v>0</v>
      </c>
      <c r="AM25" s="232"/>
      <c r="AN25" s="293">
        <f t="shared" si="4"/>
        <v>0</v>
      </c>
      <c r="AO25" s="293">
        <f t="shared" si="4"/>
        <v>0</v>
      </c>
      <c r="AP25" s="293">
        <f t="shared" si="4"/>
        <v>0</v>
      </c>
      <c r="AQ25" s="293">
        <f t="shared" si="4"/>
        <v>0</v>
      </c>
      <c r="AR25" s="293">
        <f t="shared" si="4"/>
        <v>50000</v>
      </c>
      <c r="AS25" s="293">
        <f t="shared" si="4"/>
        <v>0</v>
      </c>
      <c r="AT25" s="293">
        <f t="shared" si="4"/>
        <v>0</v>
      </c>
      <c r="AU25" s="293">
        <f t="shared" si="4"/>
        <v>0</v>
      </c>
      <c r="AV25" s="293">
        <f t="shared" si="4"/>
        <v>0</v>
      </c>
      <c r="AW25" s="293">
        <f t="shared" si="4"/>
        <v>0</v>
      </c>
      <c r="AX25" s="293">
        <f t="shared" si="4"/>
        <v>0</v>
      </c>
      <c r="AY25" s="293">
        <f t="shared" si="4"/>
        <v>0</v>
      </c>
      <c r="AZ25" s="293">
        <f t="shared" si="4"/>
        <v>0</v>
      </c>
      <c r="BA25" s="293">
        <f t="shared" si="4"/>
        <v>0</v>
      </c>
      <c r="BB25" s="293">
        <f t="shared" si="4"/>
        <v>0</v>
      </c>
      <c r="BD25" s="292">
        <f t="shared" si="3"/>
        <v>0</v>
      </c>
    </row>
    <row r="26" spans="1:56" x14ac:dyDescent="0.25">
      <c r="A26" s="288" t="s">
        <v>137</v>
      </c>
      <c r="B26" s="247" t="str">
        <f>VLOOKUP(A26,'DFP-Com'!$A$16:$B$50,2,1)</f>
        <v xml:space="preserve">     3.1.a  Student Assessment</v>
      </c>
      <c r="C26" s="238" t="s">
        <v>209</v>
      </c>
      <c r="D26" s="294">
        <v>100000</v>
      </c>
      <c r="E26" s="288" t="s">
        <v>197</v>
      </c>
      <c r="H26" s="308"/>
      <c r="I26" s="291">
        <v>0.25</v>
      </c>
      <c r="J26" s="291">
        <v>0.25</v>
      </c>
      <c r="K26" s="291">
        <v>0.25</v>
      </c>
      <c r="L26" s="291">
        <v>0.25</v>
      </c>
      <c r="U26" s="291">
        <f t="shared" si="0"/>
        <v>1</v>
      </c>
      <c r="X26" s="293">
        <f t="shared" si="5"/>
        <v>0</v>
      </c>
      <c r="Y26" s="293">
        <f t="shared" si="5"/>
        <v>0</v>
      </c>
      <c r="Z26" s="293">
        <f t="shared" si="5"/>
        <v>0</v>
      </c>
      <c r="AA26" s="293">
        <f t="shared" si="5"/>
        <v>25000</v>
      </c>
      <c r="AB26" s="293">
        <f t="shared" si="5"/>
        <v>25000</v>
      </c>
      <c r="AC26" s="293">
        <f t="shared" si="5"/>
        <v>25000</v>
      </c>
      <c r="AD26" s="293">
        <f t="shared" si="5"/>
        <v>25000</v>
      </c>
      <c r="AE26" s="293">
        <f t="shared" si="5"/>
        <v>0</v>
      </c>
      <c r="AF26" s="293">
        <f t="shared" si="5"/>
        <v>0</v>
      </c>
      <c r="AG26" s="293">
        <f t="shared" si="5"/>
        <v>0</v>
      </c>
      <c r="AH26" s="293">
        <f t="shared" si="5"/>
        <v>0</v>
      </c>
      <c r="AI26" s="293">
        <f t="shared" si="5"/>
        <v>0</v>
      </c>
      <c r="AJ26" s="293">
        <f t="shared" si="5"/>
        <v>0</v>
      </c>
      <c r="AK26" s="293">
        <f t="shared" si="5"/>
        <v>0</v>
      </c>
      <c r="AL26" s="293">
        <f t="shared" si="5"/>
        <v>0</v>
      </c>
      <c r="AM26" s="232"/>
      <c r="AN26" s="293">
        <f t="shared" si="4"/>
        <v>0</v>
      </c>
      <c r="AO26" s="293">
        <f t="shared" si="4"/>
        <v>0</v>
      </c>
      <c r="AP26" s="293">
        <f t="shared" si="4"/>
        <v>0</v>
      </c>
      <c r="AQ26" s="293">
        <f t="shared" si="4"/>
        <v>100000</v>
      </c>
      <c r="AR26" s="293">
        <f t="shared" si="4"/>
        <v>0</v>
      </c>
      <c r="AS26" s="293">
        <f t="shared" si="4"/>
        <v>0</v>
      </c>
      <c r="AT26" s="293">
        <f t="shared" si="4"/>
        <v>0</v>
      </c>
      <c r="AU26" s="293">
        <f t="shared" si="4"/>
        <v>0</v>
      </c>
      <c r="AV26" s="293">
        <f t="shared" si="4"/>
        <v>0</v>
      </c>
      <c r="AW26" s="293">
        <f t="shared" si="4"/>
        <v>0</v>
      </c>
      <c r="AX26" s="293">
        <f t="shared" si="4"/>
        <v>0</v>
      </c>
      <c r="AY26" s="293">
        <f t="shared" si="4"/>
        <v>0</v>
      </c>
      <c r="AZ26" s="293">
        <f t="shared" si="4"/>
        <v>0</v>
      </c>
      <c r="BA26" s="293">
        <f t="shared" si="4"/>
        <v>0</v>
      </c>
      <c r="BB26" s="293">
        <f t="shared" si="4"/>
        <v>0</v>
      </c>
      <c r="BD26" s="292">
        <f t="shared" si="3"/>
        <v>0</v>
      </c>
    </row>
    <row r="27" spans="1:56" x14ac:dyDescent="0.25">
      <c r="A27" s="288" t="s">
        <v>137</v>
      </c>
      <c r="B27" s="247" t="str">
        <f>VLOOKUP(A27,'DFP-Com'!$A$16:$B$50,2,1)</f>
        <v xml:space="preserve">     3.1.a  Student Assessment</v>
      </c>
      <c r="C27" s="238" t="s">
        <v>209</v>
      </c>
      <c r="D27" s="294">
        <v>500000</v>
      </c>
      <c r="E27" s="288" t="s">
        <v>230</v>
      </c>
      <c r="Q27" s="291">
        <v>0.25</v>
      </c>
      <c r="R27" s="291">
        <v>0.25</v>
      </c>
      <c r="S27" s="291">
        <v>0.25</v>
      </c>
      <c r="T27" s="291">
        <v>0.25</v>
      </c>
      <c r="U27" s="291">
        <f t="shared" si="0"/>
        <v>1</v>
      </c>
      <c r="X27" s="293">
        <f t="shared" si="5"/>
        <v>0</v>
      </c>
      <c r="Y27" s="293">
        <f t="shared" si="5"/>
        <v>0</v>
      </c>
      <c r="Z27" s="293">
        <f t="shared" si="5"/>
        <v>0</v>
      </c>
      <c r="AA27" s="293">
        <f t="shared" si="5"/>
        <v>0</v>
      </c>
      <c r="AB27" s="293">
        <f t="shared" si="5"/>
        <v>0</v>
      </c>
      <c r="AC27" s="293">
        <f t="shared" si="5"/>
        <v>0</v>
      </c>
      <c r="AD27" s="293">
        <f t="shared" si="5"/>
        <v>0</v>
      </c>
      <c r="AE27" s="293">
        <f t="shared" si="5"/>
        <v>0</v>
      </c>
      <c r="AF27" s="293">
        <f t="shared" si="5"/>
        <v>0</v>
      </c>
      <c r="AG27" s="293">
        <f t="shared" si="5"/>
        <v>0</v>
      </c>
      <c r="AH27" s="293">
        <f t="shared" si="5"/>
        <v>0</v>
      </c>
      <c r="AI27" s="293">
        <f t="shared" si="5"/>
        <v>125000</v>
      </c>
      <c r="AJ27" s="293">
        <f t="shared" si="5"/>
        <v>125000</v>
      </c>
      <c r="AK27" s="293">
        <f t="shared" si="5"/>
        <v>125000</v>
      </c>
      <c r="AL27" s="293">
        <f t="shared" si="5"/>
        <v>125000</v>
      </c>
      <c r="AM27" s="232"/>
      <c r="AN27" s="293">
        <f t="shared" si="4"/>
        <v>0</v>
      </c>
      <c r="AO27" s="293">
        <f t="shared" si="4"/>
        <v>0</v>
      </c>
      <c r="AP27" s="293">
        <f t="shared" si="4"/>
        <v>0</v>
      </c>
      <c r="AQ27" s="293">
        <f t="shared" si="4"/>
        <v>0</v>
      </c>
      <c r="AR27" s="293">
        <f t="shared" si="4"/>
        <v>0</v>
      </c>
      <c r="AS27" s="293">
        <f t="shared" si="4"/>
        <v>0</v>
      </c>
      <c r="AT27" s="293">
        <f t="shared" si="4"/>
        <v>0</v>
      </c>
      <c r="AU27" s="293">
        <f t="shared" si="4"/>
        <v>0</v>
      </c>
      <c r="AV27" s="293">
        <f t="shared" si="4"/>
        <v>0</v>
      </c>
      <c r="AW27" s="293">
        <f t="shared" si="4"/>
        <v>0</v>
      </c>
      <c r="AX27" s="293">
        <f t="shared" si="4"/>
        <v>0</v>
      </c>
      <c r="AY27" s="293">
        <f t="shared" si="4"/>
        <v>500000</v>
      </c>
      <c r="AZ27" s="293">
        <f t="shared" si="4"/>
        <v>0</v>
      </c>
      <c r="BA27" s="293">
        <f t="shared" si="4"/>
        <v>0</v>
      </c>
      <c r="BB27" s="293">
        <f t="shared" si="4"/>
        <v>0</v>
      </c>
      <c r="BD27" s="292">
        <f t="shared" si="3"/>
        <v>0</v>
      </c>
    </row>
    <row r="28" spans="1:56" x14ac:dyDescent="0.25">
      <c r="A28" s="288" t="s">
        <v>137</v>
      </c>
      <c r="B28" s="247" t="str">
        <f>VLOOKUP(A28,'DFP-Com'!$A$16:$B$50,2,1)</f>
        <v xml:space="preserve">     3.1.a  Student Assessment</v>
      </c>
      <c r="C28" s="288" t="s">
        <v>220</v>
      </c>
      <c r="D28" s="227">
        <v>7200</v>
      </c>
      <c r="E28" s="288" t="s">
        <v>197</v>
      </c>
      <c r="H28" s="308"/>
      <c r="I28" s="291">
        <v>0.3</v>
      </c>
      <c r="J28" s="291">
        <v>0.7</v>
      </c>
      <c r="K28" s="291"/>
      <c r="Q28" s="291"/>
      <c r="R28" s="291"/>
      <c r="S28" s="291"/>
      <c r="T28" s="291"/>
      <c r="U28" s="291">
        <f t="shared" si="0"/>
        <v>1</v>
      </c>
      <c r="X28" s="293">
        <f t="shared" si="5"/>
        <v>0</v>
      </c>
      <c r="Y28" s="293">
        <f t="shared" si="5"/>
        <v>0</v>
      </c>
      <c r="Z28" s="293">
        <f t="shared" si="5"/>
        <v>0</v>
      </c>
      <c r="AA28" s="293">
        <f t="shared" si="5"/>
        <v>2160</v>
      </c>
      <c r="AB28" s="293">
        <f t="shared" si="5"/>
        <v>5040</v>
      </c>
      <c r="AC28" s="293">
        <f t="shared" si="5"/>
        <v>0</v>
      </c>
      <c r="AD28" s="293">
        <f t="shared" si="5"/>
        <v>0</v>
      </c>
      <c r="AE28" s="293">
        <f t="shared" si="5"/>
        <v>0</v>
      </c>
      <c r="AF28" s="293">
        <f t="shared" si="5"/>
        <v>0</v>
      </c>
      <c r="AG28" s="293">
        <f t="shared" si="5"/>
        <v>0</v>
      </c>
      <c r="AH28" s="293">
        <f t="shared" si="5"/>
        <v>0</v>
      </c>
      <c r="AI28" s="293">
        <f t="shared" si="5"/>
        <v>0</v>
      </c>
      <c r="AJ28" s="293">
        <f t="shared" si="5"/>
        <v>0</v>
      </c>
      <c r="AK28" s="293">
        <f t="shared" si="5"/>
        <v>0</v>
      </c>
      <c r="AL28" s="293">
        <f t="shared" si="5"/>
        <v>0</v>
      </c>
      <c r="AM28" s="232"/>
      <c r="AN28" s="293">
        <f t="shared" si="4"/>
        <v>0</v>
      </c>
      <c r="AO28" s="293">
        <f t="shared" si="4"/>
        <v>0</v>
      </c>
      <c r="AP28" s="293">
        <f t="shared" si="4"/>
        <v>0</v>
      </c>
      <c r="AQ28" s="293">
        <f t="shared" si="4"/>
        <v>7200</v>
      </c>
      <c r="AR28" s="293">
        <f t="shared" si="4"/>
        <v>0</v>
      </c>
      <c r="AS28" s="293">
        <f t="shared" si="4"/>
        <v>0</v>
      </c>
      <c r="AT28" s="293">
        <f t="shared" si="4"/>
        <v>0</v>
      </c>
      <c r="AU28" s="293">
        <f t="shared" si="4"/>
        <v>0</v>
      </c>
      <c r="AV28" s="293">
        <f t="shared" si="4"/>
        <v>0</v>
      </c>
      <c r="AW28" s="293">
        <f t="shared" si="4"/>
        <v>0</v>
      </c>
      <c r="AX28" s="293">
        <f t="shared" si="4"/>
        <v>0</v>
      </c>
      <c r="AY28" s="293">
        <f t="shared" si="4"/>
        <v>0</v>
      </c>
      <c r="AZ28" s="293">
        <f t="shared" si="4"/>
        <v>0</v>
      </c>
      <c r="BA28" s="293">
        <f t="shared" si="4"/>
        <v>0</v>
      </c>
      <c r="BB28" s="293">
        <f t="shared" si="4"/>
        <v>0</v>
      </c>
      <c r="BD28" s="292"/>
    </row>
    <row r="29" spans="1:56" x14ac:dyDescent="0.25">
      <c r="A29" s="288" t="s">
        <v>137</v>
      </c>
      <c r="B29" s="247" t="str">
        <f>VLOOKUP(A29,'DFP-Com'!$A$16:$B$50,2,1)</f>
        <v xml:space="preserve">     3.1.a  Student Assessment</v>
      </c>
      <c r="C29" s="288" t="s">
        <v>221</v>
      </c>
      <c r="D29" s="227">
        <v>19200</v>
      </c>
      <c r="E29" s="288" t="s">
        <v>197</v>
      </c>
      <c r="H29" s="308"/>
      <c r="I29" s="291">
        <v>0.3</v>
      </c>
      <c r="J29" s="291">
        <v>0.7</v>
      </c>
      <c r="K29" s="291"/>
      <c r="Q29" s="291"/>
      <c r="R29" s="291"/>
      <c r="S29" s="291"/>
      <c r="T29" s="291"/>
      <c r="U29" s="291">
        <f t="shared" si="0"/>
        <v>1</v>
      </c>
      <c r="X29" s="293">
        <f t="shared" si="5"/>
        <v>0</v>
      </c>
      <c r="Y29" s="293">
        <f t="shared" si="5"/>
        <v>0</v>
      </c>
      <c r="Z29" s="293">
        <f t="shared" si="5"/>
        <v>0</v>
      </c>
      <c r="AA29" s="293">
        <f t="shared" si="5"/>
        <v>5760</v>
      </c>
      <c r="AB29" s="293">
        <f t="shared" si="5"/>
        <v>13440</v>
      </c>
      <c r="AC29" s="293">
        <f t="shared" si="5"/>
        <v>0</v>
      </c>
      <c r="AD29" s="293">
        <f t="shared" si="5"/>
        <v>0</v>
      </c>
      <c r="AE29" s="293">
        <f t="shared" si="5"/>
        <v>0</v>
      </c>
      <c r="AF29" s="293">
        <f t="shared" si="5"/>
        <v>0</v>
      </c>
      <c r="AG29" s="293">
        <f t="shared" si="5"/>
        <v>0</v>
      </c>
      <c r="AH29" s="293">
        <f t="shared" si="5"/>
        <v>0</v>
      </c>
      <c r="AI29" s="293">
        <f t="shared" si="5"/>
        <v>0</v>
      </c>
      <c r="AJ29" s="293">
        <f t="shared" si="5"/>
        <v>0</v>
      </c>
      <c r="AK29" s="293">
        <f t="shared" si="5"/>
        <v>0</v>
      </c>
      <c r="AL29" s="293">
        <f t="shared" si="5"/>
        <v>0</v>
      </c>
      <c r="AM29" s="232"/>
      <c r="AN29" s="293">
        <f t="shared" si="4"/>
        <v>0</v>
      </c>
      <c r="AO29" s="293">
        <f t="shared" si="4"/>
        <v>0</v>
      </c>
      <c r="AP29" s="293">
        <f t="shared" si="4"/>
        <v>0</v>
      </c>
      <c r="AQ29" s="293">
        <f t="shared" si="4"/>
        <v>19200</v>
      </c>
      <c r="AR29" s="293">
        <f t="shared" si="4"/>
        <v>0</v>
      </c>
      <c r="AS29" s="293">
        <f t="shared" si="4"/>
        <v>0</v>
      </c>
      <c r="AT29" s="293">
        <f t="shared" si="4"/>
        <v>0</v>
      </c>
      <c r="AU29" s="293">
        <f t="shared" si="4"/>
        <v>0</v>
      </c>
      <c r="AV29" s="293">
        <f t="shared" si="4"/>
        <v>0</v>
      </c>
      <c r="AW29" s="293">
        <f t="shared" si="4"/>
        <v>0</v>
      </c>
      <c r="AX29" s="293">
        <f t="shared" si="4"/>
        <v>0</v>
      </c>
      <c r="AY29" s="293">
        <f t="shared" si="4"/>
        <v>0</v>
      </c>
      <c r="AZ29" s="293">
        <f t="shared" si="4"/>
        <v>0</v>
      </c>
      <c r="BA29" s="293">
        <f t="shared" si="4"/>
        <v>0</v>
      </c>
      <c r="BB29" s="293">
        <f t="shared" si="4"/>
        <v>0</v>
      </c>
      <c r="BD29" s="292"/>
    </row>
    <row r="30" spans="1:56" x14ac:dyDescent="0.25">
      <c r="A30" s="288" t="s">
        <v>137</v>
      </c>
      <c r="B30" s="247" t="str">
        <f>VLOOKUP(A30,'DFP-Com'!$A$16:$B$50,2,1)</f>
        <v xml:space="preserve">     3.1.a  Student Assessment</v>
      </c>
      <c r="C30" s="288" t="s">
        <v>222</v>
      </c>
      <c r="D30" s="227">
        <v>8000</v>
      </c>
      <c r="E30" s="288" t="s">
        <v>165</v>
      </c>
      <c r="H30" s="308">
        <v>0.5</v>
      </c>
      <c r="I30" s="291">
        <v>0.5</v>
      </c>
      <c r="Q30" s="291"/>
      <c r="R30" s="291"/>
      <c r="S30" s="291"/>
      <c r="T30" s="291"/>
      <c r="U30" s="291">
        <f t="shared" si="0"/>
        <v>1</v>
      </c>
      <c r="X30" s="293">
        <f t="shared" si="5"/>
        <v>0</v>
      </c>
      <c r="Y30" s="293">
        <f t="shared" si="5"/>
        <v>0</v>
      </c>
      <c r="Z30" s="293">
        <f t="shared" si="5"/>
        <v>4000</v>
      </c>
      <c r="AA30" s="293">
        <f t="shared" si="5"/>
        <v>4000</v>
      </c>
      <c r="AB30" s="293">
        <f t="shared" si="5"/>
        <v>0</v>
      </c>
      <c r="AC30" s="293">
        <f t="shared" si="5"/>
        <v>0</v>
      </c>
      <c r="AD30" s="293">
        <f t="shared" si="5"/>
        <v>0</v>
      </c>
      <c r="AE30" s="293">
        <f t="shared" si="5"/>
        <v>0</v>
      </c>
      <c r="AF30" s="293">
        <f t="shared" si="5"/>
        <v>0</v>
      </c>
      <c r="AG30" s="293">
        <f t="shared" si="5"/>
        <v>0</v>
      </c>
      <c r="AH30" s="293">
        <f t="shared" si="5"/>
        <v>0</v>
      </c>
      <c r="AI30" s="293">
        <f t="shared" si="5"/>
        <v>0</v>
      </c>
      <c r="AJ30" s="293">
        <f t="shared" si="5"/>
        <v>0</v>
      </c>
      <c r="AK30" s="293">
        <f t="shared" si="5"/>
        <v>0</v>
      </c>
      <c r="AL30" s="293">
        <f t="shared" si="5"/>
        <v>0</v>
      </c>
      <c r="AM30" s="232"/>
      <c r="AN30" s="293">
        <f t="shared" si="4"/>
        <v>0</v>
      </c>
      <c r="AO30" s="293">
        <f t="shared" si="4"/>
        <v>0</v>
      </c>
      <c r="AP30" s="293">
        <f t="shared" si="4"/>
        <v>8000</v>
      </c>
      <c r="AQ30" s="293">
        <f t="shared" si="4"/>
        <v>0</v>
      </c>
      <c r="AR30" s="293">
        <f t="shared" si="4"/>
        <v>0</v>
      </c>
      <c r="AS30" s="293">
        <f t="shared" si="4"/>
        <v>0</v>
      </c>
      <c r="AT30" s="293">
        <f t="shared" si="4"/>
        <v>0</v>
      </c>
      <c r="AU30" s="293">
        <f t="shared" si="4"/>
        <v>0</v>
      </c>
      <c r="AV30" s="293">
        <f t="shared" si="4"/>
        <v>0</v>
      </c>
      <c r="AW30" s="293">
        <f t="shared" si="4"/>
        <v>0</v>
      </c>
      <c r="AX30" s="293">
        <f t="shared" si="4"/>
        <v>0</v>
      </c>
      <c r="AY30" s="293">
        <f t="shared" si="4"/>
        <v>0</v>
      </c>
      <c r="AZ30" s="293">
        <f t="shared" si="4"/>
        <v>0</v>
      </c>
      <c r="BA30" s="293">
        <f t="shared" si="4"/>
        <v>0</v>
      </c>
      <c r="BB30" s="293">
        <f t="shared" si="4"/>
        <v>0</v>
      </c>
      <c r="BD30" s="292"/>
    </row>
    <row r="31" spans="1:56" x14ac:dyDescent="0.25">
      <c r="A31" s="288" t="s">
        <v>137</v>
      </c>
      <c r="B31" s="247" t="str">
        <f>VLOOKUP(A31,'DFP-Com'!$A$16:$B$50,2,1)</f>
        <v xml:space="preserve">     3.1.a  Student Assessment</v>
      </c>
      <c r="C31" s="288" t="s">
        <v>223</v>
      </c>
      <c r="D31" s="227">
        <v>72000</v>
      </c>
      <c r="E31" s="288" t="s">
        <v>165</v>
      </c>
      <c r="H31" s="308">
        <v>8.3333333333333301E-2</v>
      </c>
      <c r="I31" s="291">
        <v>8.3333333333333301E-2</v>
      </c>
      <c r="J31" s="291">
        <v>8.3333333333333301E-2</v>
      </c>
      <c r="K31" s="291">
        <v>8.3333333333333301E-2</v>
      </c>
      <c r="L31" s="291">
        <v>8.3333333333333301E-2</v>
      </c>
      <c r="M31" s="291">
        <v>8.3333333333333301E-2</v>
      </c>
      <c r="N31" s="291">
        <v>8.3333333333333301E-2</v>
      </c>
      <c r="O31" s="291">
        <v>8.3333333333333301E-2</v>
      </c>
      <c r="P31" s="291">
        <v>8.3333333333333301E-2</v>
      </c>
      <c r="Q31" s="291">
        <v>8.3333333333333301E-2</v>
      </c>
      <c r="R31" s="291">
        <v>8.3333333333333301E-2</v>
      </c>
      <c r="S31" s="291">
        <v>8.3333333333333301E-2</v>
      </c>
      <c r="T31" s="291"/>
      <c r="U31" s="291">
        <f t="shared" si="0"/>
        <v>0.99999999999999944</v>
      </c>
      <c r="X31" s="293">
        <f t="shared" si="5"/>
        <v>0</v>
      </c>
      <c r="Y31" s="293">
        <f t="shared" si="5"/>
        <v>0</v>
      </c>
      <c r="Z31" s="293">
        <f t="shared" si="5"/>
        <v>5999.9999999999973</v>
      </c>
      <c r="AA31" s="293">
        <f t="shared" si="5"/>
        <v>5999.9999999999973</v>
      </c>
      <c r="AB31" s="293">
        <f t="shared" si="5"/>
        <v>5999.9999999999973</v>
      </c>
      <c r="AC31" s="293">
        <f t="shared" si="5"/>
        <v>5999.9999999999973</v>
      </c>
      <c r="AD31" s="293">
        <f t="shared" si="5"/>
        <v>5999.9999999999973</v>
      </c>
      <c r="AE31" s="293">
        <f t="shared" si="5"/>
        <v>5999.9999999999973</v>
      </c>
      <c r="AF31" s="293">
        <f t="shared" si="5"/>
        <v>5999.9999999999973</v>
      </c>
      <c r="AG31" s="293">
        <f t="shared" si="5"/>
        <v>5999.9999999999973</v>
      </c>
      <c r="AH31" s="293">
        <f t="shared" si="5"/>
        <v>5999.9999999999973</v>
      </c>
      <c r="AI31" s="293">
        <f t="shared" si="5"/>
        <v>5999.9999999999973</v>
      </c>
      <c r="AJ31" s="293">
        <f t="shared" si="5"/>
        <v>5999.9999999999973</v>
      </c>
      <c r="AK31" s="293">
        <f t="shared" si="5"/>
        <v>5999.9999999999973</v>
      </c>
      <c r="AL31" s="293">
        <f t="shared" si="5"/>
        <v>0</v>
      </c>
      <c r="AM31" s="232"/>
      <c r="AN31" s="293">
        <f t="shared" si="4"/>
        <v>0</v>
      </c>
      <c r="AO31" s="293">
        <f t="shared" si="4"/>
        <v>0</v>
      </c>
      <c r="AP31" s="293">
        <f t="shared" si="4"/>
        <v>72000</v>
      </c>
      <c r="AQ31" s="293">
        <f t="shared" si="4"/>
        <v>0</v>
      </c>
      <c r="AR31" s="293">
        <f t="shared" si="4"/>
        <v>0</v>
      </c>
      <c r="AS31" s="293">
        <f t="shared" si="4"/>
        <v>0</v>
      </c>
      <c r="AT31" s="293">
        <f t="shared" si="4"/>
        <v>0</v>
      </c>
      <c r="AU31" s="293">
        <f t="shared" si="4"/>
        <v>0</v>
      </c>
      <c r="AV31" s="293">
        <f t="shared" si="4"/>
        <v>0</v>
      </c>
      <c r="AW31" s="293">
        <f t="shared" si="4"/>
        <v>0</v>
      </c>
      <c r="AX31" s="293">
        <f t="shared" si="4"/>
        <v>0</v>
      </c>
      <c r="AY31" s="293">
        <f t="shared" si="4"/>
        <v>0</v>
      </c>
      <c r="AZ31" s="293">
        <f t="shared" si="4"/>
        <v>0</v>
      </c>
      <c r="BA31" s="293">
        <f t="shared" si="4"/>
        <v>0</v>
      </c>
      <c r="BB31" s="293">
        <f t="shared" si="4"/>
        <v>0</v>
      </c>
      <c r="BD31" s="292"/>
    </row>
    <row r="32" spans="1:56" x14ac:dyDescent="0.25">
      <c r="A32" s="288" t="s">
        <v>138</v>
      </c>
      <c r="B32" s="247" t="str">
        <f>VLOOKUP(A32,'DFP-Com'!$A$16:$B$50,2,1)</f>
        <v xml:space="preserve">     3.1.b  Teacher Evaluations</v>
      </c>
      <c r="C32" s="238" t="s">
        <v>209</v>
      </c>
      <c r="D32" s="227">
        <v>100000</v>
      </c>
      <c r="E32" s="288" t="s">
        <v>197</v>
      </c>
      <c r="I32" s="291">
        <v>0.25</v>
      </c>
      <c r="J32" s="291">
        <v>0.25</v>
      </c>
      <c r="K32" s="291">
        <v>0.25</v>
      </c>
      <c r="L32" s="291">
        <v>0.25</v>
      </c>
      <c r="U32" s="291">
        <f t="shared" si="0"/>
        <v>1</v>
      </c>
      <c r="X32" s="293">
        <f t="shared" si="5"/>
        <v>0</v>
      </c>
      <c r="Y32" s="293">
        <f t="shared" si="5"/>
        <v>0</v>
      </c>
      <c r="Z32" s="293">
        <f t="shared" si="5"/>
        <v>0</v>
      </c>
      <c r="AA32" s="293">
        <f t="shared" si="5"/>
        <v>25000</v>
      </c>
      <c r="AB32" s="293">
        <f t="shared" si="5"/>
        <v>25000</v>
      </c>
      <c r="AC32" s="293">
        <f t="shared" si="5"/>
        <v>25000</v>
      </c>
      <c r="AD32" s="293">
        <f t="shared" si="5"/>
        <v>25000</v>
      </c>
      <c r="AE32" s="293">
        <f t="shared" si="5"/>
        <v>0</v>
      </c>
      <c r="AF32" s="293">
        <f t="shared" si="5"/>
        <v>0</v>
      </c>
      <c r="AG32" s="293">
        <f t="shared" si="5"/>
        <v>0</v>
      </c>
      <c r="AH32" s="293">
        <f t="shared" si="5"/>
        <v>0</v>
      </c>
      <c r="AI32" s="293">
        <f t="shared" si="5"/>
        <v>0</v>
      </c>
      <c r="AJ32" s="293">
        <f t="shared" si="5"/>
        <v>0</v>
      </c>
      <c r="AK32" s="293">
        <f t="shared" si="5"/>
        <v>0</v>
      </c>
      <c r="AL32" s="293">
        <f t="shared" si="5"/>
        <v>0</v>
      </c>
      <c r="AM32" s="232"/>
      <c r="AN32" s="293">
        <f t="shared" si="4"/>
        <v>0</v>
      </c>
      <c r="AO32" s="293">
        <f t="shared" si="4"/>
        <v>0</v>
      </c>
      <c r="AP32" s="293">
        <f t="shared" si="4"/>
        <v>0</v>
      </c>
      <c r="AQ32" s="293">
        <f t="shared" si="4"/>
        <v>100000</v>
      </c>
      <c r="AR32" s="293">
        <f t="shared" si="4"/>
        <v>0</v>
      </c>
      <c r="AS32" s="293">
        <f t="shared" si="4"/>
        <v>0</v>
      </c>
      <c r="AT32" s="293">
        <f t="shared" si="4"/>
        <v>0</v>
      </c>
      <c r="AU32" s="293">
        <f t="shared" si="4"/>
        <v>0</v>
      </c>
      <c r="AV32" s="293">
        <f t="shared" si="4"/>
        <v>0</v>
      </c>
      <c r="AW32" s="293">
        <f t="shared" si="4"/>
        <v>0</v>
      </c>
      <c r="AX32" s="293">
        <f t="shared" si="4"/>
        <v>0</v>
      </c>
      <c r="AY32" s="293">
        <f t="shared" si="4"/>
        <v>0</v>
      </c>
      <c r="AZ32" s="293">
        <f t="shared" si="4"/>
        <v>0</v>
      </c>
      <c r="BA32" s="293">
        <f t="shared" si="4"/>
        <v>0</v>
      </c>
      <c r="BB32" s="293">
        <f t="shared" si="4"/>
        <v>0</v>
      </c>
      <c r="BD32" s="292">
        <f t="shared" ref="BD32:BD38" si="6">SUM(X32:AL32)-SUM(AN32:BB32)</f>
        <v>0</v>
      </c>
    </row>
    <row r="33" spans="1:56" x14ac:dyDescent="0.25">
      <c r="A33" s="288" t="s">
        <v>138</v>
      </c>
      <c r="B33" s="247" t="str">
        <f>VLOOKUP(A33,'DFP-Com'!$A$16:$B$50,2,1)</f>
        <v xml:space="preserve">     3.1.b  Teacher Evaluations</v>
      </c>
      <c r="C33" s="238" t="s">
        <v>209</v>
      </c>
      <c r="D33" s="227">
        <v>200000</v>
      </c>
      <c r="E33" s="288" t="s">
        <v>210</v>
      </c>
      <c r="Q33" s="291">
        <v>0.25</v>
      </c>
      <c r="R33" s="291">
        <v>0.25</v>
      </c>
      <c r="S33" s="291">
        <v>0.25</v>
      </c>
      <c r="T33" s="291">
        <v>0.25</v>
      </c>
      <c r="U33" s="291">
        <f t="shared" si="0"/>
        <v>1</v>
      </c>
      <c r="X33" s="293">
        <f t="shared" si="5"/>
        <v>0</v>
      </c>
      <c r="Y33" s="293">
        <f t="shared" si="5"/>
        <v>0</v>
      </c>
      <c r="Z33" s="293">
        <f t="shared" si="5"/>
        <v>0</v>
      </c>
      <c r="AA33" s="293">
        <f t="shared" si="5"/>
        <v>0</v>
      </c>
      <c r="AB33" s="293">
        <f t="shared" si="5"/>
        <v>0</v>
      </c>
      <c r="AC33" s="293">
        <f t="shared" si="5"/>
        <v>0</v>
      </c>
      <c r="AD33" s="293">
        <f t="shared" si="5"/>
        <v>0</v>
      </c>
      <c r="AE33" s="293">
        <f t="shared" si="5"/>
        <v>0</v>
      </c>
      <c r="AF33" s="293">
        <f t="shared" si="5"/>
        <v>0</v>
      </c>
      <c r="AG33" s="293">
        <f t="shared" si="5"/>
        <v>0</v>
      </c>
      <c r="AH33" s="293">
        <f t="shared" si="5"/>
        <v>0</v>
      </c>
      <c r="AI33" s="293">
        <f t="shared" si="5"/>
        <v>50000</v>
      </c>
      <c r="AJ33" s="293">
        <f t="shared" si="5"/>
        <v>50000</v>
      </c>
      <c r="AK33" s="293">
        <f t="shared" si="5"/>
        <v>50000</v>
      </c>
      <c r="AL33" s="293">
        <f t="shared" si="5"/>
        <v>50000</v>
      </c>
      <c r="AM33" s="232"/>
      <c r="AN33" s="293">
        <f t="shared" si="4"/>
        <v>0</v>
      </c>
      <c r="AO33" s="293">
        <f t="shared" si="4"/>
        <v>0</v>
      </c>
      <c r="AP33" s="293">
        <f t="shared" si="4"/>
        <v>0</v>
      </c>
      <c r="AQ33" s="293">
        <f t="shared" si="4"/>
        <v>0</v>
      </c>
      <c r="AR33" s="293">
        <f t="shared" si="4"/>
        <v>0</v>
      </c>
      <c r="AS33" s="293">
        <f t="shared" si="4"/>
        <v>0</v>
      </c>
      <c r="AT33" s="293">
        <f t="shared" si="4"/>
        <v>0</v>
      </c>
      <c r="AU33" s="293">
        <f t="shared" si="4"/>
        <v>0</v>
      </c>
      <c r="AV33" s="293">
        <f t="shared" si="4"/>
        <v>0</v>
      </c>
      <c r="AW33" s="293">
        <f t="shared" si="4"/>
        <v>0</v>
      </c>
      <c r="AX33" s="293">
        <f t="shared" si="4"/>
        <v>0</v>
      </c>
      <c r="AY33" s="293">
        <f t="shared" si="4"/>
        <v>0</v>
      </c>
      <c r="AZ33" s="293">
        <f t="shared" si="4"/>
        <v>0</v>
      </c>
      <c r="BA33" s="293">
        <f t="shared" si="4"/>
        <v>0</v>
      </c>
      <c r="BB33" s="293">
        <f t="shared" si="4"/>
        <v>200000</v>
      </c>
      <c r="BD33" s="292">
        <f t="shared" si="6"/>
        <v>0</v>
      </c>
    </row>
    <row r="34" spans="1:56" x14ac:dyDescent="0.25">
      <c r="A34" s="288" t="s">
        <v>139</v>
      </c>
      <c r="B34" s="247" t="str">
        <f>VLOOKUP(A34,'DFP-Com'!$A$16:$B$50,2,1)</f>
        <v xml:space="preserve">     3.1.c  Voc Ed Tracer Studies</v>
      </c>
      <c r="C34" s="238" t="s">
        <v>209</v>
      </c>
      <c r="D34" s="227">
        <v>100000</v>
      </c>
      <c r="E34" s="288" t="s">
        <v>179</v>
      </c>
      <c r="L34" s="291">
        <v>0.25</v>
      </c>
      <c r="M34" s="291">
        <v>0.25</v>
      </c>
      <c r="N34" s="291">
        <v>0.25</v>
      </c>
      <c r="O34" s="291">
        <v>0.25</v>
      </c>
      <c r="U34" s="291">
        <f t="shared" si="0"/>
        <v>1</v>
      </c>
      <c r="X34" s="293">
        <f t="shared" si="5"/>
        <v>0</v>
      </c>
      <c r="Y34" s="293">
        <f t="shared" si="5"/>
        <v>0</v>
      </c>
      <c r="Z34" s="293">
        <f t="shared" si="5"/>
        <v>0</v>
      </c>
      <c r="AA34" s="293">
        <f t="shared" si="5"/>
        <v>0</v>
      </c>
      <c r="AB34" s="293">
        <f t="shared" si="5"/>
        <v>0</v>
      </c>
      <c r="AC34" s="293">
        <f t="shared" si="5"/>
        <v>0</v>
      </c>
      <c r="AD34" s="293">
        <f t="shared" si="5"/>
        <v>25000</v>
      </c>
      <c r="AE34" s="293">
        <f t="shared" si="5"/>
        <v>25000</v>
      </c>
      <c r="AF34" s="293">
        <f t="shared" si="5"/>
        <v>25000</v>
      </c>
      <c r="AG34" s="293">
        <f t="shared" si="5"/>
        <v>25000</v>
      </c>
      <c r="AH34" s="293">
        <f t="shared" si="5"/>
        <v>0</v>
      </c>
      <c r="AI34" s="293">
        <f t="shared" si="5"/>
        <v>0</v>
      </c>
      <c r="AJ34" s="293">
        <f t="shared" si="5"/>
        <v>0</v>
      </c>
      <c r="AK34" s="293">
        <f t="shared" si="5"/>
        <v>0</v>
      </c>
      <c r="AL34" s="293">
        <f t="shared" si="5"/>
        <v>0</v>
      </c>
      <c r="AM34" s="232"/>
      <c r="AN34" s="293">
        <f t="shared" si="4"/>
        <v>0</v>
      </c>
      <c r="AO34" s="293">
        <f t="shared" si="4"/>
        <v>0</v>
      </c>
      <c r="AP34" s="293">
        <f t="shared" si="4"/>
        <v>0</v>
      </c>
      <c r="AQ34" s="293">
        <f t="shared" si="4"/>
        <v>0</v>
      </c>
      <c r="AR34" s="293">
        <f t="shared" si="4"/>
        <v>0</v>
      </c>
      <c r="AS34" s="293">
        <f t="shared" si="4"/>
        <v>0</v>
      </c>
      <c r="AT34" s="293">
        <f t="shared" si="4"/>
        <v>100000</v>
      </c>
      <c r="AU34" s="293">
        <f t="shared" si="4"/>
        <v>0</v>
      </c>
      <c r="AV34" s="293">
        <f t="shared" si="4"/>
        <v>0</v>
      </c>
      <c r="AW34" s="293">
        <f t="shared" si="4"/>
        <v>0</v>
      </c>
      <c r="AX34" s="293">
        <f t="shared" si="4"/>
        <v>0</v>
      </c>
      <c r="AY34" s="293">
        <f t="shared" si="4"/>
        <v>0</v>
      </c>
      <c r="AZ34" s="293">
        <f t="shared" si="4"/>
        <v>0</v>
      </c>
      <c r="BA34" s="293">
        <f t="shared" si="4"/>
        <v>0</v>
      </c>
      <c r="BB34" s="293">
        <f t="shared" si="4"/>
        <v>0</v>
      </c>
      <c r="BD34" s="292">
        <f t="shared" si="6"/>
        <v>0</v>
      </c>
    </row>
    <row r="35" spans="1:56" x14ac:dyDescent="0.25">
      <c r="A35" s="288" t="s">
        <v>139</v>
      </c>
      <c r="B35" s="247" t="str">
        <f>VLOOKUP(A35,'DFP-Com'!$A$16:$B$50,2,1)</f>
        <v xml:space="preserve">     3.1.c  Voc Ed Tracer Studies</v>
      </c>
      <c r="C35" s="238" t="s">
        <v>209</v>
      </c>
      <c r="D35" s="227">
        <v>200000</v>
      </c>
      <c r="E35" s="288" t="s">
        <v>210</v>
      </c>
      <c r="Q35" s="291">
        <v>0.25</v>
      </c>
      <c r="R35" s="291">
        <v>0.25</v>
      </c>
      <c r="S35" s="291">
        <v>0.25</v>
      </c>
      <c r="T35" s="291">
        <v>0.25</v>
      </c>
      <c r="U35" s="291">
        <f t="shared" si="0"/>
        <v>1</v>
      </c>
      <c r="X35" s="293">
        <f t="shared" si="5"/>
        <v>0</v>
      </c>
      <c r="Y35" s="293">
        <f t="shared" si="5"/>
        <v>0</v>
      </c>
      <c r="Z35" s="293">
        <f t="shared" si="5"/>
        <v>0</v>
      </c>
      <c r="AA35" s="293">
        <f t="shared" si="5"/>
        <v>0</v>
      </c>
      <c r="AB35" s="293">
        <f t="shared" si="5"/>
        <v>0</v>
      </c>
      <c r="AC35" s="293">
        <f t="shared" si="5"/>
        <v>0</v>
      </c>
      <c r="AD35" s="293">
        <f t="shared" si="5"/>
        <v>0</v>
      </c>
      <c r="AE35" s="293">
        <f t="shared" si="5"/>
        <v>0</v>
      </c>
      <c r="AF35" s="293">
        <f t="shared" si="5"/>
        <v>0</v>
      </c>
      <c r="AG35" s="293">
        <f t="shared" si="5"/>
        <v>0</v>
      </c>
      <c r="AH35" s="293">
        <f t="shared" si="5"/>
        <v>0</v>
      </c>
      <c r="AI35" s="293">
        <f t="shared" si="5"/>
        <v>50000</v>
      </c>
      <c r="AJ35" s="293">
        <f t="shared" si="5"/>
        <v>50000</v>
      </c>
      <c r="AK35" s="293">
        <f t="shared" si="5"/>
        <v>50000</v>
      </c>
      <c r="AL35" s="293">
        <f t="shared" si="5"/>
        <v>50000</v>
      </c>
      <c r="AM35" s="232"/>
      <c r="AN35" s="293">
        <f t="shared" si="4"/>
        <v>0</v>
      </c>
      <c r="AO35" s="293">
        <f t="shared" si="4"/>
        <v>0</v>
      </c>
      <c r="AP35" s="293">
        <f t="shared" si="4"/>
        <v>0</v>
      </c>
      <c r="AQ35" s="293">
        <f t="shared" si="4"/>
        <v>0</v>
      </c>
      <c r="AR35" s="293">
        <f t="shared" si="4"/>
        <v>0</v>
      </c>
      <c r="AS35" s="293">
        <f t="shared" si="4"/>
        <v>0</v>
      </c>
      <c r="AT35" s="293">
        <f t="shared" si="4"/>
        <v>0</v>
      </c>
      <c r="AU35" s="293">
        <f t="shared" si="4"/>
        <v>0</v>
      </c>
      <c r="AV35" s="293">
        <f t="shared" si="4"/>
        <v>0</v>
      </c>
      <c r="AW35" s="293">
        <f t="shared" si="4"/>
        <v>0</v>
      </c>
      <c r="AX35" s="293">
        <f t="shared" si="4"/>
        <v>0</v>
      </c>
      <c r="AY35" s="293">
        <f t="shared" si="4"/>
        <v>0</v>
      </c>
      <c r="AZ35" s="293">
        <f t="shared" si="4"/>
        <v>0</v>
      </c>
      <c r="BA35" s="293">
        <f t="shared" si="4"/>
        <v>0</v>
      </c>
      <c r="BB35" s="293">
        <f t="shared" si="4"/>
        <v>200000</v>
      </c>
      <c r="BD35" s="292">
        <f t="shared" si="6"/>
        <v>0</v>
      </c>
    </row>
    <row r="36" spans="1:56" x14ac:dyDescent="0.25">
      <c r="A36" s="288" t="s">
        <v>140</v>
      </c>
      <c r="B36" s="247" t="str">
        <f>VLOOKUP(A36,'DFP-Com'!$A$16:$B$50,2,1)</f>
        <v xml:space="preserve">     3.1 d Other</v>
      </c>
      <c r="C36" s="238" t="s">
        <v>209</v>
      </c>
      <c r="D36" s="227">
        <v>200000</v>
      </c>
      <c r="E36" s="288" t="s">
        <v>210</v>
      </c>
      <c r="Q36" s="291">
        <v>0.25</v>
      </c>
      <c r="R36" s="291">
        <v>0.25</v>
      </c>
      <c r="S36" s="291">
        <v>0.25</v>
      </c>
      <c r="T36" s="291">
        <v>0.25</v>
      </c>
      <c r="U36" s="291">
        <f t="shared" si="0"/>
        <v>1</v>
      </c>
      <c r="X36" s="293">
        <f t="shared" si="5"/>
        <v>0</v>
      </c>
      <c r="Y36" s="293">
        <f t="shared" si="5"/>
        <v>0</v>
      </c>
      <c r="Z36" s="293">
        <f t="shared" si="5"/>
        <v>0</v>
      </c>
      <c r="AA36" s="293">
        <f t="shared" si="5"/>
        <v>0</v>
      </c>
      <c r="AB36" s="293">
        <f t="shared" si="5"/>
        <v>0</v>
      </c>
      <c r="AC36" s="293">
        <f t="shared" si="5"/>
        <v>0</v>
      </c>
      <c r="AD36" s="293">
        <f t="shared" si="5"/>
        <v>0</v>
      </c>
      <c r="AE36" s="293">
        <f t="shared" si="5"/>
        <v>0</v>
      </c>
      <c r="AF36" s="293">
        <f t="shared" si="5"/>
        <v>0</v>
      </c>
      <c r="AG36" s="293">
        <f t="shared" si="5"/>
        <v>0</v>
      </c>
      <c r="AH36" s="293">
        <f t="shared" si="5"/>
        <v>0</v>
      </c>
      <c r="AI36" s="293">
        <f t="shared" si="5"/>
        <v>50000</v>
      </c>
      <c r="AJ36" s="293">
        <f t="shared" si="5"/>
        <v>50000</v>
      </c>
      <c r="AK36" s="293">
        <f t="shared" si="5"/>
        <v>50000</v>
      </c>
      <c r="AL36" s="293">
        <f t="shared" si="5"/>
        <v>50000</v>
      </c>
      <c r="AM36" s="232"/>
      <c r="AN36" s="293">
        <f t="shared" ref="AN36:BB38" si="7">IF(AN$3=$E36,$D36,0)</f>
        <v>0</v>
      </c>
      <c r="AO36" s="293">
        <f t="shared" si="7"/>
        <v>0</v>
      </c>
      <c r="AP36" s="293">
        <f t="shared" si="7"/>
        <v>0</v>
      </c>
      <c r="AQ36" s="293">
        <f t="shared" si="7"/>
        <v>0</v>
      </c>
      <c r="AR36" s="293">
        <f t="shared" si="7"/>
        <v>0</v>
      </c>
      <c r="AS36" s="293">
        <f t="shared" si="7"/>
        <v>0</v>
      </c>
      <c r="AT36" s="293">
        <f t="shared" si="7"/>
        <v>0</v>
      </c>
      <c r="AU36" s="293">
        <f t="shared" si="7"/>
        <v>0</v>
      </c>
      <c r="AV36" s="293">
        <f t="shared" si="7"/>
        <v>0</v>
      </c>
      <c r="AW36" s="293">
        <f t="shared" si="7"/>
        <v>0</v>
      </c>
      <c r="AX36" s="293">
        <f t="shared" si="7"/>
        <v>0</v>
      </c>
      <c r="AY36" s="293">
        <f t="shared" si="7"/>
        <v>0</v>
      </c>
      <c r="AZ36" s="293">
        <f t="shared" si="7"/>
        <v>0</v>
      </c>
      <c r="BA36" s="293">
        <f t="shared" si="7"/>
        <v>0</v>
      </c>
      <c r="BB36" s="293">
        <f t="shared" si="7"/>
        <v>200000</v>
      </c>
      <c r="BD36" s="292">
        <f t="shared" si="6"/>
        <v>0</v>
      </c>
    </row>
    <row r="37" spans="1:56" x14ac:dyDescent="0.25">
      <c r="A37" s="288" t="s">
        <v>143</v>
      </c>
      <c r="B37" s="247" t="str">
        <f>VLOOKUP(A37,'DFP-Com'!$A$16:$B$50,2,1)</f>
        <v xml:space="preserve">     4.1.c  Audit</v>
      </c>
      <c r="C37" s="238" t="s">
        <v>181</v>
      </c>
      <c r="D37" s="314">
        <v>90000</v>
      </c>
      <c r="E37" s="288" t="s">
        <v>194</v>
      </c>
      <c r="K37" s="230"/>
      <c r="L37" s="230">
        <f>1/6</f>
        <v>0.16666666666666666</v>
      </c>
      <c r="M37" s="230">
        <f>1/6</f>
        <v>0.16666666666666666</v>
      </c>
      <c r="P37" s="230">
        <f>1/6</f>
        <v>0.16666666666666666</v>
      </c>
      <c r="Q37" s="230">
        <f>1/6</f>
        <v>0.16666666666666666</v>
      </c>
      <c r="T37" s="230">
        <f>1/3</f>
        <v>0.33333333333333331</v>
      </c>
      <c r="U37" s="291">
        <f t="shared" si="0"/>
        <v>1</v>
      </c>
      <c r="X37" s="293">
        <f t="shared" si="5"/>
        <v>0</v>
      </c>
      <c r="Y37" s="293">
        <f t="shared" si="5"/>
        <v>0</v>
      </c>
      <c r="Z37" s="293">
        <f t="shared" si="5"/>
        <v>0</v>
      </c>
      <c r="AA37" s="293">
        <f t="shared" si="5"/>
        <v>0</v>
      </c>
      <c r="AB37" s="293">
        <f t="shared" si="5"/>
        <v>0</v>
      </c>
      <c r="AC37" s="293">
        <f t="shared" si="5"/>
        <v>0</v>
      </c>
      <c r="AD37" s="293">
        <f t="shared" si="5"/>
        <v>15000</v>
      </c>
      <c r="AE37" s="293">
        <f t="shared" si="5"/>
        <v>15000</v>
      </c>
      <c r="AF37" s="293">
        <f t="shared" si="5"/>
        <v>0</v>
      </c>
      <c r="AG37" s="293">
        <f t="shared" si="5"/>
        <v>0</v>
      </c>
      <c r="AH37" s="293">
        <f t="shared" si="5"/>
        <v>15000</v>
      </c>
      <c r="AI37" s="293">
        <f t="shared" si="5"/>
        <v>15000</v>
      </c>
      <c r="AJ37" s="293">
        <f t="shared" si="5"/>
        <v>0</v>
      </c>
      <c r="AK37" s="293">
        <f t="shared" si="5"/>
        <v>0</v>
      </c>
      <c r="AL37" s="293">
        <f t="shared" si="5"/>
        <v>30000</v>
      </c>
      <c r="AM37" s="232"/>
      <c r="AN37" s="293">
        <f t="shared" si="7"/>
        <v>0</v>
      </c>
      <c r="AO37" s="293">
        <f t="shared" si="7"/>
        <v>0</v>
      </c>
      <c r="AP37" s="293">
        <f t="shared" si="7"/>
        <v>0</v>
      </c>
      <c r="AQ37" s="293">
        <f t="shared" si="7"/>
        <v>0</v>
      </c>
      <c r="AR37" s="293">
        <f t="shared" si="7"/>
        <v>90000</v>
      </c>
      <c r="AS37" s="293">
        <f t="shared" si="7"/>
        <v>0</v>
      </c>
      <c r="AT37" s="293">
        <f t="shared" si="7"/>
        <v>0</v>
      </c>
      <c r="AU37" s="293">
        <f t="shared" si="7"/>
        <v>0</v>
      </c>
      <c r="AV37" s="293">
        <f t="shared" si="7"/>
        <v>0</v>
      </c>
      <c r="AW37" s="293">
        <f t="shared" si="7"/>
        <v>0</v>
      </c>
      <c r="AX37" s="293">
        <f t="shared" si="7"/>
        <v>0</v>
      </c>
      <c r="AY37" s="293">
        <f t="shared" si="7"/>
        <v>0</v>
      </c>
      <c r="AZ37" s="293">
        <f t="shared" si="7"/>
        <v>0</v>
      </c>
      <c r="BA37" s="293">
        <f t="shared" si="7"/>
        <v>0</v>
      </c>
      <c r="BB37" s="293">
        <f t="shared" si="7"/>
        <v>0</v>
      </c>
      <c r="BD37" s="292">
        <f t="shared" si="6"/>
        <v>0</v>
      </c>
    </row>
    <row r="38" spans="1:56" x14ac:dyDescent="0.25">
      <c r="A38" s="288" t="s">
        <v>144</v>
      </c>
      <c r="B38" s="247" t="str">
        <f>VLOOKUP(A38,'DFP-Com'!$A$16:$B$50,2,1)</f>
        <v xml:space="preserve">     4.1.d  Other</v>
      </c>
      <c r="C38" s="238" t="s">
        <v>182</v>
      </c>
      <c r="D38" s="304">
        <v>11500</v>
      </c>
      <c r="E38" s="288" t="s">
        <v>193</v>
      </c>
      <c r="G38" s="303">
        <v>0.67</v>
      </c>
      <c r="H38" s="309">
        <v>0.33</v>
      </c>
      <c r="U38" s="291">
        <f t="shared" si="0"/>
        <v>1</v>
      </c>
      <c r="X38" s="293">
        <f t="shared" ref="X38:AL38" si="8">F38*$D38</f>
        <v>0</v>
      </c>
      <c r="Y38" s="293">
        <f t="shared" si="8"/>
        <v>7705.0000000000009</v>
      </c>
      <c r="Z38" s="293">
        <f t="shared" si="8"/>
        <v>3795</v>
      </c>
      <c r="AA38" s="293">
        <f t="shared" si="8"/>
        <v>0</v>
      </c>
      <c r="AB38" s="293">
        <f t="shared" si="8"/>
        <v>0</v>
      </c>
      <c r="AC38" s="293">
        <f t="shared" si="8"/>
        <v>0</v>
      </c>
      <c r="AD38" s="293">
        <f t="shared" si="8"/>
        <v>0</v>
      </c>
      <c r="AE38" s="293">
        <f t="shared" si="8"/>
        <v>0</v>
      </c>
      <c r="AF38" s="293">
        <f t="shared" si="8"/>
        <v>0</v>
      </c>
      <c r="AG38" s="293">
        <f t="shared" si="8"/>
        <v>0</v>
      </c>
      <c r="AH38" s="293">
        <f t="shared" si="8"/>
        <v>0</v>
      </c>
      <c r="AI38" s="293">
        <f t="shared" si="8"/>
        <v>0</v>
      </c>
      <c r="AJ38" s="293">
        <f t="shared" si="8"/>
        <v>0</v>
      </c>
      <c r="AK38" s="293">
        <f t="shared" si="8"/>
        <v>0</v>
      </c>
      <c r="AL38" s="293">
        <f t="shared" si="8"/>
        <v>0</v>
      </c>
      <c r="AM38" s="232"/>
      <c r="AN38" s="293">
        <f t="shared" si="7"/>
        <v>0</v>
      </c>
      <c r="AO38" s="293">
        <f t="shared" si="7"/>
        <v>11500</v>
      </c>
      <c r="AP38" s="293">
        <f t="shared" si="7"/>
        <v>0</v>
      </c>
      <c r="AQ38" s="293">
        <f t="shared" si="7"/>
        <v>0</v>
      </c>
      <c r="AR38" s="293">
        <f t="shared" si="7"/>
        <v>0</v>
      </c>
      <c r="AS38" s="293">
        <f t="shared" si="7"/>
        <v>0</v>
      </c>
      <c r="AT38" s="293">
        <f t="shared" si="7"/>
        <v>0</v>
      </c>
      <c r="AU38" s="293">
        <f t="shared" si="7"/>
        <v>0</v>
      </c>
      <c r="AV38" s="293">
        <f t="shared" si="7"/>
        <v>0</v>
      </c>
      <c r="AW38" s="293">
        <f t="shared" si="7"/>
        <v>0</v>
      </c>
      <c r="AX38" s="293">
        <f t="shared" si="7"/>
        <v>0</v>
      </c>
      <c r="AY38" s="293">
        <f t="shared" si="7"/>
        <v>0</v>
      </c>
      <c r="AZ38" s="293">
        <f t="shared" si="7"/>
        <v>0</v>
      </c>
      <c r="BA38" s="293">
        <f t="shared" si="7"/>
        <v>0</v>
      </c>
      <c r="BB38" s="293">
        <f t="shared" si="7"/>
        <v>0</v>
      </c>
      <c r="BD38" s="292">
        <f t="shared" si="6"/>
        <v>0</v>
      </c>
    </row>
    <row r="39" spans="1:56" x14ac:dyDescent="0.25">
      <c r="B39" s="247"/>
      <c r="C39" s="238"/>
      <c r="D39" s="227"/>
      <c r="Q39" s="291"/>
      <c r="R39" s="291"/>
      <c r="S39" s="291"/>
      <c r="T39" s="291"/>
      <c r="U39" s="291"/>
      <c r="X39" s="293"/>
      <c r="Y39" s="293"/>
      <c r="Z39" s="293"/>
      <c r="AA39" s="293"/>
      <c r="AB39" s="293"/>
      <c r="AC39" s="293"/>
      <c r="AD39" s="293"/>
      <c r="AE39" s="293"/>
      <c r="AF39" s="293"/>
      <c r="AG39" s="293"/>
      <c r="AH39" s="293"/>
      <c r="AI39" s="293"/>
      <c r="AJ39" s="293"/>
      <c r="AK39" s="293"/>
      <c r="AL39" s="293"/>
      <c r="AM39" s="232"/>
      <c r="AN39" s="293"/>
      <c r="AO39" s="293"/>
      <c r="AP39" s="293"/>
      <c r="AQ39" s="293"/>
      <c r="AR39" s="293"/>
      <c r="AS39" s="293"/>
      <c r="AT39" s="293"/>
      <c r="AU39" s="293"/>
      <c r="AV39" s="293"/>
      <c r="AW39" s="293"/>
      <c r="AX39" s="293"/>
      <c r="AY39" s="293"/>
      <c r="AZ39" s="293"/>
      <c r="BA39" s="293"/>
      <c r="BB39" s="293"/>
      <c r="BD39" s="292"/>
    </row>
    <row r="40" spans="1:56" x14ac:dyDescent="0.25">
      <c r="B40" s="229" t="e">
        <f>VLOOKUP(A40,'DFP-Com'!$A$16:$B$50,2,1)</f>
        <v>#N/A</v>
      </c>
      <c r="C40" s="288" t="s">
        <v>198</v>
      </c>
      <c r="D40" s="227"/>
      <c r="X40" s="293">
        <f t="shared" ref="X40:AL40" si="9">F40*$D40</f>
        <v>0</v>
      </c>
      <c r="Y40" s="293">
        <f t="shared" si="9"/>
        <v>0</v>
      </c>
      <c r="Z40" s="293">
        <f t="shared" si="9"/>
        <v>0</v>
      </c>
      <c r="AA40" s="293">
        <f t="shared" si="9"/>
        <v>0</v>
      </c>
      <c r="AB40" s="293">
        <f t="shared" si="9"/>
        <v>0</v>
      </c>
      <c r="AC40" s="293">
        <f t="shared" si="9"/>
        <v>0</v>
      </c>
      <c r="AD40" s="293">
        <f t="shared" si="9"/>
        <v>0</v>
      </c>
      <c r="AE40" s="293">
        <f t="shared" si="9"/>
        <v>0</v>
      </c>
      <c r="AF40" s="293">
        <f t="shared" si="9"/>
        <v>0</v>
      </c>
      <c r="AG40" s="293">
        <f t="shared" si="9"/>
        <v>0</v>
      </c>
      <c r="AH40" s="293">
        <f t="shared" si="9"/>
        <v>0</v>
      </c>
      <c r="AI40" s="293">
        <f t="shared" si="9"/>
        <v>0</v>
      </c>
      <c r="AJ40" s="293">
        <f t="shared" si="9"/>
        <v>0</v>
      </c>
      <c r="AK40" s="293">
        <f t="shared" si="9"/>
        <v>0</v>
      </c>
      <c r="AL40" s="293">
        <f t="shared" si="9"/>
        <v>0</v>
      </c>
      <c r="AM40" s="232"/>
      <c r="AN40" s="293">
        <f t="shared" ref="AN40:BB40" si="10">IF(AN$3=$E40,$D40,0)</f>
        <v>0</v>
      </c>
      <c r="AO40" s="293">
        <f t="shared" si="10"/>
        <v>0</v>
      </c>
      <c r="AP40" s="293">
        <f t="shared" si="10"/>
        <v>0</v>
      </c>
      <c r="AQ40" s="293">
        <f t="shared" si="10"/>
        <v>0</v>
      </c>
      <c r="AR40" s="293">
        <f t="shared" si="10"/>
        <v>0</v>
      </c>
      <c r="AS40" s="293">
        <f t="shared" si="10"/>
        <v>0</v>
      </c>
      <c r="AT40" s="293">
        <f t="shared" si="10"/>
        <v>0</v>
      </c>
      <c r="AU40" s="293">
        <f t="shared" si="10"/>
        <v>0</v>
      </c>
      <c r="AV40" s="293">
        <f t="shared" si="10"/>
        <v>0</v>
      </c>
      <c r="AW40" s="293">
        <f t="shared" si="10"/>
        <v>0</v>
      </c>
      <c r="AX40" s="293">
        <f t="shared" si="10"/>
        <v>0</v>
      </c>
      <c r="AY40" s="293">
        <f t="shared" si="10"/>
        <v>0</v>
      </c>
      <c r="AZ40" s="293">
        <f t="shared" si="10"/>
        <v>0</v>
      </c>
      <c r="BA40" s="293">
        <f t="shared" si="10"/>
        <v>0</v>
      </c>
      <c r="BB40" s="293">
        <f t="shared" si="10"/>
        <v>0</v>
      </c>
      <c r="BD40" s="292">
        <f t="shared" ref="BD40:BD55" si="11">SUM(X40:AL40)-SUM(AN40:BB40)</f>
        <v>0</v>
      </c>
    </row>
    <row r="41" spans="1:56" x14ac:dyDescent="0.25">
      <c r="D41" s="288" t="s">
        <v>163</v>
      </c>
      <c r="F41" s="288" t="s">
        <v>146</v>
      </c>
      <c r="G41" s="288" t="s">
        <v>150</v>
      </c>
      <c r="H41" s="305" t="s">
        <v>151</v>
      </c>
      <c r="I41" s="288" t="s">
        <v>152</v>
      </c>
      <c r="J41" s="288" t="s">
        <v>153</v>
      </c>
      <c r="K41" s="288" t="s">
        <v>154</v>
      </c>
      <c r="L41" s="288" t="s">
        <v>155</v>
      </c>
      <c r="M41" s="288" t="s">
        <v>156</v>
      </c>
      <c r="N41" s="288" t="s">
        <v>157</v>
      </c>
      <c r="O41" s="288" t="s">
        <v>158</v>
      </c>
      <c r="P41" s="288" t="s">
        <v>159</v>
      </c>
      <c r="Q41" s="288" t="s">
        <v>160</v>
      </c>
      <c r="R41" s="288" t="s">
        <v>161</v>
      </c>
      <c r="S41" s="288" t="s">
        <v>162</v>
      </c>
      <c r="T41" s="288" t="s">
        <v>164</v>
      </c>
      <c r="U41" s="288" t="s">
        <v>163</v>
      </c>
      <c r="X41" s="293"/>
      <c r="Y41" s="293"/>
      <c r="Z41" s="293"/>
      <c r="AA41" s="293"/>
      <c r="AB41" s="293"/>
      <c r="AC41" s="293"/>
      <c r="AD41" s="293"/>
      <c r="AE41" s="293"/>
      <c r="AF41" s="293"/>
      <c r="AG41" s="293"/>
      <c r="AH41" s="293"/>
      <c r="AI41" s="293"/>
      <c r="AJ41" s="293"/>
      <c r="AK41" s="293"/>
      <c r="AL41" s="293"/>
      <c r="AM41" s="232"/>
      <c r="AN41" s="232"/>
      <c r="AO41" s="232"/>
      <c r="AP41" s="232"/>
      <c r="AQ41" s="232"/>
      <c r="AR41" s="232"/>
      <c r="AS41" s="232"/>
      <c r="AT41" s="232"/>
      <c r="AU41" s="232"/>
      <c r="AV41" s="232"/>
      <c r="AW41" s="232"/>
      <c r="AX41" s="232"/>
      <c r="AY41" s="232"/>
      <c r="AZ41" s="232"/>
      <c r="BA41" s="232"/>
      <c r="BB41" s="232"/>
      <c r="BD41" s="292">
        <f t="shared" si="11"/>
        <v>0</v>
      </c>
    </row>
    <row r="42" spans="1:56" x14ac:dyDescent="0.25">
      <c r="A42" s="228" t="s">
        <v>190</v>
      </c>
      <c r="B42" s="228"/>
      <c r="D42" s="227"/>
      <c r="X42" s="242"/>
      <c r="Y42" s="293"/>
      <c r="Z42" s="293"/>
      <c r="AA42" s="293"/>
      <c r="AB42" s="293"/>
      <c r="AC42" s="293"/>
      <c r="AD42" s="293"/>
      <c r="AE42" s="293"/>
      <c r="AF42" s="293"/>
      <c r="AG42" s="293"/>
      <c r="AH42" s="293"/>
      <c r="AI42" s="293"/>
      <c r="AJ42" s="293"/>
      <c r="AK42" s="293"/>
      <c r="AL42" s="293"/>
      <c r="AM42" s="232"/>
      <c r="AN42" s="231" t="s">
        <v>146</v>
      </c>
      <c r="AO42" s="231" t="s">
        <v>150</v>
      </c>
      <c r="AP42" s="231" t="s">
        <v>151</v>
      </c>
      <c r="AQ42" s="231" t="s">
        <v>152</v>
      </c>
      <c r="AR42" s="231" t="s">
        <v>146</v>
      </c>
      <c r="AS42" s="231" t="s">
        <v>150</v>
      </c>
      <c r="AT42" s="231" t="s">
        <v>151</v>
      </c>
      <c r="AU42" s="231" t="s">
        <v>152</v>
      </c>
      <c r="AV42" s="231" t="s">
        <v>146</v>
      </c>
      <c r="AW42" s="231" t="s">
        <v>150</v>
      </c>
      <c r="AX42" s="231" t="s">
        <v>151</v>
      </c>
      <c r="AY42" s="231" t="s">
        <v>152</v>
      </c>
      <c r="AZ42" s="231" t="s">
        <v>146</v>
      </c>
      <c r="BA42" s="231" t="s">
        <v>150</v>
      </c>
      <c r="BB42" s="231" t="s">
        <v>151</v>
      </c>
      <c r="BD42" s="292">
        <f t="shared" si="11"/>
        <v>0</v>
      </c>
    </row>
    <row r="43" spans="1:56" x14ac:dyDescent="0.25">
      <c r="A43" s="288" t="s">
        <v>131</v>
      </c>
      <c r="B43" s="236" t="str">
        <f>VLOOKUP(A43,'DFP-Com'!$A$16:$B$50,2,1)</f>
        <v xml:space="preserve">     1.3.b  Education Project Coordination team*</v>
      </c>
      <c r="C43" s="288" t="s">
        <v>169</v>
      </c>
      <c r="D43" s="227">
        <f t="shared" ref="D43:D49" si="12">SUM(F43:T43)</f>
        <v>121400</v>
      </c>
      <c r="E43" s="288" t="s">
        <v>193</v>
      </c>
      <c r="G43" s="295">
        <v>4400</v>
      </c>
      <c r="H43" s="310">
        <v>9000</v>
      </c>
      <c r="I43" s="295">
        <v>9000</v>
      </c>
      <c r="J43" s="295">
        <v>9000</v>
      </c>
      <c r="K43" s="295">
        <v>9000</v>
      </c>
      <c r="L43" s="295">
        <v>9000</v>
      </c>
      <c r="M43" s="295">
        <v>9000</v>
      </c>
      <c r="N43" s="295">
        <v>9000</v>
      </c>
      <c r="O43" s="295">
        <v>9000</v>
      </c>
      <c r="P43" s="295">
        <v>9000</v>
      </c>
      <c r="Q43" s="295">
        <v>9000</v>
      </c>
      <c r="R43" s="295">
        <v>9000</v>
      </c>
      <c r="S43" s="295">
        <v>9000</v>
      </c>
      <c r="T43" s="295">
        <v>9000</v>
      </c>
      <c r="U43" s="295">
        <f>SUM(F43:T43)</f>
        <v>121400</v>
      </c>
      <c r="X43" s="242">
        <f t="shared" ref="X43:AL51" si="13">F43</f>
        <v>0</v>
      </c>
      <c r="Y43" s="293">
        <f t="shared" si="13"/>
        <v>4400</v>
      </c>
      <c r="Z43" s="293">
        <f t="shared" si="13"/>
        <v>9000</v>
      </c>
      <c r="AA43" s="293">
        <f t="shared" si="13"/>
        <v>9000</v>
      </c>
      <c r="AB43" s="293">
        <f t="shared" si="13"/>
        <v>9000</v>
      </c>
      <c r="AC43" s="293">
        <f t="shared" si="13"/>
        <v>9000</v>
      </c>
      <c r="AD43" s="293">
        <f t="shared" si="13"/>
        <v>9000</v>
      </c>
      <c r="AE43" s="293">
        <f t="shared" si="13"/>
        <v>9000</v>
      </c>
      <c r="AF43" s="293">
        <f t="shared" si="13"/>
        <v>9000</v>
      </c>
      <c r="AG43" s="293">
        <f t="shared" si="13"/>
        <v>9000</v>
      </c>
      <c r="AH43" s="293">
        <f t="shared" si="13"/>
        <v>9000</v>
      </c>
      <c r="AI43" s="293">
        <f t="shared" si="13"/>
        <v>9000</v>
      </c>
      <c r="AJ43" s="293">
        <f t="shared" si="13"/>
        <v>9000</v>
      </c>
      <c r="AK43" s="293">
        <f t="shared" si="13"/>
        <v>9000</v>
      </c>
      <c r="AL43" s="293">
        <f t="shared" si="13"/>
        <v>9000</v>
      </c>
      <c r="AM43" s="232"/>
      <c r="AN43" s="293">
        <f>IF(AN$42=$E43,SUM(X43:AA43),0)</f>
        <v>0</v>
      </c>
      <c r="AO43" s="293">
        <f t="shared" ref="AO43:AY51" si="14">IF(AO$42=$E43,SUM(Y43:AB43),0)</f>
        <v>31400</v>
      </c>
      <c r="AP43" s="293">
        <f t="shared" si="14"/>
        <v>0</v>
      </c>
      <c r="AQ43" s="293">
        <f t="shared" si="14"/>
        <v>0</v>
      </c>
      <c r="AR43" s="293">
        <f t="shared" si="14"/>
        <v>0</v>
      </c>
      <c r="AS43" s="293">
        <f t="shared" si="14"/>
        <v>36000</v>
      </c>
      <c r="AT43" s="293">
        <f t="shared" si="14"/>
        <v>0</v>
      </c>
      <c r="AU43" s="293">
        <f t="shared" si="14"/>
        <v>0</v>
      </c>
      <c r="AV43" s="293">
        <f t="shared" si="14"/>
        <v>0</v>
      </c>
      <c r="AW43" s="293">
        <f t="shared" si="14"/>
        <v>36000</v>
      </c>
      <c r="AX43" s="293">
        <f t="shared" si="14"/>
        <v>0</v>
      </c>
      <c r="AY43" s="293">
        <f t="shared" si="14"/>
        <v>0</v>
      </c>
      <c r="AZ43" s="293">
        <f>IF(AZ$42=$E43,SUM(AJ43:$AL43),0)</f>
        <v>0</v>
      </c>
      <c r="BA43" s="293">
        <f>IF(BA$42=$E43,SUM(AK43:$AL43),0)</f>
        <v>18000</v>
      </c>
      <c r="BB43" s="293">
        <f>IF(BB$42=$E43,SUM(AL43:$AL43),0)</f>
        <v>0</v>
      </c>
      <c r="BD43" s="292">
        <f t="shared" si="11"/>
        <v>0</v>
      </c>
    </row>
    <row r="44" spans="1:56" x14ac:dyDescent="0.25">
      <c r="A44" s="288" t="s">
        <v>131</v>
      </c>
      <c r="B44" s="236" t="str">
        <f>VLOOKUP(A44,'DFP-Com'!$A$16:$B$50,2,1)</f>
        <v xml:space="preserve">     1.3.b  Education Project Coordination team*</v>
      </c>
      <c r="C44" s="288" t="s">
        <v>188</v>
      </c>
      <c r="D44" s="227">
        <f t="shared" si="12"/>
        <v>57000</v>
      </c>
      <c r="E44" s="288" t="s">
        <v>165</v>
      </c>
      <c r="G44" s="288">
        <v>0</v>
      </c>
      <c r="H44" s="310">
        <v>3000</v>
      </c>
      <c r="I44" s="295">
        <v>4500</v>
      </c>
      <c r="J44" s="295">
        <v>4500</v>
      </c>
      <c r="K44" s="295">
        <v>4500</v>
      </c>
      <c r="L44" s="295">
        <v>4500</v>
      </c>
      <c r="M44" s="295">
        <v>4500</v>
      </c>
      <c r="N44" s="295">
        <v>4500</v>
      </c>
      <c r="O44" s="295">
        <v>4500</v>
      </c>
      <c r="P44" s="295">
        <v>4500</v>
      </c>
      <c r="Q44" s="295">
        <v>4500</v>
      </c>
      <c r="R44" s="295">
        <v>4500</v>
      </c>
      <c r="S44" s="295">
        <v>4500</v>
      </c>
      <c r="T44" s="295">
        <v>4500</v>
      </c>
      <c r="U44" s="295">
        <f t="shared" ref="U44:U55" si="15">SUM(F44:T44)</f>
        <v>57000</v>
      </c>
      <c r="X44" s="242">
        <f t="shared" si="13"/>
        <v>0</v>
      </c>
      <c r="Y44" s="293">
        <f t="shared" si="13"/>
        <v>0</v>
      </c>
      <c r="Z44" s="293">
        <f t="shared" si="13"/>
        <v>3000</v>
      </c>
      <c r="AA44" s="293">
        <f t="shared" si="13"/>
        <v>4500</v>
      </c>
      <c r="AB44" s="293">
        <f t="shared" si="13"/>
        <v>4500</v>
      </c>
      <c r="AC44" s="293">
        <f t="shared" si="13"/>
        <v>4500</v>
      </c>
      <c r="AD44" s="293">
        <f t="shared" si="13"/>
        <v>4500</v>
      </c>
      <c r="AE44" s="293">
        <f t="shared" si="13"/>
        <v>4500</v>
      </c>
      <c r="AF44" s="293">
        <f t="shared" si="13"/>
        <v>4500</v>
      </c>
      <c r="AG44" s="293">
        <f t="shared" si="13"/>
        <v>4500</v>
      </c>
      <c r="AH44" s="293">
        <f t="shared" si="13"/>
        <v>4500</v>
      </c>
      <c r="AI44" s="293">
        <f t="shared" si="13"/>
        <v>4500</v>
      </c>
      <c r="AJ44" s="293">
        <f t="shared" si="13"/>
        <v>4500</v>
      </c>
      <c r="AK44" s="293">
        <f t="shared" si="13"/>
        <v>4500</v>
      </c>
      <c r="AL44" s="293">
        <f t="shared" si="13"/>
        <v>4500</v>
      </c>
      <c r="AM44" s="232"/>
      <c r="AN44" s="293">
        <f t="shared" ref="AN44:AN51" si="16">IF(AN$42=$E44,SUM(X44:AA44),0)</f>
        <v>0</v>
      </c>
      <c r="AO44" s="293">
        <f t="shared" si="14"/>
        <v>0</v>
      </c>
      <c r="AP44" s="293">
        <f t="shared" si="14"/>
        <v>16500</v>
      </c>
      <c r="AQ44" s="293">
        <f t="shared" si="14"/>
        <v>0</v>
      </c>
      <c r="AR44" s="293">
        <f t="shared" si="14"/>
        <v>0</v>
      </c>
      <c r="AS44" s="293">
        <f t="shared" si="14"/>
        <v>0</v>
      </c>
      <c r="AT44" s="293">
        <f t="shared" si="14"/>
        <v>18000</v>
      </c>
      <c r="AU44" s="293">
        <f t="shared" si="14"/>
        <v>0</v>
      </c>
      <c r="AV44" s="293">
        <f t="shared" si="14"/>
        <v>0</v>
      </c>
      <c r="AW44" s="293">
        <f t="shared" si="14"/>
        <v>0</v>
      </c>
      <c r="AX44" s="293">
        <f t="shared" si="14"/>
        <v>18000</v>
      </c>
      <c r="AY44" s="293">
        <f t="shared" si="14"/>
        <v>0</v>
      </c>
      <c r="AZ44" s="293">
        <f>IF(AZ$42=$E44,SUM(AJ44:$AL44),0)</f>
        <v>0</v>
      </c>
      <c r="BA44" s="293">
        <f>IF(BA$42=$E44,SUM(AK44:$AL44),0)</f>
        <v>0</v>
      </c>
      <c r="BB44" s="293">
        <f>IF(BB$42=$E44,SUM(AL44:$AL44),0)</f>
        <v>4500</v>
      </c>
      <c r="BD44" s="292">
        <f t="shared" si="11"/>
        <v>0</v>
      </c>
    </row>
    <row r="45" spans="1:56" x14ac:dyDescent="0.25">
      <c r="A45" s="288" t="s">
        <v>141</v>
      </c>
      <c r="B45" s="247" t="str">
        <f>VLOOKUP(A45,'DFP-Com'!$A$16:$B$50,2,1)</f>
        <v xml:space="preserve">     4.1.a  Staff Compensation*</v>
      </c>
      <c r="C45" s="288" t="s">
        <v>180</v>
      </c>
      <c r="D45" s="227">
        <f t="shared" si="12"/>
        <v>181000</v>
      </c>
      <c r="E45" s="288" t="s">
        <v>195</v>
      </c>
      <c r="F45" s="295">
        <v>10000</v>
      </c>
      <c r="G45" s="295">
        <f>15000</f>
        <v>15000</v>
      </c>
      <c r="H45" s="310">
        <v>12000</v>
      </c>
      <c r="I45" s="295">
        <v>12000</v>
      </c>
      <c r="J45" s="295">
        <v>12000</v>
      </c>
      <c r="K45" s="295">
        <v>12000</v>
      </c>
      <c r="L45" s="295">
        <v>12000</v>
      </c>
      <c r="M45" s="295">
        <v>12000</v>
      </c>
      <c r="N45" s="295">
        <v>12000</v>
      </c>
      <c r="O45" s="295">
        <v>12000</v>
      </c>
      <c r="P45" s="295">
        <v>12000</v>
      </c>
      <c r="Q45" s="295">
        <v>12000</v>
      </c>
      <c r="R45" s="295">
        <v>12000</v>
      </c>
      <c r="S45" s="295">
        <v>12000</v>
      </c>
      <c r="T45" s="295">
        <v>12000</v>
      </c>
      <c r="U45" s="295">
        <f t="shared" si="15"/>
        <v>181000</v>
      </c>
      <c r="X45" s="242">
        <f t="shared" si="13"/>
        <v>10000</v>
      </c>
      <c r="Y45" s="293">
        <f t="shared" si="13"/>
        <v>15000</v>
      </c>
      <c r="Z45" s="293">
        <f t="shared" si="13"/>
        <v>12000</v>
      </c>
      <c r="AA45" s="293">
        <f t="shared" si="13"/>
        <v>12000</v>
      </c>
      <c r="AB45" s="293">
        <f t="shared" si="13"/>
        <v>12000</v>
      </c>
      <c r="AC45" s="293">
        <f t="shared" si="13"/>
        <v>12000</v>
      </c>
      <c r="AD45" s="293">
        <f t="shared" si="13"/>
        <v>12000</v>
      </c>
      <c r="AE45" s="293">
        <f t="shared" si="13"/>
        <v>12000</v>
      </c>
      <c r="AF45" s="293">
        <f t="shared" si="13"/>
        <v>12000</v>
      </c>
      <c r="AG45" s="293">
        <f t="shared" si="13"/>
        <v>12000</v>
      </c>
      <c r="AH45" s="293">
        <f t="shared" si="13"/>
        <v>12000</v>
      </c>
      <c r="AI45" s="293">
        <f t="shared" si="13"/>
        <v>12000</v>
      </c>
      <c r="AJ45" s="293">
        <f t="shared" si="13"/>
        <v>12000</v>
      </c>
      <c r="AK45" s="293">
        <f t="shared" si="13"/>
        <v>12000</v>
      </c>
      <c r="AL45" s="293">
        <f t="shared" si="13"/>
        <v>12000</v>
      </c>
      <c r="AM45" s="232"/>
      <c r="AN45" s="293">
        <f t="shared" si="16"/>
        <v>49000</v>
      </c>
      <c r="AO45" s="293">
        <f t="shared" si="14"/>
        <v>0</v>
      </c>
      <c r="AP45" s="293">
        <f t="shared" si="14"/>
        <v>0</v>
      </c>
      <c r="AQ45" s="293">
        <f t="shared" si="14"/>
        <v>0</v>
      </c>
      <c r="AR45" s="293">
        <f t="shared" si="14"/>
        <v>48000</v>
      </c>
      <c r="AS45" s="293">
        <f t="shared" si="14"/>
        <v>0</v>
      </c>
      <c r="AT45" s="293">
        <f t="shared" si="14"/>
        <v>0</v>
      </c>
      <c r="AU45" s="293">
        <f t="shared" si="14"/>
        <v>0</v>
      </c>
      <c r="AV45" s="293">
        <f t="shared" si="14"/>
        <v>48000</v>
      </c>
      <c r="AW45" s="293">
        <f t="shared" si="14"/>
        <v>0</v>
      </c>
      <c r="AX45" s="293">
        <f t="shared" si="14"/>
        <v>0</v>
      </c>
      <c r="AY45" s="293">
        <f t="shared" si="14"/>
        <v>0</v>
      </c>
      <c r="AZ45" s="293">
        <f>IF(AZ$42=$E45,SUM(AJ45:$AL45),0)</f>
        <v>36000</v>
      </c>
      <c r="BA45" s="293">
        <f>IF(BA$42=$E45,SUM(AK45:$AL45),0)</f>
        <v>0</v>
      </c>
      <c r="BB45" s="293">
        <f>IF(BB$42=$E45,SUM(AL45:$AL45),0)</f>
        <v>0</v>
      </c>
      <c r="BD45" s="292">
        <f t="shared" si="11"/>
        <v>0</v>
      </c>
    </row>
    <row r="46" spans="1:56" x14ac:dyDescent="0.25">
      <c r="A46" s="288" t="s">
        <v>141</v>
      </c>
      <c r="B46" s="247" t="str">
        <f>VLOOKUP(A46,'DFP-Com'!$A$16:$B$50,2,1)</f>
        <v xml:space="preserve">     4.1.a  Staff Compensation*</v>
      </c>
      <c r="C46" s="288" t="s">
        <v>229</v>
      </c>
      <c r="D46" s="227">
        <f t="shared" si="12"/>
        <v>57000</v>
      </c>
      <c r="E46" s="288" t="s">
        <v>165</v>
      </c>
      <c r="G46" s="295">
        <v>0</v>
      </c>
      <c r="H46" s="310">
        <f>3000</f>
        <v>3000</v>
      </c>
      <c r="I46" s="295">
        <v>4500</v>
      </c>
      <c r="J46" s="295">
        <v>4500</v>
      </c>
      <c r="K46" s="295">
        <v>4500</v>
      </c>
      <c r="L46" s="295">
        <v>4500</v>
      </c>
      <c r="M46" s="295">
        <v>4500</v>
      </c>
      <c r="N46" s="295">
        <v>4500</v>
      </c>
      <c r="O46" s="295">
        <v>4500</v>
      </c>
      <c r="P46" s="295">
        <v>4500</v>
      </c>
      <c r="Q46" s="295">
        <v>4500</v>
      </c>
      <c r="R46" s="295">
        <v>4500</v>
      </c>
      <c r="S46" s="295">
        <v>4500</v>
      </c>
      <c r="T46" s="295">
        <v>4500</v>
      </c>
      <c r="U46" s="295">
        <f t="shared" si="15"/>
        <v>57000</v>
      </c>
      <c r="X46" s="242">
        <f t="shared" si="13"/>
        <v>0</v>
      </c>
      <c r="Y46" s="293">
        <f t="shared" si="13"/>
        <v>0</v>
      </c>
      <c r="Z46" s="293">
        <f t="shared" si="13"/>
        <v>3000</v>
      </c>
      <c r="AA46" s="293">
        <f t="shared" si="13"/>
        <v>4500</v>
      </c>
      <c r="AB46" s="293">
        <f t="shared" si="13"/>
        <v>4500</v>
      </c>
      <c r="AC46" s="293">
        <f t="shared" si="13"/>
        <v>4500</v>
      </c>
      <c r="AD46" s="293">
        <f t="shared" si="13"/>
        <v>4500</v>
      </c>
      <c r="AE46" s="293">
        <f t="shared" si="13"/>
        <v>4500</v>
      </c>
      <c r="AF46" s="293">
        <f t="shared" si="13"/>
        <v>4500</v>
      </c>
      <c r="AG46" s="293">
        <f t="shared" si="13"/>
        <v>4500</v>
      </c>
      <c r="AH46" s="293">
        <f t="shared" si="13"/>
        <v>4500</v>
      </c>
      <c r="AI46" s="293">
        <f t="shared" si="13"/>
        <v>4500</v>
      </c>
      <c r="AJ46" s="293">
        <f t="shared" si="13"/>
        <v>4500</v>
      </c>
      <c r="AK46" s="293">
        <f t="shared" si="13"/>
        <v>4500</v>
      </c>
      <c r="AL46" s="293">
        <f t="shared" si="13"/>
        <v>4500</v>
      </c>
      <c r="AM46" s="232"/>
      <c r="AN46" s="293">
        <f t="shared" si="16"/>
        <v>0</v>
      </c>
      <c r="AO46" s="293">
        <f t="shared" si="14"/>
        <v>0</v>
      </c>
      <c r="AP46" s="293">
        <f>IF(AP$42=$E46,SUM(Z46:AC46),0)</f>
        <v>16500</v>
      </c>
      <c r="AQ46" s="293">
        <f t="shared" si="14"/>
        <v>0</v>
      </c>
      <c r="AR46" s="293">
        <f t="shared" si="14"/>
        <v>0</v>
      </c>
      <c r="AS46" s="293">
        <f t="shared" si="14"/>
        <v>0</v>
      </c>
      <c r="AT46" s="293">
        <f t="shared" si="14"/>
        <v>18000</v>
      </c>
      <c r="AU46" s="293">
        <f t="shared" si="14"/>
        <v>0</v>
      </c>
      <c r="AV46" s="293">
        <f t="shared" si="14"/>
        <v>0</v>
      </c>
      <c r="AW46" s="293">
        <f t="shared" si="14"/>
        <v>0</v>
      </c>
      <c r="AX46" s="293">
        <f t="shared" si="14"/>
        <v>18000</v>
      </c>
      <c r="AY46" s="293">
        <f t="shared" si="14"/>
        <v>0</v>
      </c>
      <c r="AZ46" s="293">
        <f>IF(AZ$42=$E46,SUM(AJ46:$AL46),0)</f>
        <v>0</v>
      </c>
      <c r="BA46" s="293">
        <f>IF(BA$42=$E46,SUM(AK46:$AL46),0)</f>
        <v>0</v>
      </c>
      <c r="BB46" s="293">
        <f>IF(BB$42=$E46,SUM(AL46:$AL46),0)</f>
        <v>4500</v>
      </c>
      <c r="BD46" s="292">
        <f t="shared" si="11"/>
        <v>0</v>
      </c>
    </row>
    <row r="47" spans="1:56" x14ac:dyDescent="0.25">
      <c r="A47" s="288" t="s">
        <v>141</v>
      </c>
      <c r="B47" s="247" t="str">
        <f>VLOOKUP(A47,'DFP-Com'!$A$16:$B$50,2,1)</f>
        <v xml:space="preserve">     4.1.a  Staff Compensation*</v>
      </c>
      <c r="C47" s="288" t="s">
        <v>185</v>
      </c>
      <c r="D47" s="227">
        <f t="shared" si="12"/>
        <v>147000</v>
      </c>
      <c r="E47" s="288" t="s">
        <v>193</v>
      </c>
      <c r="G47" s="295">
        <v>10500</v>
      </c>
      <c r="H47" s="310">
        <f>3500*3</f>
        <v>10500</v>
      </c>
      <c r="I47" s="295">
        <v>10500</v>
      </c>
      <c r="J47" s="295">
        <v>10500</v>
      </c>
      <c r="K47" s="295">
        <v>10500</v>
      </c>
      <c r="L47" s="295">
        <v>10500</v>
      </c>
      <c r="M47" s="295">
        <v>10500</v>
      </c>
      <c r="N47" s="295">
        <v>10500</v>
      </c>
      <c r="O47" s="295">
        <v>10500</v>
      </c>
      <c r="P47" s="295">
        <v>10500</v>
      </c>
      <c r="Q47" s="295">
        <v>10500</v>
      </c>
      <c r="R47" s="295">
        <v>10500</v>
      </c>
      <c r="S47" s="295">
        <v>10500</v>
      </c>
      <c r="T47" s="295">
        <v>10500</v>
      </c>
      <c r="U47" s="295">
        <f t="shared" si="15"/>
        <v>147000</v>
      </c>
      <c r="X47" s="242">
        <f t="shared" si="13"/>
        <v>0</v>
      </c>
      <c r="Y47" s="293">
        <f t="shared" si="13"/>
        <v>10500</v>
      </c>
      <c r="Z47" s="293">
        <f t="shared" si="13"/>
        <v>10500</v>
      </c>
      <c r="AA47" s="293">
        <f t="shared" si="13"/>
        <v>10500</v>
      </c>
      <c r="AB47" s="293">
        <f t="shared" si="13"/>
        <v>10500</v>
      </c>
      <c r="AC47" s="293">
        <f t="shared" si="13"/>
        <v>10500</v>
      </c>
      <c r="AD47" s="293">
        <f t="shared" si="13"/>
        <v>10500</v>
      </c>
      <c r="AE47" s="293">
        <f t="shared" si="13"/>
        <v>10500</v>
      </c>
      <c r="AF47" s="293">
        <f t="shared" si="13"/>
        <v>10500</v>
      </c>
      <c r="AG47" s="293">
        <f t="shared" si="13"/>
        <v>10500</v>
      </c>
      <c r="AH47" s="293">
        <f t="shared" si="13"/>
        <v>10500</v>
      </c>
      <c r="AI47" s="293">
        <f t="shared" si="13"/>
        <v>10500</v>
      </c>
      <c r="AJ47" s="293">
        <f t="shared" si="13"/>
        <v>10500</v>
      </c>
      <c r="AK47" s="293">
        <f t="shared" si="13"/>
        <v>10500</v>
      </c>
      <c r="AL47" s="293">
        <f t="shared" si="13"/>
        <v>10500</v>
      </c>
      <c r="AM47" s="232"/>
      <c r="AN47" s="293">
        <f t="shared" si="16"/>
        <v>0</v>
      </c>
      <c r="AO47" s="293">
        <f t="shared" si="14"/>
        <v>42000</v>
      </c>
      <c r="AP47" s="293">
        <f t="shared" si="14"/>
        <v>0</v>
      </c>
      <c r="AQ47" s="293">
        <f t="shared" si="14"/>
        <v>0</v>
      </c>
      <c r="AR47" s="293">
        <f t="shared" si="14"/>
        <v>0</v>
      </c>
      <c r="AS47" s="293">
        <f t="shared" si="14"/>
        <v>42000</v>
      </c>
      <c r="AT47" s="293">
        <f t="shared" si="14"/>
        <v>0</v>
      </c>
      <c r="AU47" s="293">
        <f t="shared" si="14"/>
        <v>0</v>
      </c>
      <c r="AV47" s="293">
        <f t="shared" si="14"/>
        <v>0</v>
      </c>
      <c r="AW47" s="293">
        <f t="shared" si="14"/>
        <v>42000</v>
      </c>
      <c r="AX47" s="293">
        <f t="shared" si="14"/>
        <v>0</v>
      </c>
      <c r="AY47" s="293">
        <f t="shared" si="14"/>
        <v>0</v>
      </c>
      <c r="AZ47" s="293">
        <f>IF(AZ$42=$E47,SUM(AJ47:$AL47),0)</f>
        <v>0</v>
      </c>
      <c r="BA47" s="293">
        <f>IF(BA$42=$E47,SUM(AK47:$AL47),0)</f>
        <v>21000</v>
      </c>
      <c r="BB47" s="293">
        <f>IF(BB$42=$E47,SUM(AL47:$AL47),0)</f>
        <v>0</v>
      </c>
      <c r="BD47" s="292">
        <f t="shared" si="11"/>
        <v>0</v>
      </c>
    </row>
    <row r="48" spans="1:56" x14ac:dyDescent="0.25">
      <c r="A48" s="288" t="s">
        <v>141</v>
      </c>
      <c r="B48" s="247" t="str">
        <f>VLOOKUP(A48,'DFP-Com'!$A$16:$B$50,2,1)</f>
        <v xml:space="preserve">     4.1.a  Staff Compensation*</v>
      </c>
      <c r="C48" s="288" t="s">
        <v>186</v>
      </c>
      <c r="D48" s="227">
        <f t="shared" si="12"/>
        <v>89760</v>
      </c>
      <c r="E48" s="288" t="s">
        <v>193</v>
      </c>
      <c r="G48" s="295">
        <v>3960</v>
      </c>
      <c r="H48" s="310">
        <f>2200*3</f>
        <v>6600</v>
      </c>
      <c r="I48" s="295">
        <f t="shared" ref="I48:T49" si="17">2200*3</f>
        <v>6600</v>
      </c>
      <c r="J48" s="295">
        <f t="shared" si="17"/>
        <v>6600</v>
      </c>
      <c r="K48" s="295">
        <f t="shared" si="17"/>
        <v>6600</v>
      </c>
      <c r="L48" s="295">
        <f t="shared" si="17"/>
        <v>6600</v>
      </c>
      <c r="M48" s="295">
        <f t="shared" si="17"/>
        <v>6600</v>
      </c>
      <c r="N48" s="295">
        <f t="shared" si="17"/>
        <v>6600</v>
      </c>
      <c r="O48" s="295">
        <f t="shared" si="17"/>
        <v>6600</v>
      </c>
      <c r="P48" s="295">
        <f t="shared" si="17"/>
        <v>6600</v>
      </c>
      <c r="Q48" s="295">
        <f t="shared" si="17"/>
        <v>6600</v>
      </c>
      <c r="R48" s="295">
        <f t="shared" si="17"/>
        <v>6600</v>
      </c>
      <c r="S48" s="295">
        <f t="shared" si="17"/>
        <v>6600</v>
      </c>
      <c r="T48" s="295">
        <f t="shared" si="17"/>
        <v>6600</v>
      </c>
      <c r="U48" s="295">
        <f t="shared" si="15"/>
        <v>89760</v>
      </c>
      <c r="X48" s="242">
        <f t="shared" si="13"/>
        <v>0</v>
      </c>
      <c r="Y48" s="293">
        <f t="shared" si="13"/>
        <v>3960</v>
      </c>
      <c r="Z48" s="293">
        <f t="shared" si="13"/>
        <v>6600</v>
      </c>
      <c r="AA48" s="293">
        <f t="shared" si="13"/>
        <v>6600</v>
      </c>
      <c r="AB48" s="293">
        <f t="shared" si="13"/>
        <v>6600</v>
      </c>
      <c r="AC48" s="293">
        <f t="shared" si="13"/>
        <v>6600</v>
      </c>
      <c r="AD48" s="293">
        <f t="shared" si="13"/>
        <v>6600</v>
      </c>
      <c r="AE48" s="293">
        <f t="shared" si="13"/>
        <v>6600</v>
      </c>
      <c r="AF48" s="293">
        <f t="shared" si="13"/>
        <v>6600</v>
      </c>
      <c r="AG48" s="293">
        <f t="shared" si="13"/>
        <v>6600</v>
      </c>
      <c r="AH48" s="293">
        <f t="shared" si="13"/>
        <v>6600</v>
      </c>
      <c r="AI48" s="293">
        <f t="shared" si="13"/>
        <v>6600</v>
      </c>
      <c r="AJ48" s="293">
        <f t="shared" si="13"/>
        <v>6600</v>
      </c>
      <c r="AK48" s="293">
        <f t="shared" si="13"/>
        <v>6600</v>
      </c>
      <c r="AL48" s="293">
        <f t="shared" si="13"/>
        <v>6600</v>
      </c>
      <c r="AM48" s="232"/>
      <c r="AN48" s="293">
        <f t="shared" si="16"/>
        <v>0</v>
      </c>
      <c r="AO48" s="293">
        <f t="shared" si="14"/>
        <v>23760</v>
      </c>
      <c r="AP48" s="293">
        <f t="shared" si="14"/>
        <v>0</v>
      </c>
      <c r="AQ48" s="293">
        <f t="shared" si="14"/>
        <v>0</v>
      </c>
      <c r="AR48" s="293">
        <f t="shared" si="14"/>
        <v>0</v>
      </c>
      <c r="AS48" s="293">
        <f t="shared" si="14"/>
        <v>26400</v>
      </c>
      <c r="AT48" s="293">
        <f t="shared" si="14"/>
        <v>0</v>
      </c>
      <c r="AU48" s="293">
        <f t="shared" si="14"/>
        <v>0</v>
      </c>
      <c r="AV48" s="293">
        <f t="shared" si="14"/>
        <v>0</v>
      </c>
      <c r="AW48" s="293">
        <f t="shared" si="14"/>
        <v>26400</v>
      </c>
      <c r="AX48" s="293">
        <f t="shared" si="14"/>
        <v>0</v>
      </c>
      <c r="AY48" s="293">
        <f t="shared" si="14"/>
        <v>0</v>
      </c>
      <c r="AZ48" s="293">
        <f>IF(AZ$42=$E48,SUM(AJ48:$AL48),0)</f>
        <v>0</v>
      </c>
      <c r="BA48" s="293">
        <f>IF(BA$42=$E48,SUM(AK48:$AL48),0)</f>
        <v>13200</v>
      </c>
      <c r="BB48" s="293">
        <f>IF(BB$42=$E48,SUM(AL48:$AL48),0)</f>
        <v>0</v>
      </c>
      <c r="BD48" s="292">
        <f t="shared" si="11"/>
        <v>0</v>
      </c>
    </row>
    <row r="49" spans="1:56" x14ac:dyDescent="0.25">
      <c r="A49" s="288" t="s">
        <v>141</v>
      </c>
      <c r="B49" s="247" t="str">
        <f>VLOOKUP(A49,'DFP-Com'!$A$16:$B$50,2,1)</f>
        <v xml:space="preserve">     4.1.a  Staff Compensation*</v>
      </c>
      <c r="C49" s="288" t="s">
        <v>187</v>
      </c>
      <c r="D49" s="227">
        <f t="shared" si="12"/>
        <v>89760</v>
      </c>
      <c r="E49" s="288" t="s">
        <v>193</v>
      </c>
      <c r="G49" s="295">
        <v>3960</v>
      </c>
      <c r="H49" s="310">
        <f>2200*3</f>
        <v>6600</v>
      </c>
      <c r="I49" s="295">
        <f t="shared" si="17"/>
        <v>6600</v>
      </c>
      <c r="J49" s="295">
        <f t="shared" si="17"/>
        <v>6600</v>
      </c>
      <c r="K49" s="295">
        <f t="shared" si="17"/>
        <v>6600</v>
      </c>
      <c r="L49" s="295">
        <f t="shared" si="17"/>
        <v>6600</v>
      </c>
      <c r="M49" s="295">
        <f t="shared" si="17"/>
        <v>6600</v>
      </c>
      <c r="N49" s="295">
        <f t="shared" si="17"/>
        <v>6600</v>
      </c>
      <c r="O49" s="295">
        <f t="shared" si="17"/>
        <v>6600</v>
      </c>
      <c r="P49" s="295">
        <f t="shared" si="17"/>
        <v>6600</v>
      </c>
      <c r="Q49" s="295">
        <f t="shared" si="17"/>
        <v>6600</v>
      </c>
      <c r="R49" s="295">
        <f t="shared" si="17"/>
        <v>6600</v>
      </c>
      <c r="S49" s="295">
        <f t="shared" si="17"/>
        <v>6600</v>
      </c>
      <c r="T49" s="295">
        <f t="shared" si="17"/>
        <v>6600</v>
      </c>
      <c r="U49" s="295">
        <f t="shared" si="15"/>
        <v>89760</v>
      </c>
      <c r="X49" s="242">
        <f t="shared" si="13"/>
        <v>0</v>
      </c>
      <c r="Y49" s="293">
        <f t="shared" si="13"/>
        <v>3960</v>
      </c>
      <c r="Z49" s="293">
        <f t="shared" si="13"/>
        <v>6600</v>
      </c>
      <c r="AA49" s="293">
        <f t="shared" si="13"/>
        <v>6600</v>
      </c>
      <c r="AB49" s="293">
        <f t="shared" si="13"/>
        <v>6600</v>
      </c>
      <c r="AC49" s="293">
        <f t="shared" si="13"/>
        <v>6600</v>
      </c>
      <c r="AD49" s="293">
        <f t="shared" si="13"/>
        <v>6600</v>
      </c>
      <c r="AE49" s="293">
        <f t="shared" si="13"/>
        <v>6600</v>
      </c>
      <c r="AF49" s="293">
        <f t="shared" si="13"/>
        <v>6600</v>
      </c>
      <c r="AG49" s="293">
        <f t="shared" si="13"/>
        <v>6600</v>
      </c>
      <c r="AH49" s="293">
        <f t="shared" si="13"/>
        <v>6600</v>
      </c>
      <c r="AI49" s="293">
        <f t="shared" si="13"/>
        <v>6600</v>
      </c>
      <c r="AJ49" s="293">
        <f t="shared" si="13"/>
        <v>6600</v>
      </c>
      <c r="AK49" s="293">
        <f t="shared" si="13"/>
        <v>6600</v>
      </c>
      <c r="AL49" s="293">
        <f t="shared" si="13"/>
        <v>6600</v>
      </c>
      <c r="AM49" s="232"/>
      <c r="AN49" s="293">
        <f t="shared" si="16"/>
        <v>0</v>
      </c>
      <c r="AO49" s="293">
        <f t="shared" si="14"/>
        <v>23760</v>
      </c>
      <c r="AP49" s="293">
        <f t="shared" si="14"/>
        <v>0</v>
      </c>
      <c r="AQ49" s="293">
        <f t="shared" si="14"/>
        <v>0</v>
      </c>
      <c r="AR49" s="293">
        <f t="shared" si="14"/>
        <v>0</v>
      </c>
      <c r="AS49" s="293">
        <f t="shared" si="14"/>
        <v>26400</v>
      </c>
      <c r="AT49" s="293">
        <f t="shared" si="14"/>
        <v>0</v>
      </c>
      <c r="AU49" s="293">
        <f t="shared" si="14"/>
        <v>0</v>
      </c>
      <c r="AV49" s="293">
        <f t="shared" si="14"/>
        <v>0</v>
      </c>
      <c r="AW49" s="293">
        <f t="shared" si="14"/>
        <v>26400</v>
      </c>
      <c r="AX49" s="293">
        <f t="shared" si="14"/>
        <v>0</v>
      </c>
      <c r="AY49" s="293">
        <f t="shared" si="14"/>
        <v>0</v>
      </c>
      <c r="AZ49" s="293">
        <f>IF(AZ$42=$E49,SUM(AJ49:$AL49),0)</f>
        <v>0</v>
      </c>
      <c r="BA49" s="293">
        <f>IF(BA$42=$E49,SUM(AK49:$AL49),0)</f>
        <v>13200</v>
      </c>
      <c r="BB49" s="293">
        <f>IF(BB$42=$E49,SUM(AL49:$AL49),0)</f>
        <v>0</v>
      </c>
      <c r="BD49" s="292">
        <f t="shared" si="11"/>
        <v>0</v>
      </c>
    </row>
    <row r="50" spans="1:56" x14ac:dyDescent="0.25">
      <c r="A50" s="288" t="s">
        <v>141</v>
      </c>
      <c r="B50" s="247" t="str">
        <f>VLOOKUP(A50,'DFP-Com'!$A$16:$B$50,2,1)</f>
        <v xml:space="preserve">     4.1.a  Staff Compensation*</v>
      </c>
      <c r="C50" s="288" t="s">
        <v>231</v>
      </c>
      <c r="D50" s="227">
        <f>3000*24</f>
        <v>72000</v>
      </c>
      <c r="E50" s="288" t="s">
        <v>197</v>
      </c>
      <c r="G50" s="295"/>
      <c r="H50" s="310"/>
      <c r="I50" s="295">
        <f>3000*3</f>
        <v>9000</v>
      </c>
      <c r="J50" s="295">
        <f t="shared" ref="J50:P50" si="18">3000*3</f>
        <v>9000</v>
      </c>
      <c r="K50" s="295">
        <f t="shared" si="18"/>
        <v>9000</v>
      </c>
      <c r="L50" s="295">
        <f t="shared" si="18"/>
        <v>9000</v>
      </c>
      <c r="M50" s="295">
        <f t="shared" si="18"/>
        <v>9000</v>
      </c>
      <c r="N50" s="295">
        <f t="shared" si="18"/>
        <v>9000</v>
      </c>
      <c r="O50" s="295">
        <f t="shared" si="18"/>
        <v>9000</v>
      </c>
      <c r="P50" s="295">
        <f t="shared" si="18"/>
        <v>9000</v>
      </c>
      <c r="Q50" s="295"/>
      <c r="R50" s="295"/>
      <c r="S50" s="295"/>
      <c r="T50" s="295"/>
      <c r="U50" s="295">
        <f t="shared" si="15"/>
        <v>72000</v>
      </c>
      <c r="X50" s="242"/>
      <c r="Y50" s="293"/>
      <c r="Z50" s="293"/>
      <c r="AA50" s="293"/>
      <c r="AB50" s="293"/>
      <c r="AC50" s="293"/>
      <c r="AD50" s="293"/>
      <c r="AE50" s="293"/>
      <c r="AF50" s="293"/>
      <c r="AG50" s="293"/>
      <c r="AH50" s="293"/>
      <c r="AI50" s="293"/>
      <c r="AJ50" s="293"/>
      <c r="AK50" s="293"/>
      <c r="AL50" s="293"/>
      <c r="AM50" s="232"/>
      <c r="AN50" s="293"/>
      <c r="AO50" s="293"/>
      <c r="AP50" s="293"/>
      <c r="AQ50" s="293"/>
      <c r="AR50" s="293"/>
      <c r="AS50" s="293"/>
      <c r="AT50" s="293"/>
      <c r="AU50" s="293"/>
      <c r="AV50" s="293"/>
      <c r="AW50" s="293"/>
      <c r="AX50" s="293"/>
      <c r="AY50" s="293"/>
      <c r="AZ50" s="293"/>
      <c r="BA50" s="293"/>
      <c r="BB50" s="293"/>
      <c r="BD50" s="292"/>
    </row>
    <row r="51" spans="1:56" x14ac:dyDescent="0.25">
      <c r="A51" s="288" t="s">
        <v>129</v>
      </c>
      <c r="B51" s="236" t="str">
        <f>VLOOKUP(A51,'DFP-Com'!$A$16:$B$50,2,1)</f>
        <v xml:space="preserve">     1.2.a  TVET</v>
      </c>
      <c r="C51" s="288" t="s">
        <v>203</v>
      </c>
      <c r="D51" s="227">
        <f t="shared" ref="D51" si="19">SUM(F51:T51)</f>
        <v>144000</v>
      </c>
      <c r="E51" s="288" t="s">
        <v>197</v>
      </c>
      <c r="G51" s="295"/>
      <c r="H51" s="310">
        <v>0</v>
      </c>
      <c r="I51" s="295">
        <v>12000</v>
      </c>
      <c r="J51" s="295">
        <v>12000</v>
      </c>
      <c r="K51" s="295">
        <v>12000</v>
      </c>
      <c r="L51" s="295">
        <v>12000</v>
      </c>
      <c r="M51" s="295">
        <v>12000</v>
      </c>
      <c r="N51" s="295">
        <v>12000</v>
      </c>
      <c r="O51" s="295">
        <v>12000</v>
      </c>
      <c r="P51" s="295">
        <v>12000</v>
      </c>
      <c r="Q51" s="295">
        <v>12000</v>
      </c>
      <c r="R51" s="295">
        <v>12000</v>
      </c>
      <c r="S51" s="295">
        <v>12000</v>
      </c>
      <c r="T51" s="295">
        <v>12000</v>
      </c>
      <c r="U51" s="295">
        <f t="shared" si="15"/>
        <v>144000</v>
      </c>
      <c r="X51" s="242">
        <f t="shared" si="13"/>
        <v>0</v>
      </c>
      <c r="Y51" s="293">
        <f t="shared" si="13"/>
        <v>0</v>
      </c>
      <c r="Z51" s="293">
        <f t="shared" si="13"/>
        <v>0</v>
      </c>
      <c r="AA51" s="293">
        <f t="shared" si="13"/>
        <v>12000</v>
      </c>
      <c r="AB51" s="293">
        <f t="shared" si="13"/>
        <v>12000</v>
      </c>
      <c r="AC51" s="293">
        <f t="shared" si="13"/>
        <v>12000</v>
      </c>
      <c r="AD51" s="293">
        <f t="shared" si="13"/>
        <v>12000</v>
      </c>
      <c r="AE51" s="293">
        <f t="shared" si="13"/>
        <v>12000</v>
      </c>
      <c r="AF51" s="293">
        <f t="shared" si="13"/>
        <v>12000</v>
      </c>
      <c r="AG51" s="293">
        <f t="shared" si="13"/>
        <v>12000</v>
      </c>
      <c r="AH51" s="293">
        <f t="shared" si="13"/>
        <v>12000</v>
      </c>
      <c r="AI51" s="293">
        <f t="shared" si="13"/>
        <v>12000</v>
      </c>
      <c r="AJ51" s="293">
        <f t="shared" si="13"/>
        <v>12000</v>
      </c>
      <c r="AK51" s="293">
        <f t="shared" si="13"/>
        <v>12000</v>
      </c>
      <c r="AL51" s="293">
        <f t="shared" si="13"/>
        <v>12000</v>
      </c>
      <c r="AM51" s="232"/>
      <c r="AN51" s="293">
        <f t="shared" si="16"/>
        <v>0</v>
      </c>
      <c r="AO51" s="293">
        <f t="shared" si="14"/>
        <v>0</v>
      </c>
      <c r="AP51" s="293">
        <f t="shared" si="14"/>
        <v>0</v>
      </c>
      <c r="AQ51" s="293">
        <f t="shared" si="14"/>
        <v>48000</v>
      </c>
      <c r="AR51" s="293">
        <f t="shared" si="14"/>
        <v>0</v>
      </c>
      <c r="AS51" s="293">
        <f t="shared" si="14"/>
        <v>0</v>
      </c>
      <c r="AT51" s="293">
        <f t="shared" si="14"/>
        <v>0</v>
      </c>
      <c r="AU51" s="293">
        <f t="shared" si="14"/>
        <v>48000</v>
      </c>
      <c r="AV51" s="293">
        <f t="shared" si="14"/>
        <v>0</v>
      </c>
      <c r="AW51" s="293">
        <f t="shared" si="14"/>
        <v>0</v>
      </c>
      <c r="AX51" s="293">
        <f t="shared" si="14"/>
        <v>0</v>
      </c>
      <c r="AY51" s="293">
        <f t="shared" si="14"/>
        <v>48000</v>
      </c>
      <c r="AZ51" s="293">
        <f>IF(AZ$42=$E51,SUM(AJ51:$AL51),0)</f>
        <v>0</v>
      </c>
      <c r="BA51" s="293">
        <f>IF(BA$42=$E51,SUM(AK51:$AL51),0)</f>
        <v>0</v>
      </c>
      <c r="BB51" s="293">
        <f>IF(BB$42=$E51,SUM(AL51:$AL51),0)</f>
        <v>0</v>
      </c>
      <c r="BD51" s="292">
        <f t="shared" si="11"/>
        <v>0</v>
      </c>
    </row>
    <row r="52" spans="1:56" x14ac:dyDescent="0.25">
      <c r="G52" s="295"/>
      <c r="H52" s="310"/>
      <c r="I52" s="295"/>
      <c r="J52" s="295"/>
      <c r="K52" s="295"/>
      <c r="L52" s="295"/>
      <c r="M52" s="295"/>
      <c r="N52" s="295"/>
      <c r="O52" s="295"/>
      <c r="P52" s="295"/>
      <c r="Q52" s="295"/>
      <c r="R52" s="295"/>
      <c r="S52" s="295"/>
      <c r="T52" s="295"/>
      <c r="U52" s="295"/>
      <c r="X52" s="231"/>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D52" s="292">
        <f t="shared" si="11"/>
        <v>0</v>
      </c>
    </row>
    <row r="53" spans="1:56" x14ac:dyDescent="0.25">
      <c r="A53" s="228" t="s">
        <v>189</v>
      </c>
      <c r="B53" s="228"/>
      <c r="C53" s="228"/>
      <c r="D53" s="228"/>
      <c r="E53" s="228"/>
      <c r="G53" s="295"/>
      <c r="H53" s="310"/>
      <c r="I53" s="295"/>
      <c r="J53" s="295"/>
      <c r="K53" s="295"/>
      <c r="L53" s="295"/>
      <c r="M53" s="295"/>
      <c r="N53" s="295"/>
      <c r="O53" s="295"/>
      <c r="P53" s="295"/>
      <c r="Q53" s="295"/>
      <c r="R53" s="295"/>
      <c r="S53" s="295"/>
      <c r="T53" s="295"/>
      <c r="U53" s="295"/>
      <c r="X53" s="231"/>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D53" s="292">
        <f t="shared" si="11"/>
        <v>0</v>
      </c>
    </row>
    <row r="54" spans="1:56" x14ac:dyDescent="0.25">
      <c r="A54" s="288" t="s">
        <v>144</v>
      </c>
      <c r="B54" s="247" t="str">
        <f>VLOOKUP(A54,'DFP-Com'!$A$16:$B$50,2,1)</f>
        <v xml:space="preserve">     4.1.d  Other</v>
      </c>
      <c r="C54" s="288" t="s">
        <v>183</v>
      </c>
      <c r="D54" s="227">
        <v>20000</v>
      </c>
      <c r="G54" s="295">
        <v>1267.82</v>
      </c>
      <c r="H54" s="310">
        <v>2000</v>
      </c>
      <c r="I54" s="295">
        <v>1400</v>
      </c>
      <c r="J54" s="295">
        <v>1400</v>
      </c>
      <c r="K54" s="295">
        <v>1400</v>
      </c>
      <c r="L54" s="295">
        <v>1400</v>
      </c>
      <c r="M54" s="295">
        <v>1400</v>
      </c>
      <c r="N54" s="295">
        <v>1400</v>
      </c>
      <c r="O54" s="295">
        <v>1400</v>
      </c>
      <c r="P54" s="295">
        <v>1400</v>
      </c>
      <c r="Q54" s="295">
        <v>1400</v>
      </c>
      <c r="R54" s="295">
        <v>1400</v>
      </c>
      <c r="S54" s="295">
        <v>1400</v>
      </c>
      <c r="T54" s="295">
        <f>1400-68</f>
        <v>1332</v>
      </c>
      <c r="U54" s="295">
        <f t="shared" si="15"/>
        <v>19999.82</v>
      </c>
      <c r="X54" s="242">
        <f t="shared" ref="X54:AL55" si="20">F54</f>
        <v>0</v>
      </c>
      <c r="Y54" s="293">
        <f t="shared" si="20"/>
        <v>1267.82</v>
      </c>
      <c r="Z54" s="293">
        <f t="shared" si="20"/>
        <v>2000</v>
      </c>
      <c r="AA54" s="293">
        <f t="shared" si="20"/>
        <v>1400</v>
      </c>
      <c r="AB54" s="293">
        <f t="shared" si="20"/>
        <v>1400</v>
      </c>
      <c r="AC54" s="293">
        <f t="shared" si="20"/>
        <v>1400</v>
      </c>
      <c r="AD54" s="293">
        <f t="shared" si="20"/>
        <v>1400</v>
      </c>
      <c r="AE54" s="293">
        <f t="shared" si="20"/>
        <v>1400</v>
      </c>
      <c r="AF54" s="293">
        <f t="shared" si="20"/>
        <v>1400</v>
      </c>
      <c r="AG54" s="293">
        <f t="shared" si="20"/>
        <v>1400</v>
      </c>
      <c r="AH54" s="293">
        <f t="shared" si="20"/>
        <v>1400</v>
      </c>
      <c r="AI54" s="293">
        <f t="shared" si="20"/>
        <v>1400</v>
      </c>
      <c r="AJ54" s="293">
        <f t="shared" si="20"/>
        <v>1400</v>
      </c>
      <c r="AK54" s="293">
        <f t="shared" si="20"/>
        <v>1400</v>
      </c>
      <c r="AL54" s="293">
        <f t="shared" si="20"/>
        <v>1332</v>
      </c>
      <c r="AM54" s="232"/>
      <c r="AN54" s="293">
        <f>X54</f>
        <v>0</v>
      </c>
      <c r="AO54" s="293">
        <f t="shared" ref="AO54:BB55" si="21">Y54</f>
        <v>1267.82</v>
      </c>
      <c r="AP54" s="293">
        <f t="shared" si="21"/>
        <v>2000</v>
      </c>
      <c r="AQ54" s="293">
        <f t="shared" si="21"/>
        <v>1400</v>
      </c>
      <c r="AR54" s="293">
        <f t="shared" si="21"/>
        <v>1400</v>
      </c>
      <c r="AS54" s="293">
        <f t="shared" si="21"/>
        <v>1400</v>
      </c>
      <c r="AT54" s="293">
        <f t="shared" si="21"/>
        <v>1400</v>
      </c>
      <c r="AU54" s="293">
        <f t="shared" si="21"/>
        <v>1400</v>
      </c>
      <c r="AV54" s="293">
        <f t="shared" si="21"/>
        <v>1400</v>
      </c>
      <c r="AW54" s="293">
        <f t="shared" si="21"/>
        <v>1400</v>
      </c>
      <c r="AX54" s="293">
        <f t="shared" si="21"/>
        <v>1400</v>
      </c>
      <c r="AY54" s="293">
        <f t="shared" si="21"/>
        <v>1400</v>
      </c>
      <c r="AZ54" s="293">
        <f t="shared" si="21"/>
        <v>1400</v>
      </c>
      <c r="BA54" s="293">
        <f t="shared" si="21"/>
        <v>1400</v>
      </c>
      <c r="BB54" s="293">
        <f t="shared" si="21"/>
        <v>1332</v>
      </c>
      <c r="BD54" s="292">
        <f t="shared" si="11"/>
        <v>0</v>
      </c>
    </row>
    <row r="55" spans="1:56" x14ac:dyDescent="0.25">
      <c r="A55" s="288" t="s">
        <v>142</v>
      </c>
      <c r="B55" s="247" t="str">
        <f>VLOOKUP(A55,'DFP-Com'!$A$16:$B$50,2,1)</f>
        <v xml:space="preserve">     4.1.b  Travel*</v>
      </c>
      <c r="C55" s="288" t="s">
        <v>184</v>
      </c>
      <c r="D55" s="227">
        <v>35000</v>
      </c>
      <c r="G55" s="295">
        <v>0</v>
      </c>
      <c r="H55" s="310">
        <v>4000</v>
      </c>
      <c r="I55" s="295">
        <v>2500</v>
      </c>
      <c r="J55" s="295">
        <v>2500</v>
      </c>
      <c r="K55" s="295">
        <v>2500</v>
      </c>
      <c r="L55" s="295">
        <v>3500</v>
      </c>
      <c r="M55" s="295">
        <v>2500</v>
      </c>
      <c r="N55" s="295">
        <v>2500</v>
      </c>
      <c r="O55" s="295">
        <v>2500</v>
      </c>
      <c r="P55" s="295">
        <v>2500</v>
      </c>
      <c r="Q55" s="295">
        <v>2500</v>
      </c>
      <c r="R55" s="295">
        <v>2500</v>
      </c>
      <c r="S55" s="295">
        <v>2500</v>
      </c>
      <c r="T55" s="295">
        <v>2500</v>
      </c>
      <c r="U55" s="295">
        <f t="shared" si="15"/>
        <v>35000</v>
      </c>
      <c r="X55" s="242">
        <f t="shared" si="20"/>
        <v>0</v>
      </c>
      <c r="Y55" s="293">
        <f t="shared" si="20"/>
        <v>0</v>
      </c>
      <c r="Z55" s="293">
        <f t="shared" si="20"/>
        <v>4000</v>
      </c>
      <c r="AA55" s="293">
        <f t="shared" si="20"/>
        <v>2500</v>
      </c>
      <c r="AB55" s="293">
        <f t="shared" si="20"/>
        <v>2500</v>
      </c>
      <c r="AC55" s="293">
        <f t="shared" si="20"/>
        <v>2500</v>
      </c>
      <c r="AD55" s="293">
        <f t="shared" si="20"/>
        <v>3500</v>
      </c>
      <c r="AE55" s="293">
        <f t="shared" si="20"/>
        <v>2500</v>
      </c>
      <c r="AF55" s="293">
        <f t="shared" si="20"/>
        <v>2500</v>
      </c>
      <c r="AG55" s="293">
        <f t="shared" si="20"/>
        <v>2500</v>
      </c>
      <c r="AH55" s="293">
        <f t="shared" si="20"/>
        <v>2500</v>
      </c>
      <c r="AI55" s="293">
        <f t="shared" si="20"/>
        <v>2500</v>
      </c>
      <c r="AJ55" s="293">
        <f t="shared" si="20"/>
        <v>2500</v>
      </c>
      <c r="AK55" s="293">
        <f t="shared" si="20"/>
        <v>2500</v>
      </c>
      <c r="AL55" s="293">
        <f t="shared" si="20"/>
        <v>2500</v>
      </c>
      <c r="AM55" s="232"/>
      <c r="AN55" s="293">
        <f>X55</f>
        <v>0</v>
      </c>
      <c r="AO55" s="293">
        <f t="shared" si="21"/>
        <v>0</v>
      </c>
      <c r="AP55" s="293">
        <f t="shared" si="21"/>
        <v>4000</v>
      </c>
      <c r="AQ55" s="293">
        <f t="shared" si="21"/>
        <v>2500</v>
      </c>
      <c r="AR55" s="293">
        <f t="shared" si="21"/>
        <v>2500</v>
      </c>
      <c r="AS55" s="293">
        <f t="shared" si="21"/>
        <v>2500</v>
      </c>
      <c r="AT55" s="293">
        <f t="shared" si="21"/>
        <v>3500</v>
      </c>
      <c r="AU55" s="293">
        <f t="shared" si="21"/>
        <v>2500</v>
      </c>
      <c r="AV55" s="293">
        <f t="shared" si="21"/>
        <v>2500</v>
      </c>
      <c r="AW55" s="293">
        <f t="shared" si="21"/>
        <v>2500</v>
      </c>
      <c r="AX55" s="293">
        <f t="shared" si="21"/>
        <v>2500</v>
      </c>
      <c r="AY55" s="293">
        <f t="shared" si="21"/>
        <v>2500</v>
      </c>
      <c r="AZ55" s="293">
        <f t="shared" si="21"/>
        <v>2500</v>
      </c>
      <c r="BA55" s="293">
        <f t="shared" si="21"/>
        <v>2500</v>
      </c>
      <c r="BB55" s="293">
        <f t="shared" si="21"/>
        <v>2500</v>
      </c>
      <c r="BD55" s="292">
        <f t="shared" si="11"/>
        <v>0</v>
      </c>
    </row>
    <row r="56" spans="1:56" s="238" customFormat="1" x14ac:dyDescent="0.25">
      <c r="A56" s="239"/>
      <c r="D56" s="240"/>
      <c r="H56" s="311"/>
      <c r="U56" s="241"/>
      <c r="V56" s="288"/>
      <c r="W56" s="288"/>
      <c r="X56" s="235"/>
      <c r="Y56" s="235"/>
      <c r="Z56" s="235"/>
      <c r="AA56" s="235"/>
      <c r="AB56" s="235"/>
      <c r="AC56" s="235"/>
      <c r="AD56" s="235"/>
      <c r="AE56" s="235"/>
      <c r="AF56" s="235"/>
      <c r="AG56" s="235"/>
      <c r="AH56" s="235"/>
      <c r="AI56" s="235"/>
      <c r="AJ56" s="235"/>
      <c r="AK56" s="235"/>
      <c r="AL56" s="235"/>
    </row>
    <row r="57" spans="1:56" x14ac:dyDescent="0.25">
      <c r="B57" s="231" t="s">
        <v>207</v>
      </c>
      <c r="D57" s="242">
        <f>SUM(D4:D55)</f>
        <v>23584570</v>
      </c>
      <c r="E57" s="231"/>
      <c r="F57" s="231"/>
      <c r="G57" s="231"/>
      <c r="H57" s="312"/>
      <c r="I57" s="231"/>
      <c r="J57" s="231"/>
      <c r="K57" s="231"/>
      <c r="L57" s="231"/>
      <c r="M57" s="231"/>
      <c r="N57" s="231"/>
      <c r="O57" s="231"/>
      <c r="P57" s="231"/>
      <c r="Q57" s="231"/>
      <c r="R57" s="231"/>
      <c r="T57" s="231"/>
      <c r="U57" s="231"/>
      <c r="X57" s="292" t="s">
        <v>102</v>
      </c>
    </row>
    <row r="58" spans="1:56" x14ac:dyDescent="0.25">
      <c r="D58" s="245"/>
      <c r="E58" s="246"/>
      <c r="F58" s="246"/>
      <c r="G58" s="246"/>
      <c r="H58" s="311"/>
      <c r="I58" s="246"/>
      <c r="J58" s="246"/>
      <c r="K58" s="246"/>
      <c r="L58" s="246"/>
      <c r="M58" s="246"/>
      <c r="N58" s="246"/>
      <c r="O58" s="246"/>
      <c r="P58" s="246"/>
      <c r="Q58" s="246"/>
      <c r="R58" s="246"/>
      <c r="S58" s="246"/>
      <c r="T58" s="246"/>
      <c r="U58" s="246"/>
      <c r="X58" s="292"/>
    </row>
    <row r="59" spans="1:56" x14ac:dyDescent="0.25">
      <c r="A59" s="288" t="s">
        <v>126</v>
      </c>
      <c r="B59" s="534" t="str">
        <f>VLOOKUP(A59,'DFP-Com'!$A$16:$B$50,2,1)</f>
        <v xml:space="preserve">     1.1.a  Education Project Implementation Contract</v>
      </c>
      <c r="C59" s="534"/>
      <c r="D59" s="227">
        <f>SUMIF($A$4:$A$56,"="&amp;A59,$D$4:$D$56)</f>
        <v>8700000</v>
      </c>
    </row>
    <row r="60" spans="1:56" x14ac:dyDescent="0.25">
      <c r="A60" s="288" t="s">
        <v>127</v>
      </c>
      <c r="B60" s="534" t="str">
        <f>VLOOKUP(A60,'DFP-Com'!$A$16:$B$50,2,1)</f>
        <v xml:space="preserve">     1.1.b  Grants to Universities for Teacher Training (Diplomados)</v>
      </c>
      <c r="C60" s="534"/>
      <c r="D60" s="227">
        <f>SUMIF($A$4:$A$56,"="&amp;A60,$D$4:$D$56)</f>
        <v>3000000</v>
      </c>
    </row>
    <row r="61" spans="1:56" x14ac:dyDescent="0.25">
      <c r="A61" s="288" t="s">
        <v>129</v>
      </c>
      <c r="B61" s="534" t="str">
        <f>VLOOKUP(A61,'DFP-Com'!$A$16:$B$50,2,1)</f>
        <v xml:space="preserve">     1.2.a  TVET</v>
      </c>
      <c r="C61" s="534"/>
      <c r="D61" s="227">
        <f>SUMIF($A$4:$A$56,"="&amp;A61,$D$4:$D$56)</f>
        <v>4144000</v>
      </c>
    </row>
    <row r="62" spans="1:56" x14ac:dyDescent="0.25">
      <c r="A62" s="288" t="s">
        <v>130</v>
      </c>
      <c r="B62" s="534" t="str">
        <f>VLOOKUP(A62,'DFP-Com'!$A$16:$B$50,2,1)</f>
        <v xml:space="preserve">     1.3.a  Education Project Implementation Contract</v>
      </c>
      <c r="C62" s="534"/>
      <c r="D62" s="227">
        <f>SUMIF($A$4:$A$56,"="&amp;A62,$D$4:$D$56)</f>
        <v>2500000</v>
      </c>
    </row>
    <row r="63" spans="1:56" x14ac:dyDescent="0.25">
      <c r="A63" s="288" t="s">
        <v>131</v>
      </c>
      <c r="B63" s="534" t="str">
        <f>VLOOKUP(A63,'DFP-Com'!$A$16:$B$50,2,1)</f>
        <v xml:space="preserve">     1.3.b  Education Project Coordination team*</v>
      </c>
      <c r="C63" s="534"/>
      <c r="D63" s="227">
        <f>SUMIF($A$4:$A$56,"="&amp;A63,$D$4:$D$56)</f>
        <v>178400</v>
      </c>
    </row>
    <row r="64" spans="1:56" x14ac:dyDescent="0.25">
      <c r="B64" s="297" t="s">
        <v>224</v>
      </c>
      <c r="C64" s="297"/>
      <c r="D64" s="298">
        <f>SUM(D59:D63)</f>
        <v>18522400</v>
      </c>
      <c r="E64" s="234">
        <f>'QFR - B'!H14</f>
        <v>19346000</v>
      </c>
      <c r="F64" s="292">
        <f>E64-D64</f>
        <v>823600</v>
      </c>
    </row>
    <row r="65" spans="1:6" x14ac:dyDescent="0.25">
      <c r="A65" s="288" t="s">
        <v>133</v>
      </c>
      <c r="B65" s="534" t="str">
        <f>VLOOKUP(A65,'DFP-Com'!$A$16:$B$50,2,1)</f>
        <v xml:space="preserve">     2.1.a  Tax and Customs</v>
      </c>
      <c r="C65" s="534"/>
      <c r="D65" s="227">
        <f>SUMIF($A$4:$A$56,"="&amp;A65,$D$4:$D$56)</f>
        <v>384000</v>
      </c>
    </row>
    <row r="66" spans="1:6" x14ac:dyDescent="0.25">
      <c r="B66" s="297" t="s">
        <v>225</v>
      </c>
      <c r="C66" s="297"/>
      <c r="D66" s="299">
        <f>D65</f>
        <v>384000</v>
      </c>
      <c r="E66" s="234">
        <f>'QFR - B'!H20</f>
        <v>800000</v>
      </c>
      <c r="F66" s="292">
        <f>E66-D66</f>
        <v>416000</v>
      </c>
    </row>
    <row r="67" spans="1:6" x14ac:dyDescent="0.25">
      <c r="A67" s="288" t="s">
        <v>134</v>
      </c>
      <c r="B67" s="534" t="str">
        <f>VLOOKUP(A67,'DFP-Com'!$A$16:$B$50,2,1)</f>
        <v xml:space="preserve">     2.2.a  Advisors</v>
      </c>
      <c r="C67" s="534"/>
      <c r="D67" s="227">
        <f>SUMIF($A$4:$A$56,"="&amp;A67,$D$4:$D$56)</f>
        <v>728750</v>
      </c>
    </row>
    <row r="68" spans="1:6" x14ac:dyDescent="0.25">
      <c r="A68" s="288" t="s">
        <v>135</v>
      </c>
      <c r="B68" s="534" t="str">
        <f>VLOOKUP(A68,'DFP-Com'!$A$16:$B$50,2,1)</f>
        <v xml:space="preserve">     2.2.b  Feasiblity Studies/  Transaction Advisory Services</v>
      </c>
      <c r="C68" s="534"/>
      <c r="D68" s="227">
        <f>SUMIF($A$4:$A$56,"="&amp;A68,$D$4:$D$56)</f>
        <v>1650000</v>
      </c>
    </row>
    <row r="69" spans="1:6" x14ac:dyDescent="0.25">
      <c r="B69" s="297" t="s">
        <v>226</v>
      </c>
      <c r="C69" s="297"/>
      <c r="D69" s="299">
        <f>SUM(D67:D68)</f>
        <v>2378750</v>
      </c>
      <c r="E69" s="234">
        <f>'QFR - B'!H21</f>
        <v>3560000</v>
      </c>
      <c r="F69" s="292">
        <f>E69-D69</f>
        <v>1181250</v>
      </c>
    </row>
    <row r="70" spans="1:6" x14ac:dyDescent="0.25">
      <c r="A70" s="288" t="s">
        <v>137</v>
      </c>
      <c r="B70" s="534" t="str">
        <f>VLOOKUP(A70,'DFP-Com'!$A$16:$B$50,2,1)</f>
        <v xml:space="preserve">     3.1.a  Student Assessment</v>
      </c>
      <c r="C70" s="534"/>
      <c r="D70" s="227">
        <f>SUMIF($A$4:$A$56,"="&amp;A70,$D$4:$D$56)</f>
        <v>706400</v>
      </c>
    </row>
    <row r="71" spans="1:6" x14ac:dyDescent="0.25">
      <c r="A71" s="288" t="s">
        <v>138</v>
      </c>
      <c r="B71" s="534" t="str">
        <f>VLOOKUP(A71,'DFP-Com'!$A$16:$B$50,2,1)</f>
        <v xml:space="preserve">     3.1.b  Teacher Evaluations</v>
      </c>
      <c r="C71" s="534"/>
      <c r="D71" s="227">
        <f>SUMIF($A$4:$A$56,"="&amp;A71,$D$4:$D$56)</f>
        <v>300000</v>
      </c>
    </row>
    <row r="72" spans="1:6" x14ac:dyDescent="0.25">
      <c r="A72" s="288" t="s">
        <v>139</v>
      </c>
      <c r="B72" s="534" t="str">
        <f>VLOOKUP(A72,'DFP-Com'!$A$16:$B$50,2,1)</f>
        <v xml:space="preserve">     3.1.c  Voc Ed Tracer Studies</v>
      </c>
      <c r="C72" s="534"/>
      <c r="D72" s="227">
        <f>SUMIF($A$4:$A$56,"="&amp;A72,$D$4:$D$56)</f>
        <v>300000</v>
      </c>
    </row>
    <row r="73" spans="1:6" x14ac:dyDescent="0.25">
      <c r="A73" s="288" t="s">
        <v>140</v>
      </c>
      <c r="B73" s="534" t="str">
        <f>VLOOKUP(A73,'DFP-Com'!$A$16:$B$50,2,1)</f>
        <v xml:space="preserve">     3.1 d Other</v>
      </c>
      <c r="C73" s="534"/>
      <c r="D73" s="227">
        <f>SUMIF($A$4:$A$56,"="&amp;A73,$D$4:$D$56)</f>
        <v>200000</v>
      </c>
    </row>
    <row r="74" spans="1:6" x14ac:dyDescent="0.25">
      <c r="B74" s="297" t="s">
        <v>206</v>
      </c>
      <c r="C74" s="297"/>
      <c r="D74" s="299">
        <f>SUM(D70:D73)</f>
        <v>1506400</v>
      </c>
      <c r="E74" s="234">
        <f>'QFR - B'!H24</f>
        <v>1431000</v>
      </c>
      <c r="F74" s="292">
        <f>E74-D74</f>
        <v>-75400</v>
      </c>
    </row>
    <row r="75" spans="1:6" x14ac:dyDescent="0.25">
      <c r="A75" s="288" t="s">
        <v>141</v>
      </c>
      <c r="B75" s="534" t="str">
        <f>VLOOKUP(A75,'DFP-Com'!$A$16:$B$50,2,1)</f>
        <v xml:space="preserve">     4.1.a  Staff Compensation*</v>
      </c>
      <c r="C75" s="534"/>
      <c r="D75" s="227">
        <f>SUMIF($A$4:$A$56,"="&amp;A75,$D$4:$D$56)</f>
        <v>636520</v>
      </c>
    </row>
    <row r="76" spans="1:6" x14ac:dyDescent="0.25">
      <c r="A76" s="288" t="s">
        <v>142</v>
      </c>
      <c r="B76" s="534" t="str">
        <f>VLOOKUP(A76,'DFP-Com'!$A$16:$B$50,2,1)</f>
        <v xml:space="preserve">     4.1.b  Travel*</v>
      </c>
      <c r="C76" s="534"/>
      <c r="D76" s="227">
        <f>SUMIF($A$4:$A$56,"="&amp;A76,$D$4:$D$56)</f>
        <v>35000</v>
      </c>
    </row>
    <row r="77" spans="1:6" x14ac:dyDescent="0.25">
      <c r="A77" s="288" t="s">
        <v>143</v>
      </c>
      <c r="B77" s="534" t="str">
        <f>VLOOKUP(A77,'DFP-Com'!$A$16:$B$50,2,1)</f>
        <v xml:space="preserve">     4.1.c  Audit</v>
      </c>
      <c r="C77" s="534"/>
      <c r="D77" s="227">
        <f>SUMIF($A$4:$A$56,"="&amp;A77,$D$4:$D$56)</f>
        <v>90000</v>
      </c>
    </row>
    <row r="78" spans="1:6" x14ac:dyDescent="0.25">
      <c r="A78" s="288" t="s">
        <v>144</v>
      </c>
      <c r="B78" s="534" t="str">
        <f>VLOOKUP(A78,'DFP-Com'!$A$16:$B$50,2,1)</f>
        <v xml:space="preserve">     4.1.d  Other</v>
      </c>
      <c r="C78" s="534"/>
      <c r="D78" s="227">
        <f>SUMIF($A$4:$A$56,"="&amp;A78,$D$4:$D$56)</f>
        <v>31500</v>
      </c>
    </row>
    <row r="79" spans="1:6" x14ac:dyDescent="0.25">
      <c r="B79" s="297" t="s">
        <v>227</v>
      </c>
      <c r="C79" s="297"/>
      <c r="D79" s="299">
        <f>SUM(D75:D78)</f>
        <v>793020</v>
      </c>
      <c r="E79" s="234">
        <f>'QFR - B'!H27</f>
        <v>1060500</v>
      </c>
      <c r="F79" s="292">
        <f>E79-D79</f>
        <v>267480</v>
      </c>
    </row>
  </sheetData>
  <autoFilter ref="A3:BD38"/>
  <mergeCells count="16">
    <mergeCell ref="B65:C65"/>
    <mergeCell ref="B59:C59"/>
    <mergeCell ref="B60:C60"/>
    <mergeCell ref="B61:C61"/>
    <mergeCell ref="B62:C62"/>
    <mergeCell ref="B63:C63"/>
    <mergeCell ref="B75:C75"/>
    <mergeCell ref="B76:C76"/>
    <mergeCell ref="B77:C77"/>
    <mergeCell ref="B78:C78"/>
    <mergeCell ref="B67:C67"/>
    <mergeCell ref="B68:C68"/>
    <mergeCell ref="B70:C70"/>
    <mergeCell ref="B71:C71"/>
    <mergeCell ref="B72:C72"/>
    <mergeCell ref="B73:C7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4.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C1C87B-2292-46AA-AF9B-7AA0FD922DE1}">
  <ds:schemaRefs>
    <ds:schemaRef ds:uri="http://schemas.microsoft.com/sharepoint/v3/contenttype/forms"/>
  </ds:schemaRefs>
</ds:datastoreItem>
</file>

<file path=customXml/itemProps2.xml><?xml version="1.0" encoding="utf-8"?>
<ds:datastoreItem xmlns:ds="http://schemas.openxmlformats.org/officeDocument/2006/customXml" ds:itemID="{138D9C3E-8C92-4208-8A5B-5D97F1107407}">
  <ds:schemaRefs>
    <ds:schemaRef ds:uri="http://schemas.microsoft.com/sharepoint/events"/>
  </ds:schemaRefs>
</ds:datastoreItem>
</file>

<file path=customXml/itemProps3.xml><?xml version="1.0" encoding="utf-8"?>
<ds:datastoreItem xmlns:ds="http://schemas.openxmlformats.org/officeDocument/2006/customXml" ds:itemID="{2A3C046C-33C0-43F6-B7B3-4A615857768F}">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d3b91ed5-3f36-4885-8f16-366304d6a523"/>
    <ds:schemaRef ds:uri="c6aa829a-de30-4eeb-a917-5f1e16f11f75"/>
    <ds:schemaRef ds:uri="133de3ae-5bb8-4cbb-9752-c1040d721e37"/>
    <ds:schemaRef ds:uri="http://www.w3.org/XML/1998/namespace"/>
    <ds:schemaRef ds:uri="http://purl.org/dc/dcmitype/"/>
  </ds:schemaRefs>
</ds:datastoreItem>
</file>

<file path=customXml/itemProps4.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DFP-Com</vt:lpstr>
      <vt:lpstr>DFP-CASH</vt:lpstr>
      <vt:lpstr>QFR - A</vt:lpstr>
      <vt:lpstr>QFR - B</vt:lpstr>
      <vt:lpstr>THP DR</vt:lpstr>
      <vt:lpstr>Contract level</vt:lpstr>
      <vt:lpstr>Error checks</vt:lpstr>
      <vt:lpstr>Historico</vt:lpstr>
      <vt:lpstr>'DFP-CASH'!Área_de_impresión</vt:lpstr>
      <vt:lpstr>'DFP-Com'!Área_de_impresión</vt:lpstr>
    </vt:vector>
  </TitlesOfParts>
  <Company>MCC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Wingle, John F (DPE/POL-CPI)</dc:creator>
  <cp:lastModifiedBy>Josué Ricart</cp:lastModifiedBy>
  <cp:lastPrinted>2019-09-11T17:36:31Z</cp:lastPrinted>
  <dcterms:created xsi:type="dcterms:W3CDTF">2016-05-12T16:21:20Z</dcterms:created>
  <dcterms:modified xsi:type="dcterms:W3CDTF">2021-12-21T04:07:21Z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