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43816" yWindow="65416" windowWidth="21840" windowHeight="13140" activeTab="1"/>
  </bookViews>
  <sheets>
    <sheet name="DFP-Com" sheetId="1" r:id="rId1"/>
    <sheet name="DFP-CASH" sheetId="2" r:id="rId2"/>
    <sheet name="QFR - A" sheetId="3" r:id="rId3"/>
    <sheet name="QFR - B" sheetId="4" r:id="rId4"/>
    <sheet name="THP DR" sheetId="5" r:id="rId5"/>
    <sheet name="Contract level" sheetId="6" state="hidden" r:id="rId6"/>
    <sheet name="Error checks" sheetId="7" state="hidden" r:id="rId7"/>
    <sheet name="Historico" sheetId="9" state="hidden" r:id="rId8"/>
  </sheets>
  <externalReferences>
    <externalReference r:id="rId11"/>
  </externalReferences>
  <definedNames>
    <definedName name="_xlnm._FilterDatabase" localSheetId="5" hidden="1">'Contract level'!$A$3:$BR$164</definedName>
    <definedName name="_xlnm._FilterDatabase" localSheetId="7" hidden="1">'Historico'!$A$3:$BD$38</definedName>
    <definedName name="_xlnm.Print_Area" localSheetId="1">'DFP-CASH'!$B$11:$Q$54</definedName>
    <definedName name="_xlnm.Print_Area" localSheetId="0">'DFP-Com'!$B$9:$Q$52</definedName>
    <definedName name="ScheduleA" localSheetId="7">#REF!</definedName>
    <definedName name="ScheduleA">#REF!</definedName>
    <definedName name="ScheduleB" localSheetId="7">#REF!</definedName>
    <definedName name="ScheduleB">#REF!</definedName>
    <definedName name="ScheduleF" localSheetId="7">#REF!</definedName>
    <definedName name="ScheduleF">#REF!</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comments6.xml><?xml version="1.0" encoding="utf-8"?>
<comments xmlns="http://schemas.openxmlformats.org/spreadsheetml/2006/main">
  <authors>
    <author>Josue Andreé Ricart Vásquez</author>
  </authors>
  <commentList>
    <comment ref="C4" authorId="0">
      <text>
        <r>
          <rPr>
            <b/>
            <sz val="9"/>
            <rFont val="Tahoma"/>
            <family val="2"/>
          </rPr>
          <t>Josue Andreé Ricart Vásquez:</t>
        </r>
        <r>
          <rPr>
            <sz val="9"/>
            <rFont val="Tahoma"/>
            <family val="2"/>
          </rPr>
          <t xml:space="preserve">
FHI</t>
        </r>
      </text>
    </comment>
    <comment ref="C6" authorId="0">
      <text>
        <r>
          <rPr>
            <b/>
            <sz val="9"/>
            <rFont val="Tahoma"/>
            <family val="2"/>
          </rPr>
          <t>Josue Andreé Ricart Vásquez:</t>
        </r>
        <r>
          <rPr>
            <sz val="9"/>
            <rFont val="Tahoma"/>
            <family val="2"/>
          </rPr>
          <t xml:space="preserve">
Universidades Programas de Formación</t>
        </r>
      </text>
    </comment>
    <comment ref="D6" authorId="0">
      <text>
        <r>
          <rPr>
            <b/>
            <sz val="9"/>
            <rFont val="Tahoma"/>
            <family val="2"/>
          </rPr>
          <t>Josue Andreé Ricart Vásquez:</t>
        </r>
        <r>
          <rPr>
            <sz val="9"/>
            <rFont val="Tahoma"/>
            <family val="2"/>
          </rPr>
          <t xml:space="preserve">
Cambia de 3M a 4M ya *****
ADJUDICADO***
UPANA 1,185,760.00
INTERNACIONES 1,866,155.00
UNIVERSIDAD DEL VALLE 972,082.83</t>
        </r>
      </text>
    </comment>
    <comment ref="C11" authorId="0">
      <text>
        <r>
          <rPr>
            <b/>
            <sz val="9"/>
            <rFont val="Tahoma"/>
            <family val="2"/>
          </rPr>
          <t>Josue Andreé Ricart Vásquez:</t>
        </r>
        <r>
          <rPr>
            <sz val="9"/>
            <rFont val="Tahoma"/>
            <family val="2"/>
          </rPr>
          <t xml:space="preserve">
Firma Consultora para la Revisión de dos carreras y creación de dos nuevas ENCA</t>
        </r>
      </text>
    </comment>
    <comment ref="D11" authorId="0">
      <text>
        <r>
          <rPr>
            <b/>
            <sz val="9"/>
            <rFont val="Tahoma"/>
            <family val="2"/>
          </rPr>
          <t>Josue Andreé Ricart Vásquez:</t>
        </r>
        <r>
          <rPr>
            <sz val="9"/>
            <rFont val="Tahoma"/>
            <family val="2"/>
          </rPr>
          <t xml:space="preserve">
actualizar a 1,200,000.00
actualizado
</t>
        </r>
      </text>
    </comment>
    <comment ref="D12" authorId="0">
      <text>
        <r>
          <rPr>
            <b/>
            <sz val="9"/>
            <rFont val="Tahoma"/>
            <family val="2"/>
          </rPr>
          <t>Josue Andreé Ricart Vásquez:</t>
        </r>
        <r>
          <rPr>
            <sz val="9"/>
            <rFont val="Tahoma"/>
            <family val="2"/>
          </rPr>
          <t xml:space="preserve">
No tienen información sobre para cuando exactamente
</t>
        </r>
      </text>
    </comment>
    <comment ref="D13" authorId="0">
      <text>
        <r>
          <rPr>
            <b/>
            <sz val="9"/>
            <rFont val="Tahoma"/>
            <family val="2"/>
          </rPr>
          <t>Josue Andreé Ricart Vásquez:</t>
        </r>
        <r>
          <rPr>
            <sz val="9"/>
            <rFont val="Tahoma"/>
            <family val="2"/>
          </rPr>
          <t xml:space="preserve">
no saben el monto exacto, liseth dice un monto pero no se sabe, mejor asi como está, se estima que se van a pagar en noviembre</t>
        </r>
      </text>
    </comment>
    <comment ref="D15" authorId="0">
      <text>
        <r>
          <rPr>
            <b/>
            <sz val="9"/>
            <rFont val="Tahoma"/>
            <family val="2"/>
          </rPr>
          <t>Josue Andreé Ricart Vásquez:</t>
        </r>
        <r>
          <rPr>
            <sz val="9"/>
            <rFont val="Tahoma"/>
            <family val="2"/>
          </rPr>
          <t xml:space="preserve">
Liseth comentó que no se sabe si se va a dar o no</t>
        </r>
      </text>
    </comment>
    <comment ref="D18" authorId="0">
      <text>
        <r>
          <rPr>
            <b/>
            <sz val="9"/>
            <rFont val="Tahoma"/>
            <family val="2"/>
          </rPr>
          <t>Josue Andreé Ricart Vásquez:</t>
        </r>
        <r>
          <rPr>
            <sz val="9"/>
            <rFont val="Tahoma"/>
            <family val="2"/>
          </rPr>
          <t xml:space="preserve">
solo 35,000 resto pasar a otra linea de los 90000 iniciales</t>
        </r>
      </text>
    </comment>
    <comment ref="D19" authorId="0">
      <text>
        <r>
          <rPr>
            <b/>
            <sz val="9"/>
            <rFont val="Tahoma"/>
            <family val="2"/>
          </rPr>
          <t>Josue Andreé Ricart Vásquez:</t>
        </r>
        <r>
          <rPr>
            <sz val="9"/>
            <rFont val="Tahoma"/>
            <family val="2"/>
          </rPr>
          <t xml:space="preserve">
inicialmente tenía 90 oeri es necesario rebajar porque si no se desfinancia el componente.
Por rescición de contrato se rebaja el monto de 29954.00 a 1762.00</t>
        </r>
      </text>
    </comment>
    <comment ref="D20" authorId="0">
      <text>
        <r>
          <rPr>
            <b/>
            <sz val="9"/>
            <rFont val="Tahoma"/>
            <family val="2"/>
          </rPr>
          <t>Josue Andreé Ricart Vásquez:</t>
        </r>
        <r>
          <rPr>
            <sz val="9"/>
            <rFont val="Tahoma"/>
            <family val="2"/>
          </rPr>
          <t xml:space="preserve">
se hará un nuevo evento pero la propuesta que mas barato había ofertado fue por un monto de alrededor de 10,000 dólares mas que la que ganó anteriormente</t>
        </r>
      </text>
    </comment>
    <comment ref="C21" authorId="0">
      <text>
        <r>
          <rPr>
            <b/>
            <sz val="9"/>
            <rFont val="Tahoma"/>
            <family val="2"/>
          </rPr>
          <t>Josue Andreé Ricart Vásquez:</t>
        </r>
        <r>
          <rPr>
            <sz val="9"/>
            <rFont val="Tahoma"/>
            <family val="2"/>
          </rPr>
          <t xml:space="preserve">
FHI</t>
        </r>
      </text>
    </comment>
    <comment ref="C25" authorId="0">
      <text>
        <r>
          <rPr>
            <b/>
            <sz val="9"/>
            <rFont val="Tahoma"/>
            <family val="2"/>
          </rPr>
          <t>Josue Andreé Ricart Vásquez:</t>
        </r>
        <r>
          <rPr>
            <sz val="9"/>
            <rFont val="Tahoma"/>
            <family val="2"/>
          </rPr>
          <t xml:space="preserve">
PAGOS DICIEMBRE Y ENERO
</t>
        </r>
      </text>
    </comment>
    <comment ref="C26" authorId="0">
      <text>
        <r>
          <rPr>
            <b/>
            <sz val="9"/>
            <rFont val="Tahoma"/>
            <family val="2"/>
          </rPr>
          <t>Josue Andreé Ricart Vásquez:</t>
        </r>
        <r>
          <rPr>
            <sz val="9"/>
            <rFont val="Tahoma"/>
            <family val="2"/>
          </rPr>
          <t xml:space="preserve">
LAS DATABASE YA FUERON PAGADAS</t>
        </r>
      </text>
    </comment>
    <comment ref="C27" authorId="0">
      <text>
        <r>
          <rPr>
            <sz val="9"/>
            <rFont val="Tahoma"/>
            <family val="2"/>
          </rPr>
          <t>pagado</t>
        </r>
      </text>
    </comment>
    <comment ref="C29" authorId="0">
      <text>
        <r>
          <rPr>
            <b/>
            <sz val="9"/>
            <rFont val="Tahoma"/>
            <family val="2"/>
          </rPr>
          <t>Josue Andreé Ricart Vásquez:</t>
        </r>
        <r>
          <rPr>
            <sz val="9"/>
            <rFont val="Tahoma"/>
            <family val="2"/>
          </rPr>
          <t xml:space="preserve">
Lilian Merlo contrato 2018
</t>
        </r>
      </text>
    </comment>
    <comment ref="C31" authorId="0">
      <text>
        <r>
          <rPr>
            <b/>
            <sz val="9"/>
            <rFont val="Tahoma"/>
            <family val="2"/>
          </rPr>
          <t>Josue Andreé Ricart Vásquez:</t>
        </r>
        <r>
          <rPr>
            <sz val="9"/>
            <rFont val="Tahoma"/>
            <family val="2"/>
          </rPr>
          <t xml:space="preserve">
CONTRATACIONES 2018 Y PAGO DE FEBRERO 2018</t>
        </r>
      </text>
    </comment>
    <comment ref="D38" authorId="0">
      <text>
        <r>
          <rPr>
            <b/>
            <sz val="9"/>
            <rFont val="Tahoma"/>
            <family val="2"/>
          </rPr>
          <t>Josue Andreé Ricart Vásquez:</t>
        </r>
        <r>
          <rPr>
            <sz val="9"/>
            <rFont val="Tahoma"/>
            <family val="2"/>
          </rPr>
          <t xml:space="preserve">
se comenzará a pagar en octubre y se suscribirán a partir de octubre el y el de abajo</t>
        </r>
      </text>
    </comment>
    <comment ref="C43" authorId="0">
      <text>
        <r>
          <rPr>
            <b/>
            <sz val="9"/>
            <rFont val="Tahoma"/>
            <family val="2"/>
          </rPr>
          <t>Josue Andreé Ricart Vásquez:</t>
        </r>
        <r>
          <rPr>
            <sz val="9"/>
            <rFont val="Tahoma"/>
            <family val="2"/>
          </rPr>
          <t xml:space="preserve">
Lilian Merlo contrato 2018
</t>
        </r>
      </text>
    </comment>
    <comment ref="C45" authorId="0">
      <text>
        <r>
          <rPr>
            <b/>
            <sz val="9"/>
            <rFont val="Tahoma"/>
            <family val="2"/>
          </rPr>
          <t>investigadores de aduanas</t>
        </r>
        <r>
          <rPr>
            <sz val="9"/>
            <rFont val="Tahoma"/>
            <family val="2"/>
          </rPr>
          <t xml:space="preserve">
</t>
        </r>
      </text>
    </comment>
    <comment ref="C46" authorId="0">
      <text>
        <r>
          <rPr>
            <b/>
            <sz val="9"/>
            <rFont val="Tahoma"/>
            <family val="2"/>
          </rPr>
          <t>Josue Andreé Ricart Vásquez:</t>
        </r>
        <r>
          <rPr>
            <sz val="9"/>
            <rFont val="Tahoma"/>
            <family val="2"/>
          </rPr>
          <t xml:space="preserve">
ya fue pagado en su totalidad PU-MCC-002-2016</t>
        </r>
      </text>
    </comment>
    <comment ref="D48" authorId="0">
      <text>
        <r>
          <rPr>
            <b/>
            <sz val="9"/>
            <rFont val="Tahoma"/>
            <family val="2"/>
          </rPr>
          <t>Josue Andreé Ricart Vásquez:</t>
        </r>
        <r>
          <rPr>
            <sz val="9"/>
            <rFont val="Tahoma"/>
            <family val="2"/>
          </rPr>
          <t xml:space="preserve">
pago del q13 reprogramar all q14</t>
        </r>
      </text>
    </comment>
    <comment ref="C49" authorId="0">
      <text>
        <r>
          <rPr>
            <b/>
            <sz val="9"/>
            <rFont val="Tahoma"/>
            <family val="2"/>
          </rPr>
          <t>Josue Andreé Ricart Vásquez:</t>
        </r>
        <r>
          <rPr>
            <sz val="9"/>
            <rFont val="Tahoma"/>
            <family val="2"/>
          </rPr>
          <t xml:space="preserve">
MGO</t>
        </r>
      </text>
    </comment>
    <comment ref="C50" authorId="0">
      <text>
        <r>
          <rPr>
            <sz val="9"/>
            <rFont val="Tahoma"/>
            <family val="2"/>
          </rPr>
          <t>UNIVERSIDAD INTERNACIONES</t>
        </r>
      </text>
    </comment>
    <comment ref="C53" authorId="0">
      <text>
        <r>
          <rPr>
            <b/>
            <sz val="9"/>
            <rFont val="Tahoma"/>
            <family val="2"/>
          </rPr>
          <t>Josue Andreé Ricart Vásquez:</t>
        </r>
        <r>
          <rPr>
            <sz val="9"/>
            <rFont val="Tahoma"/>
            <family val="2"/>
          </rPr>
          <t xml:space="preserve">
Deloitte</t>
        </r>
      </text>
    </comment>
    <comment ref="D54" authorId="0">
      <text>
        <r>
          <rPr>
            <b/>
            <sz val="9"/>
            <rFont val="Tahoma"/>
            <family val="2"/>
          </rPr>
          <t>Josue Andreé Ricart Vásquez:</t>
        </r>
        <r>
          <rPr>
            <sz val="9"/>
            <rFont val="Tahoma"/>
            <family val="2"/>
          </rPr>
          <t xml:space="preserve">
no se va a pagar nada este trimestre</t>
        </r>
      </text>
    </comment>
    <comment ref="D55" authorId="0">
      <text>
        <r>
          <rPr>
            <b/>
            <sz val="9"/>
            <rFont val="Tahoma"/>
            <family val="2"/>
          </rPr>
          <t>Josue Andreé Ricart Vásquez:</t>
        </r>
        <r>
          <rPr>
            <sz val="9"/>
            <rFont val="Tahoma"/>
            <family val="2"/>
          </rPr>
          <t xml:space="preserve">
Este monto surgió de una rebaja en el monto estimado de Metro Riel, ya que al momento de realizar la SD no se tenían monto suficiente para cubrir este compromiso.</t>
        </r>
      </text>
    </comment>
    <comment ref="C56" authorId="0">
      <text>
        <r>
          <rPr>
            <sz val="9"/>
            <rFont val="Tahoma"/>
            <family val="2"/>
          </rPr>
          <t xml:space="preserve">Probablemente Sergio Bravo
</t>
        </r>
      </text>
    </comment>
    <comment ref="D58" authorId="0">
      <text>
        <r>
          <rPr>
            <b/>
            <sz val="9"/>
            <rFont val="Tahoma"/>
            <family val="2"/>
          </rPr>
          <t>Josue Andreé Ricart Vásquez:</t>
        </r>
        <r>
          <rPr>
            <sz val="9"/>
            <rFont val="Tahoma"/>
            <family val="2"/>
          </rPr>
          <t xml:space="preserve">
reprogramar 2020</t>
        </r>
      </text>
    </comment>
    <comment ref="C59" authorId="0">
      <text>
        <r>
          <rPr>
            <b/>
            <sz val="9"/>
            <rFont val="Tahoma"/>
            <family val="2"/>
          </rPr>
          <t>Josue Andreé Ricart Vásquez:</t>
        </r>
        <r>
          <rPr>
            <sz val="9"/>
            <rFont val="Tahoma"/>
            <family val="2"/>
          </rPr>
          <t xml:space="preserve">
ya están los terminos de referencia
están en proceso de evaluación 02/09/2019</t>
        </r>
      </text>
    </comment>
    <comment ref="D59" authorId="0">
      <text>
        <r>
          <rPr>
            <b/>
            <sz val="9"/>
            <rFont val="Tahoma"/>
            <family val="2"/>
          </rPr>
          <t>Josue Andreé Ricart Vásquez:</t>
        </r>
        <r>
          <rPr>
            <sz val="9"/>
            <rFont val="Tahoma"/>
            <family val="2"/>
          </rPr>
          <t xml:space="preserve">
ES NECESARIO REBAJAR EL MONTO POR 75,000 DEBIDO A LA CAPACITACIÓN QUE TENDRAN CONGRESISTAS DE GUATEMALA EN EL REINO UNIDO, CASO CONTRARIO SE DESFINANCIA EL PROYECTO.
***De acuerdo a una nueva gestión se dividirá en dos fases Metro Riel. la primera se tiene un estimado de 900,000. y de la segunda desconozco el monto aun.
según nueva información para el siguiente trimestre, estiman que el valor de la consultoría será de 1.3 millones (18 de febrero 2019)</t>
        </r>
      </text>
    </comment>
    <comment ref="C66" authorId="0">
      <text>
        <r>
          <rPr>
            <b/>
            <sz val="9"/>
            <rFont val="Tahoma"/>
            <family val="2"/>
          </rPr>
          <t>Josue Andreé Ricart Vásquez:</t>
        </r>
        <r>
          <rPr>
            <sz val="9"/>
            <rFont val="Tahoma"/>
            <family val="2"/>
          </rPr>
          <t xml:space="preserve">
incluye pago de corporación abiansha por 1652.68</t>
        </r>
      </text>
    </comment>
    <comment ref="C67" authorId="0">
      <text>
        <r>
          <rPr>
            <b/>
            <sz val="9"/>
            <rFont val="Tahoma"/>
            <family val="2"/>
          </rPr>
          <t>Josue Andreé Ricart Vásquez:</t>
        </r>
        <r>
          <rPr>
            <sz val="9"/>
            <rFont val="Tahoma"/>
            <family val="2"/>
          </rPr>
          <t xml:space="preserve">
Incluye pago de rustika</t>
        </r>
      </text>
    </comment>
    <comment ref="D68" authorId="0">
      <text>
        <r>
          <rPr>
            <b/>
            <sz val="9"/>
            <rFont val="Tahoma"/>
            <family val="2"/>
          </rPr>
          <t>Josue Andreé Ricart Vásquez:</t>
        </r>
        <r>
          <rPr>
            <sz val="9"/>
            <rFont val="Tahoma"/>
            <family val="2"/>
          </rPr>
          <t xml:space="preserve">
PARA LA ELABORACIÓN DEL Q13 CONSIGNAR VALOR PAGADO TOTAL DE 47118.49, PARA QUE AJUSTE CON MCDR DE ENERO</t>
        </r>
      </text>
    </comment>
    <comment ref="D69" authorId="0">
      <text>
        <r>
          <rPr>
            <b/>
            <sz val="9"/>
            <rFont val="Tahoma"/>
            <family val="2"/>
          </rPr>
          <t>Josue Andreé Ricart Vásquez:</t>
        </r>
        <r>
          <rPr>
            <sz val="9"/>
            <rFont val="Tahoma"/>
            <family val="2"/>
          </rPr>
          <t xml:space="preserve">
original 45,000, se dejó de utilizar 6498.00 se reversó</t>
        </r>
      </text>
    </comment>
    <comment ref="C74" authorId="0">
      <text>
        <r>
          <rPr>
            <sz val="9"/>
            <rFont val="Tahoma"/>
            <family val="2"/>
          </rPr>
          <t>Experto en escala vertical</t>
        </r>
      </text>
    </comment>
    <comment ref="C100" authorId="0">
      <text>
        <r>
          <rPr>
            <b/>
            <sz val="9"/>
            <rFont val="Tahoma"/>
            <family val="2"/>
          </rPr>
          <t>Josue Andreé Ricart Grupo Sega</t>
        </r>
      </text>
    </comment>
    <comment ref="C101" authorId="0">
      <text>
        <r>
          <rPr>
            <b/>
            <sz val="9"/>
            <rFont val="Tahoma"/>
            <family val="2"/>
          </rPr>
          <t>Josue Andreé Ricart Vásquez:</t>
        </r>
        <r>
          <rPr>
            <sz val="9"/>
            <rFont val="Tahoma"/>
            <family val="2"/>
          </rPr>
          <t xml:space="preserve">
Tecnasa</t>
        </r>
      </text>
    </comment>
    <comment ref="C102" authorId="0">
      <text>
        <r>
          <rPr>
            <b/>
            <sz val="9"/>
            <rFont val="Tahoma"/>
            <family val="2"/>
          </rPr>
          <t>Josue Andreé Ricart Vásquez:</t>
        </r>
        <r>
          <rPr>
            <sz val="9"/>
            <rFont val="Tahoma"/>
            <family val="2"/>
          </rPr>
          <t xml:space="preserve">
01-2017</t>
        </r>
      </text>
    </comment>
    <comment ref="C105" authorId="0">
      <text>
        <r>
          <rPr>
            <b/>
            <sz val="9"/>
            <rFont val="Tahoma"/>
            <family val="2"/>
          </rPr>
          <t>Josue Andreé Ricart Vásquez:</t>
        </r>
        <r>
          <rPr>
            <sz val="9"/>
            <rFont val="Tahoma"/>
            <family val="2"/>
          </rPr>
          <t xml:space="preserve">
Reparación Impresora</t>
        </r>
      </text>
    </comment>
    <comment ref="C108" authorId="0">
      <text>
        <r>
          <rPr>
            <b/>
            <sz val="9"/>
            <rFont val="Tahoma"/>
            <family val="2"/>
          </rPr>
          <t>Josue Andreé Ricart Vásquez:</t>
        </r>
        <r>
          <rPr>
            <sz val="9"/>
            <rFont val="Tahoma"/>
            <family val="2"/>
          </rPr>
          <t xml:space="preserve">
poliycom phone</t>
        </r>
      </text>
    </comment>
    <comment ref="C109" authorId="0">
      <text>
        <r>
          <rPr>
            <b/>
            <sz val="9"/>
            <rFont val="Tahoma"/>
            <family val="2"/>
          </rPr>
          <t>Josue Andreé Ricart Vásquez:</t>
        </r>
        <r>
          <rPr>
            <sz val="9"/>
            <rFont val="Tahoma"/>
            <family val="2"/>
          </rPr>
          <t xml:space="preserve">
compra de credenzas</t>
        </r>
      </text>
    </comment>
    <comment ref="C110" authorId="0">
      <text>
        <r>
          <rPr>
            <b/>
            <sz val="9"/>
            <rFont val="Tahoma"/>
            <family val="2"/>
          </rPr>
          <t>Josue Andreé Ricart Vásquez:</t>
        </r>
        <r>
          <rPr>
            <sz val="9"/>
            <rFont val="Tahoma"/>
            <family val="2"/>
          </rPr>
          <t xml:space="preserve">
PU-MCC-SNC-001-2016
</t>
        </r>
      </text>
    </comment>
    <comment ref="C111" authorId="0">
      <text>
        <r>
          <rPr>
            <b/>
            <sz val="9"/>
            <rFont val="Tahoma"/>
            <family val="2"/>
          </rPr>
          <t>Josue Andreé Ricart Vásquez:</t>
        </r>
        <r>
          <rPr>
            <sz val="9"/>
            <rFont val="Tahoma"/>
            <family val="2"/>
          </rPr>
          <t xml:space="preserve">
03-2017
</t>
        </r>
      </text>
    </comment>
    <comment ref="C113" authorId="0">
      <text>
        <r>
          <rPr>
            <b/>
            <sz val="9"/>
            <rFont val="Tahoma"/>
            <family val="2"/>
          </rPr>
          <t>Josue Andreé Ricart Vásquez:</t>
        </r>
        <r>
          <rPr>
            <sz val="9"/>
            <rFont val="Tahoma"/>
            <family val="2"/>
          </rPr>
          <t xml:space="preserve">
01-2018</t>
        </r>
      </text>
    </comment>
    <comment ref="BC123" authorId="0">
      <text>
        <r>
          <rPr>
            <b/>
            <sz val="9"/>
            <rFont val="Tahoma"/>
            <family val="2"/>
          </rPr>
          <t>Josue Andreé Ricart Vásquez:</t>
        </r>
        <r>
          <rPr>
            <sz val="9"/>
            <rFont val="Tahoma"/>
            <family val="2"/>
          </rPr>
          <t xml:space="preserve">
ojo se debe quitar un usd 1.00 solo ejecuto 24999
</t>
        </r>
      </text>
    </comment>
  </commentList>
</comments>
</file>

<file path=xl/sharedStrings.xml><?xml version="1.0" encoding="utf-8"?>
<sst xmlns="http://schemas.openxmlformats.org/spreadsheetml/2006/main" count="999" uniqueCount="287">
  <si>
    <t>Detailed Financial Plan - Commitments</t>
  </si>
  <si>
    <t>Country:</t>
  </si>
  <si>
    <t>Accountable Entity:</t>
  </si>
  <si>
    <t>Grant Number:</t>
  </si>
  <si>
    <t>Date Submitted:</t>
  </si>
  <si>
    <t>Quarter #</t>
  </si>
  <si>
    <t>Forecasted Commitments for -&gt;</t>
  </si>
  <si>
    <t>Cumulative</t>
  </si>
  <si>
    <t>Current Period</t>
  </si>
  <si>
    <t>Next Period</t>
  </si>
  <si>
    <t>TOTAL</t>
  </si>
  <si>
    <t>Variance</t>
  </si>
  <si>
    <t>Actual Cumulative Commitments at Beginning of Current Period</t>
  </si>
  <si>
    <t>Projected Commitments during Current Period</t>
  </si>
  <si>
    <t>Commitments As Currently Forecasted</t>
  </si>
  <si>
    <r>
      <t>Projections vs. Approved Plan Under /</t>
    </r>
    <r>
      <rPr>
        <b/>
        <sz val="10"/>
        <color indexed="53"/>
        <rFont val="Arial"/>
        <family val="2"/>
      </rPr>
      <t xml:space="preserve"> (Over)</t>
    </r>
    <r>
      <rPr>
        <b/>
        <sz val="10"/>
        <rFont val="Arial"/>
        <family val="2"/>
      </rPr>
      <t xml:space="preserve">
Budget
Difference</t>
    </r>
  </si>
  <si>
    <t>Date/Month/Quarter -&gt;</t>
  </si>
  <si>
    <t>TOTAL - M&amp;E</t>
  </si>
  <si>
    <t>Detailed Financial Plan - Cash</t>
  </si>
  <si>
    <t>Forecasted Cash for -&gt;</t>
  </si>
  <si>
    <t>Cash Disbursements As Currently Forecasted</t>
  </si>
  <si>
    <t>MCC Grant Quarterly Financial Report</t>
  </si>
  <si>
    <t>Schedule A.  Multi-Year Financial Plan Adjustment Request Form</t>
  </si>
  <si>
    <t>Amounts Expressed In US Dollars</t>
  </si>
  <si>
    <t>Original Program Multi-Year Financial Plan in Grant Agreement</t>
  </si>
  <si>
    <t xml:space="preserve">Current Approved Multi-Year Financial Plan </t>
  </si>
  <si>
    <t>Proposed Adjustments
(Display all #'s as positive)</t>
  </si>
  <si>
    <t>Proposed Adjusted Multi-Year Financial Plan</t>
  </si>
  <si>
    <t>(from Schedule B,
 Final Column)</t>
  </si>
  <si>
    <t>Increase (+)</t>
  </si>
  <si>
    <t>Decrease (-)</t>
  </si>
  <si>
    <t>(2+3-4)</t>
  </si>
  <si>
    <t>Grand Total</t>
  </si>
  <si>
    <t>Schedule B.  Summary of Multi-Year Financial Plan Adjustments to Date</t>
  </si>
  <si>
    <t>Amounts Expressed in US Dollars</t>
  </si>
  <si>
    <t>DISBURSEMENT REQUEST</t>
  </si>
  <si>
    <t xml:space="preserve">THRESHOLD PROGRAM GRANT AGREEMENT </t>
  </si>
  <si>
    <t>Country</t>
  </si>
  <si>
    <t>Projects</t>
  </si>
  <si>
    <t>Threshold Program Grant Agreement Date/ Entry into Force Date</t>
  </si>
  <si>
    <t xml:space="preserve">Threshold Program Number </t>
  </si>
  <si>
    <t>Accountable Entity</t>
  </si>
  <si>
    <t>Fiscal Agent</t>
  </si>
  <si>
    <t>Request Date</t>
  </si>
  <si>
    <t>Disbursement Period Beginning Date</t>
  </si>
  <si>
    <t>Disbursement Period Ending Date</t>
  </si>
  <si>
    <t>Disbursement Number</t>
  </si>
  <si>
    <t>Currency (Expressed in USD)</t>
  </si>
  <si>
    <t>US Dollars</t>
  </si>
  <si>
    <t>Exchange Rate used to calculate U.S. Dollar equivalent of any local currency balance for purposes of this MCC Disbursement Request</t>
  </si>
  <si>
    <t>1.  Forecasted Cash Disbursement Requirements (from DFP Cash Column)</t>
  </si>
  <si>
    <t>2. Interest to be Returned to the USG for Next Period (Interest Sum, Line 7)</t>
  </si>
  <si>
    <t>3. Working Capital (FOR MCC USE ONLY)</t>
  </si>
  <si>
    <t>4. Cash Balance at the End of the Current Period (Cash Req, Line 7)</t>
  </si>
  <si>
    <t>5. Disbursement Request Amount (Lines 1+2-4)</t>
  </si>
  <si>
    <t>6. Amount Requested in Words</t>
  </si>
  <si>
    <r>
      <t xml:space="preserve">C.  Compliance:  </t>
    </r>
    <r>
      <rPr>
        <sz val="10"/>
        <rFont val="Arial"/>
        <family val="2"/>
      </rPr>
      <t>the undersigned confirms that the MCC Disbursement requested herby is in accordance with the terms and conditions set forth in the Threshold Program Agreement, including the limitations on the use or treatment of MCC Funding set out in Section 2.4.</t>
    </r>
  </si>
  <si>
    <r>
      <t xml:space="preserve">D.  Authorization:  </t>
    </r>
    <r>
      <rPr>
        <sz val="10"/>
        <rFont val="Arial"/>
        <family val="2"/>
      </rPr>
      <t>the undersigned acknowledges that funds disbursed in accordance with this request will be either made (i) directly to third-party vendors for goods, works and services received by the accountable entity upon presentation of valid invoices utilizing MCC's Common Payment System, (ii) to the Permitted Account, or (iii) to the Petty Cash Account.</t>
    </r>
  </si>
  <si>
    <r>
      <t xml:space="preserve">E.  Certificates:  </t>
    </r>
    <r>
      <rPr>
        <sz val="10"/>
        <rFont val="Arial"/>
        <family val="2"/>
      </rPr>
      <t>Attached hereto are the certificates required under Section 5.2 and 5.3 of the Threshold Program Agreement.</t>
    </r>
  </si>
  <si>
    <t>By:  _______________________________________________________________</t>
  </si>
  <si>
    <t xml:space="preserve">Name: </t>
  </si>
  <si>
    <t>TOTAL - Education</t>
  </si>
  <si>
    <t>TOTAL - Resource Mobilization</t>
  </si>
  <si>
    <t>Guatemala</t>
  </si>
  <si>
    <t>PRONACOM</t>
  </si>
  <si>
    <t>TR14GTM15001</t>
  </si>
  <si>
    <t>Grant Quarter #14</t>
  </si>
  <si>
    <t>Current Approved Multi-Year Financial Plan 
(to Schedule A, Column 2)</t>
  </si>
  <si>
    <t>1. Education Project (EDU)</t>
  </si>
  <si>
    <t>1.1 Improving the Quality of Education (0277)</t>
  </si>
  <si>
    <t>1.2 Developing Technical and Vocational Education and Training (0400)</t>
  </si>
  <si>
    <t>1.3 Strengthening Institutional and Planning Capacity (0043)</t>
  </si>
  <si>
    <t xml:space="preserve">     Activity (code)</t>
  </si>
  <si>
    <t>Project (code)</t>
  </si>
  <si>
    <t>2. Resource Mobilization Project (REV RFRM)</t>
  </si>
  <si>
    <t>3. M&amp;E (MON &amp; EVAL)</t>
  </si>
  <si>
    <t>4. Program Admin (PGM ADMIN)</t>
  </si>
  <si>
    <t>2.1 Improving Tax and Customs Administration (0443)*</t>
  </si>
  <si>
    <t>2.2 Strengthening Public-Private Partnership Capacity (0414)</t>
  </si>
  <si>
    <t>Monitoring and Evaluation (0016)</t>
  </si>
  <si>
    <t>Program Administration (0017)</t>
  </si>
  <si>
    <t xml:space="preserve">   Activity (code)</t>
  </si>
  <si>
    <t>3. M&amp;E (MON &amp; Eval)</t>
  </si>
  <si>
    <t xml:space="preserve">   Monitoring and Evaluation (0016)</t>
  </si>
  <si>
    <t xml:space="preserve">TOTAL - Program Admin </t>
  </si>
  <si>
    <t xml:space="preserve">   Program Administration (0017)</t>
  </si>
  <si>
    <t>Column Number</t>
  </si>
  <si>
    <t>Column 1</t>
  </si>
  <si>
    <t>Column 2</t>
  </si>
  <si>
    <t>Column 3</t>
  </si>
  <si>
    <t>Column 4</t>
  </si>
  <si>
    <t>Column 5</t>
  </si>
  <si>
    <t>Column 13</t>
  </si>
  <si>
    <t>Column 14</t>
  </si>
  <si>
    <t>Column 15</t>
  </si>
  <si>
    <t>Column X</t>
  </si>
  <si>
    <t>Column Y</t>
  </si>
  <si>
    <t>Column Z</t>
  </si>
  <si>
    <t xml:space="preserve">     1.1.a  Education Project Implementation Contract</t>
  </si>
  <si>
    <t xml:space="preserve">     1.1.b  Grants to Universities for Teacher Training (Diplomados)</t>
  </si>
  <si>
    <t xml:space="preserve">     1.3.a  Education Project Implementation Contract</t>
  </si>
  <si>
    <t xml:space="preserve">     3.1.a  Student Assessment</t>
  </si>
  <si>
    <t xml:space="preserve">     3.1.b  Teacher Evaluations</t>
  </si>
  <si>
    <t xml:space="preserve">     3.1.c  Voc Ed Tracer Studies</t>
  </si>
  <si>
    <t xml:space="preserve"> </t>
  </si>
  <si>
    <t>As Per Current Approved Multi-Year Financial Plan (Should match with Schedule B)**</t>
  </si>
  <si>
    <t xml:space="preserve">     1.1.c  Other</t>
  </si>
  <si>
    <t xml:space="preserve">     1.2.a  TVET</t>
  </si>
  <si>
    <t xml:space="preserve">2.1 Improving Tax and Customs Administration </t>
  </si>
  <si>
    <t xml:space="preserve">MCC Managed Fund </t>
  </si>
  <si>
    <t xml:space="preserve">     2.1.a  Tax and Customs</t>
  </si>
  <si>
    <t xml:space="preserve">     2.2.a  Advisors</t>
  </si>
  <si>
    <t xml:space="preserve">     2.2.b  Feasiblity Studies/  Transaction Advisory Services</t>
  </si>
  <si>
    <t xml:space="preserve">     3.1 d Other</t>
  </si>
  <si>
    <t xml:space="preserve">     2.2.c  Other</t>
  </si>
  <si>
    <t xml:space="preserve">     1.3.c  Other</t>
  </si>
  <si>
    <t xml:space="preserve">     1.3.b  Education Project Coordination team*</t>
  </si>
  <si>
    <t>2.1 Improving Tax and Customs Administration (0443)**</t>
  </si>
  <si>
    <t>As Per Current Approved Multi-Year Financial Plan (Should match with Schedule B)*</t>
  </si>
  <si>
    <t>TOTAL MCA-Managed Threshold Funds</t>
  </si>
  <si>
    <r>
      <t xml:space="preserve">A.  Disbursement Request:  </t>
    </r>
    <r>
      <rPr>
        <sz val="10"/>
        <rFont val="Arial"/>
        <family val="2"/>
      </rPr>
      <t>The undersigned hereby requests the Millennium Challenge Corporation to disburse funds under the Threshold Grant Agreement, dated as of August 28,2013 as follows:</t>
    </r>
  </si>
  <si>
    <t>* This activity is MCC Managed (commitments and disbursements are reported on the quarterly MCC-Managed Report)</t>
  </si>
  <si>
    <t>** These sub-activities that have amounts listed in Column Y are not part of Schedule B, but are being listed to comply with the Fiscal Accountability Plan's requirements for tracking/approving salary and travel budget changes.</t>
  </si>
  <si>
    <t xml:space="preserve">     4.1.a  Staff Compensation*</t>
  </si>
  <si>
    <t xml:space="preserve">     4.1.b  Travel*</t>
  </si>
  <si>
    <t xml:space="preserve">     4.1.c  Audit</t>
  </si>
  <si>
    <t xml:space="preserve">     4.1.d  Other</t>
  </si>
  <si>
    <t>Act#</t>
  </si>
  <si>
    <t>1.1.a</t>
  </si>
  <si>
    <t>1.1.b</t>
  </si>
  <si>
    <t>1.1.c</t>
  </si>
  <si>
    <t>1.2.a</t>
  </si>
  <si>
    <t>1.3.a</t>
  </si>
  <si>
    <t>1.3.b</t>
  </si>
  <si>
    <t>1.3.c</t>
  </si>
  <si>
    <t>2.1.a</t>
  </si>
  <si>
    <t>2.2.a</t>
  </si>
  <si>
    <t>2.2.b</t>
  </si>
  <si>
    <t>2.2.c</t>
  </si>
  <si>
    <t>3.1.a</t>
  </si>
  <si>
    <t>3.1.b</t>
  </si>
  <si>
    <t>3.1.c</t>
  </si>
  <si>
    <t>3.1.d</t>
  </si>
  <si>
    <t>4.1.a</t>
  </si>
  <si>
    <t>4.1.b</t>
  </si>
  <si>
    <t>4.1.c</t>
  </si>
  <si>
    <t>4.1.d</t>
  </si>
  <si>
    <t>Contract name</t>
  </si>
  <si>
    <t>Q1</t>
  </si>
  <si>
    <t>Value</t>
  </si>
  <si>
    <t>Sign quarter</t>
  </si>
  <si>
    <t>Percent of disbursements by quarter</t>
  </si>
  <si>
    <t>Q2</t>
  </si>
  <si>
    <t>Q3</t>
  </si>
  <si>
    <t>Q4</t>
  </si>
  <si>
    <t>Q5</t>
  </si>
  <si>
    <t>Q6</t>
  </si>
  <si>
    <t>Q7</t>
  </si>
  <si>
    <t>Q8</t>
  </si>
  <si>
    <t>Q9</t>
  </si>
  <si>
    <t>Q10</t>
  </si>
  <si>
    <t>Q11</t>
  </si>
  <si>
    <t>Q12</t>
  </si>
  <si>
    <t>Q13</t>
  </si>
  <si>
    <t>Q14</t>
  </si>
  <si>
    <t>Total</t>
  </si>
  <si>
    <t>Q15</t>
  </si>
  <si>
    <t>q3</t>
  </si>
  <si>
    <t>Diplomado Training</t>
  </si>
  <si>
    <t>q6</t>
  </si>
  <si>
    <t>Pedagogical Resource centers</t>
  </si>
  <si>
    <t>Director de Proyecto de Educación</t>
  </si>
  <si>
    <t>PPP coach</t>
  </si>
  <si>
    <t>PP Financial Adivisor (for MINFIN and ANADIE)</t>
  </si>
  <si>
    <t>Airport Feasiblity Study</t>
  </si>
  <si>
    <t>Airport Transaction Advisor</t>
  </si>
  <si>
    <t>Road Feasiblity Study</t>
  </si>
  <si>
    <t>Road Transaction Advisor</t>
  </si>
  <si>
    <t>Antigua Feasiblity Study</t>
  </si>
  <si>
    <t>Antigua Transaction Advisor</t>
  </si>
  <si>
    <t>Training</t>
  </si>
  <si>
    <t>q7</t>
  </si>
  <si>
    <t>Coordinador MCC-THP</t>
  </si>
  <si>
    <t>Audit</t>
  </si>
  <si>
    <t>IT Equipment</t>
  </si>
  <si>
    <t>Communications and Workshops</t>
  </si>
  <si>
    <t>Travel</t>
  </si>
  <si>
    <t>Especialista de Monitoreo y Evaluación</t>
  </si>
  <si>
    <t>Coordinador Administrativo Financiero (Especialista financiero)</t>
  </si>
  <si>
    <t>Especialista en Adquisiciones MCC  (Especialista en adquisiciones)</t>
  </si>
  <si>
    <t>Asistente de Proyecto de Educación</t>
  </si>
  <si>
    <t>Recurring Expenses for which commitments will  be made in same quarter as expense.</t>
  </si>
  <si>
    <t>Salary Type Expenses</t>
  </si>
  <si>
    <t>Cash by quarter</t>
  </si>
  <si>
    <t>Committments by quarter</t>
  </si>
  <si>
    <t>q2</t>
  </si>
  <si>
    <t>q5</t>
  </si>
  <si>
    <t>q1</t>
  </si>
  <si>
    <t>Training option</t>
  </si>
  <si>
    <t>q4</t>
  </si>
  <si>
    <t>tbd</t>
  </si>
  <si>
    <t>check Cash=comm</t>
  </si>
  <si>
    <t>Grant Quarter #15</t>
  </si>
  <si>
    <t>Grant Quarter #16</t>
  </si>
  <si>
    <t>Oct '19
Dec '19</t>
  </si>
  <si>
    <t>Jan '20
Mar '20</t>
  </si>
  <si>
    <t>FxT Coordinator</t>
  </si>
  <si>
    <t>Actual Cumulative Disbursements at Beginning of Current Period</t>
  </si>
  <si>
    <t>Out of Cycle Report:  Yes [ ] | No [ x ]</t>
  </si>
  <si>
    <t>M&amp;E</t>
  </si>
  <si>
    <t>Total Comprometido a la fecha</t>
  </si>
  <si>
    <t>TVET place holder</t>
  </si>
  <si>
    <t>place holder</t>
  </si>
  <si>
    <t>q15</t>
  </si>
  <si>
    <t>MCC (Acting Fiscal Agent)</t>
  </si>
  <si>
    <t>Adjustment Reported/
Approved
(Q1 - 9/10/2016)</t>
  </si>
  <si>
    <t>data subscriptions</t>
  </si>
  <si>
    <t>IT consultants</t>
  </si>
  <si>
    <t>Managaement coach for customs and audit</t>
  </si>
  <si>
    <t>PPP coach option 1</t>
  </si>
  <si>
    <t>PPP coach option 2</t>
  </si>
  <si>
    <t>q8</t>
  </si>
  <si>
    <t xml:space="preserve">Date:  </t>
  </si>
  <si>
    <t xml:space="preserve"> 3 validadores para Pruebas de Educación de Nivel Medio</t>
  </si>
  <si>
    <t xml:space="preserve"> 6 redactores para Pruebas de Educación de Nivel Medio.</t>
  </si>
  <si>
    <t>1 curriculista para Pruebas de Educación de Nivel Medio.</t>
  </si>
  <si>
    <t>Un coordinador para Pruebas de Educación de Nivel Medio.</t>
  </si>
  <si>
    <t>Education Project Total</t>
  </si>
  <si>
    <t>Tax and Customs</t>
  </si>
  <si>
    <t>PPPs</t>
  </si>
  <si>
    <t>Program Admin</t>
  </si>
  <si>
    <t>Managaement coach for customs and audit (option 1)</t>
  </si>
  <si>
    <t>Asistente Administrativo Bilingüe</t>
  </si>
  <si>
    <t>q12</t>
  </si>
  <si>
    <t xml:space="preserve">Especialista Economista </t>
  </si>
  <si>
    <r>
      <t xml:space="preserve">F.  Definitions:  </t>
    </r>
    <r>
      <rPr>
        <sz val="10"/>
        <rFont val="Arial"/>
        <family val="2"/>
      </rPr>
      <t xml:space="preserve">Capitalized terms used herein shall have the meanings assigned to such terms in the Threshold Program Agreement by and between the Government of Guatemala and the United States, acting through the Millennium Challenge Corporation, dated April 8, 2015, and entered into force on May 15, 2016. </t>
    </r>
  </si>
  <si>
    <t>Exito Escolar 1.3</t>
  </si>
  <si>
    <t>Exito Escolar 1.1</t>
  </si>
  <si>
    <t>Jul '19
Sep '19</t>
  </si>
  <si>
    <t>Apr '20
Jun '20</t>
  </si>
  <si>
    <t>* This activity has  MCC Managed (commitments and disbursements are reported on the quarterly MCC-Managed Report)</t>
  </si>
  <si>
    <t>* This activity (0443) is partially MCC-Managed</t>
  </si>
  <si>
    <t>Projected Disbursements during Current Period</t>
  </si>
  <si>
    <t>q10</t>
  </si>
  <si>
    <t>q9</t>
  </si>
  <si>
    <t>Adjustment Reported/
Approved
(Q6 - 10/11/2017)</t>
  </si>
  <si>
    <t>Q16</t>
  </si>
  <si>
    <t>Threshold Program / Program Administration and Monitoring and Evaluation</t>
  </si>
  <si>
    <t>April 8, 2015/May 16, 2016</t>
  </si>
  <si>
    <t>Q17</t>
  </si>
  <si>
    <t>Q18</t>
  </si>
  <si>
    <t>Close Out</t>
  </si>
  <si>
    <t>Q19</t>
  </si>
  <si>
    <t>Jul '20
Sep '20</t>
  </si>
  <si>
    <t>Oct '20
Dec '20</t>
  </si>
  <si>
    <t>Jan '21
Mar '21</t>
  </si>
  <si>
    <t>Grant Quarter #17</t>
  </si>
  <si>
    <t>Grant Quarter #18</t>
  </si>
  <si>
    <t>Column 16</t>
  </si>
  <si>
    <t>Column 17</t>
  </si>
  <si>
    <t>Column 18</t>
  </si>
  <si>
    <t>q11</t>
  </si>
  <si>
    <t>q14</t>
  </si>
  <si>
    <t>q13</t>
  </si>
  <si>
    <t>Q13 check</t>
  </si>
  <si>
    <t>Adjustment Reported/ 
Approved 
(Q10 - 05/11/2018)</t>
  </si>
  <si>
    <t>Adjustment Reported/ 
Approved 
(Q12- 01/04/2019)</t>
  </si>
  <si>
    <t>Name:  Francisca de Jesús Cárdenas Morán</t>
  </si>
  <si>
    <t>Name: Manfredo Octavio Chocano</t>
  </si>
  <si>
    <t>Certified by the Executive Director of PRONACOM</t>
  </si>
  <si>
    <t>Signed by the  THP Deputy Executive Director</t>
  </si>
  <si>
    <t>Jun '2019</t>
  </si>
  <si>
    <t>Oct '19</t>
  </si>
  <si>
    <t>Nov`19</t>
  </si>
  <si>
    <t>Dic´19</t>
  </si>
  <si>
    <t>q17</t>
  </si>
  <si>
    <t>q18</t>
  </si>
  <si>
    <t>Apr-21</t>
  </si>
  <si>
    <t>Q20</t>
  </si>
  <si>
    <t>Column 19</t>
  </si>
  <si>
    <t>Apr '21
Jun '21</t>
  </si>
  <si>
    <t>q19</t>
  </si>
  <si>
    <t>Close Out
Grant Quarter #19</t>
  </si>
  <si>
    <t>Post Close Out
Grant Quarter #20</t>
  </si>
  <si>
    <t>two million one hundred fifty-four thousand two hundred ninety-one and 24/100 dollars</t>
  </si>
  <si>
    <t>Date: September 11, 2019</t>
  </si>
  <si>
    <t>Date:  September 11, 2019____________________________________________________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</si>
</sst>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6" formatCode="&quot;Q&quot;#,##0;[Red]\-&quot;Q&quot;#,##0"/>
    <numFmt numFmtId="43" formatCode="_-* #,##0.00_-;\-* #,##0.00_-;_-* &quot;-&quot;??_-;_-@_-"/>
    <numFmt numFmtId="164" formatCode="&quot;$&quot;#,##0.00_);\(&quot;$&quot;#,##0.00\)"/>
    <numFmt numFmtId="165" formatCode="_(&quot;$&quot;* #,##0.00_);_(&quot;$&quot;* \(#,##0.00\);_(&quot;$&quot;* &quot;-&quot;??_);_(@_)"/>
    <numFmt numFmtId="166" formatCode="_(* #,##0.00_);_(* \(#,##0.00\);_(* &quot;-&quot;??_);_(@_)"/>
    <numFmt numFmtId="167" formatCode="_(* #,##0_);_(* \(#,##0\);_(* &quot;-&quot;??_);_(@_)"/>
    <numFmt numFmtId="168" formatCode="0_);[Red]\(0\)"/>
    <numFmt numFmtId="169" formatCode="[$-409]mmmm\ d\,\ yyyy;@"/>
    <numFmt numFmtId="170" formatCode="[$-409]mmm\-yy;@"/>
    <numFmt numFmtId="171" formatCode="m/d/yy;@"/>
    <numFmt numFmtId="172" formatCode="_(&quot;$&quot;* #,##0_);_(&quot;$&quot;* \(#,##0\);_(&quot;$&quot;* &quot;-&quot;??_);_(@_)"/>
    <numFmt numFmtId="173" formatCode="0.0%"/>
    <numFmt numFmtId="174" formatCode="[$-409]dd\-mmm\-yy;@"/>
    <numFmt numFmtId="175" formatCode="_(&quot;$&quot;* #,##0.0000_);_(&quot;$&quot;* \(#,##0.0000\);_(&quot;$&quot;* &quot;-&quot;??_);_(@_)"/>
    <numFmt numFmtId="176" formatCode="_(&quot;$&quot;* #,##0.00000_);_(&quot;$&quot;* \(#,##0.00000\);_(&quot;$&quot;* &quot;-&quot;??_);_(@_)"/>
    <numFmt numFmtId="177" formatCode="_(&quot;$&quot;* #,##0.000000_);_(&quot;$&quot;* \(#,##0.000000\);_(&quot;$&quot;* &quot;-&quot;??_);_(@_)"/>
  </numFmts>
  <fonts count="36">
    <font>
      <sz val="11"/>
      <color theme="1"/>
      <name val="Calibri"/>
      <family val="2"/>
      <scheme val="minor"/>
    </font>
    <font>
      <sz val="10"/>
      <name val="Arial"/>
      <family val="2"/>
    </font>
    <font>
      <b/>
      <sz val="10"/>
      <name val="Arial Narrow"/>
      <family val="2"/>
    </font>
    <font>
      <b/>
      <sz val="10"/>
      <name val="Arial"/>
      <family val="2"/>
    </font>
    <font>
      <b/>
      <u val="single"/>
      <sz val="10"/>
      <name val="Arial"/>
      <family val="2"/>
    </font>
    <font>
      <b/>
      <sz val="16"/>
      <color indexed="9"/>
      <name val="Arial Narrow"/>
      <family val="2"/>
    </font>
    <font>
      <b/>
      <sz val="12"/>
      <name val="Arial Narrow"/>
      <family val="2"/>
    </font>
    <font>
      <b/>
      <sz val="10"/>
      <color indexed="53"/>
      <name val="Arial"/>
      <family val="2"/>
    </font>
    <font>
      <b/>
      <sz val="16"/>
      <name val="Arial Narrow"/>
      <family val="2"/>
    </font>
    <font>
      <b/>
      <sz val="10"/>
      <color indexed="9"/>
      <name val="Arial Narrow"/>
      <family val="2"/>
    </font>
    <font>
      <sz val="11"/>
      <name val="Arial"/>
      <family val="2"/>
    </font>
    <font>
      <b/>
      <sz val="11"/>
      <name val="Arial Narrow"/>
      <family val="2"/>
    </font>
    <font>
      <b/>
      <sz val="11"/>
      <name val="Arial"/>
      <family val="2"/>
    </font>
    <font>
      <sz val="10"/>
      <color indexed="10"/>
      <name val="Arial"/>
      <family val="2"/>
    </font>
    <font>
      <sz val="9"/>
      <name val="Arial"/>
      <family val="2"/>
    </font>
    <font>
      <b/>
      <sz val="9"/>
      <name val="Arial"/>
      <family val="2"/>
    </font>
    <font>
      <b/>
      <sz val="8"/>
      <name val="Arial"/>
      <family val="2"/>
    </font>
    <font>
      <b/>
      <sz val="9"/>
      <name val="Times New Roman"/>
      <family val="1"/>
    </font>
    <font>
      <b/>
      <sz val="12"/>
      <name val="Arial"/>
      <family val="2"/>
    </font>
    <font>
      <b/>
      <sz val="12"/>
      <name val="Times New Roman"/>
      <family val="1"/>
    </font>
    <font>
      <sz val="10"/>
      <color theme="1"/>
      <name val="Calibri"/>
      <family val="2"/>
      <scheme val="minor"/>
    </font>
    <font>
      <sz val="10"/>
      <name val="Arial Narrow"/>
      <family val="2"/>
    </font>
    <font>
      <b/>
      <sz val="11"/>
      <color theme="1"/>
      <name val="Calibri"/>
      <family val="2"/>
      <scheme val="minor"/>
    </font>
    <font>
      <sz val="12"/>
      <color theme="1"/>
      <name val="Calibri"/>
      <family val="2"/>
      <scheme val="minor"/>
    </font>
    <font>
      <sz val="11"/>
      <color theme="0"/>
      <name val="Calibri"/>
      <family val="2"/>
      <scheme val="minor"/>
    </font>
    <font>
      <sz val="11"/>
      <color rgb="FFFF0000"/>
      <name val="Calibri"/>
      <family val="2"/>
      <scheme val="minor"/>
    </font>
    <font>
      <sz val="8"/>
      <name val="Calibri"/>
      <family val="2"/>
      <scheme val="minor"/>
    </font>
    <font>
      <sz val="11"/>
      <name val="Calibri"/>
      <family val="2"/>
      <scheme val="minor"/>
    </font>
    <font>
      <b/>
      <sz val="11"/>
      <name val="Calibri"/>
      <family val="2"/>
      <scheme val="minor"/>
    </font>
    <font>
      <sz val="10"/>
      <name val="Calibri"/>
      <family val="2"/>
      <scheme val="minor"/>
    </font>
    <font>
      <b/>
      <sz val="9"/>
      <name val="Tahoma"/>
      <family val="2"/>
    </font>
    <font>
      <sz val="9"/>
      <name val="Tahoma"/>
      <family val="2"/>
    </font>
    <font>
      <sz val="9"/>
      <color theme="1"/>
      <name val="Calibri"/>
      <family val="2"/>
      <scheme val="minor"/>
    </font>
    <font>
      <b/>
      <sz val="16"/>
      <color theme="1"/>
      <name val="Calibri"/>
      <family val="2"/>
      <scheme val="minor"/>
    </font>
    <font>
      <sz val="11"/>
      <color rgb="FF006100"/>
      <name val="Calibri"/>
      <family val="2"/>
      <scheme val="minor"/>
    </font>
    <font>
      <b/>
      <sz val="8"/>
      <name val="Calibri"/>
      <family val="2"/>
    </font>
  </fonts>
  <fills count="34">
    <fill>
      <patternFill/>
    </fill>
    <fill>
      <patternFill patternType="gray125"/>
    </fill>
    <fill>
      <patternFill patternType="solid">
        <fgColor rgb="FFC6EFCE"/>
        <bgColor indexed="64"/>
      </patternFill>
    </fill>
    <fill>
      <patternFill patternType="solid">
        <fgColor indexed="46"/>
        <bgColor indexed="64"/>
      </patternFill>
    </fill>
    <fill>
      <patternFill patternType="solid">
        <fgColor indexed="50"/>
        <bgColor indexed="64"/>
      </patternFill>
    </fill>
    <fill>
      <patternFill patternType="solid">
        <fgColor theme="0" tint="-0.24997000396251678"/>
        <bgColor indexed="64"/>
      </patternFill>
    </fill>
    <fill>
      <patternFill patternType="solid">
        <fgColor indexed="22"/>
        <bgColor indexed="64"/>
      </patternFill>
    </fill>
    <fill>
      <patternFill patternType="solid">
        <fgColor indexed="44"/>
        <bgColor indexed="64"/>
      </patternFill>
    </fill>
    <fill>
      <patternFill patternType="solid">
        <fgColor theme="9" tint="0.5999900102615356"/>
        <bgColor indexed="64"/>
      </patternFill>
    </fill>
    <fill>
      <patternFill patternType="solid">
        <fgColor indexed="8"/>
        <bgColor indexed="64"/>
      </patternFill>
    </fill>
    <fill>
      <patternFill patternType="solid">
        <fgColor indexed="13"/>
        <bgColor indexed="64"/>
      </patternFill>
    </fill>
    <fill>
      <patternFill patternType="darkTrellis"/>
    </fill>
    <fill>
      <patternFill patternType="solid">
        <fgColor indexed="9"/>
        <bgColor indexed="64"/>
      </patternFill>
    </fill>
    <fill>
      <patternFill patternType="solid">
        <fgColor theme="0"/>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5999900102615356"/>
        <bgColor indexed="64"/>
      </patternFill>
    </fill>
    <fill>
      <patternFill patternType="solid">
        <fgColor theme="0" tint="-0.04997999966144562"/>
        <bgColor indexed="64"/>
      </patternFill>
    </fill>
    <fill>
      <patternFill patternType="solid">
        <fgColor theme="7"/>
        <bgColor indexed="64"/>
      </patternFill>
    </fill>
    <fill>
      <patternFill patternType="solid">
        <fgColor theme="8" tint="-0.4999699890613556"/>
        <bgColor indexed="64"/>
      </patternFill>
    </fill>
    <fill>
      <patternFill patternType="solid">
        <fgColor theme="9" tint="-0.4999699890613556"/>
        <bgColor indexed="64"/>
      </patternFill>
    </fill>
    <fill>
      <patternFill patternType="solid">
        <fgColor theme="2" tint="-0.09996999800205231"/>
        <bgColor indexed="64"/>
      </patternFill>
    </fill>
    <fill>
      <patternFill patternType="solid">
        <fgColor rgb="FFFF0000"/>
        <bgColor indexed="64"/>
      </patternFill>
    </fill>
    <fill>
      <patternFill patternType="solid">
        <fgColor rgb="FFFFFF00"/>
        <bgColor indexed="64"/>
      </patternFill>
    </fill>
    <fill>
      <patternFill patternType="solid">
        <fgColor theme="5" tint="0.7999799847602844"/>
        <bgColor indexed="64"/>
      </patternFill>
    </fill>
    <fill>
      <patternFill patternType="solid">
        <fgColor rgb="FFFFC000"/>
        <bgColor indexed="64"/>
      </patternFill>
    </fill>
    <fill>
      <patternFill patternType="solid">
        <fgColor theme="9"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2"/>
        <bgColor indexed="64"/>
      </patternFill>
    </fill>
    <fill>
      <patternFill patternType="solid">
        <fgColor rgb="FF0070C0"/>
        <bgColor indexed="64"/>
      </patternFill>
    </fill>
    <fill>
      <patternFill patternType="solid">
        <fgColor theme="3" tint="0.7999799847602844"/>
        <bgColor indexed="64"/>
      </patternFill>
    </fill>
  </fills>
  <borders count="50">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thin"/>
      <top style="thin"/>
      <bottom style="thin"/>
    </border>
    <border>
      <left style="thin"/>
      <right style="thin"/>
      <top style="thin"/>
      <bottom style="thin"/>
    </border>
    <border>
      <left/>
      <right style="thin"/>
      <top/>
      <bottom style="thin"/>
    </border>
    <border>
      <left style="thin"/>
      <right style="thin"/>
      <top/>
      <bottom style="thin"/>
    </border>
    <border>
      <left/>
      <right style="medium"/>
      <top/>
      <bottom style="medium"/>
    </border>
    <border>
      <left style="thin"/>
      <right style="thin"/>
      <top style="medium"/>
      <bottom style="medium"/>
    </border>
    <border>
      <left style="medium"/>
      <right style="thin"/>
      <top/>
      <bottom style="thin"/>
    </border>
    <border>
      <left/>
      <right/>
      <top/>
      <bottom style="thin"/>
    </border>
    <border>
      <left style="thin">
        <color indexed="55"/>
      </left>
      <right/>
      <top/>
      <bottom/>
    </border>
    <border>
      <left style="thin"/>
      <right style="medium"/>
      <top/>
      <bottom style="thin"/>
    </border>
    <border>
      <left style="medium"/>
      <right style="thin"/>
      <top style="thin"/>
      <bottom style="thin"/>
    </border>
    <border>
      <left style="thin"/>
      <right style="medium"/>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style="thin"/>
      <right/>
      <top/>
      <bottom style="medium"/>
    </border>
    <border>
      <left style="medium"/>
      <right/>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style="thin"/>
      <top/>
      <bottom style="medium"/>
    </border>
    <border>
      <left style="medium"/>
      <right style="thin"/>
      <top style="thin"/>
      <bottom style="medium"/>
    </border>
    <border>
      <left style="medium"/>
      <right style="thin"/>
      <top/>
      <bottom style="medium"/>
    </border>
    <border>
      <left/>
      <right/>
      <top style="thin"/>
      <bottom style="thin"/>
    </border>
    <border>
      <left style="thin"/>
      <right/>
      <top style="thin"/>
      <bottom style="thin"/>
    </border>
    <border>
      <left/>
      <right style="thin"/>
      <top style="thin"/>
      <bottom style="double"/>
    </border>
    <border>
      <left style="thin"/>
      <right style="thin"/>
      <top style="thin"/>
      <bottom/>
    </border>
    <border>
      <left style="thin"/>
      <right/>
      <top style="medium"/>
      <bottom style="thin"/>
    </border>
    <border>
      <left style="thin"/>
      <right/>
      <top style="thin"/>
      <bottom style="medium"/>
    </border>
    <border>
      <left/>
      <right/>
      <top style="thin"/>
      <bottom/>
    </border>
    <border>
      <left style="thin"/>
      <right/>
      <top style="medium"/>
      <bottom style="medium"/>
    </border>
    <border>
      <left/>
      <right style="thin"/>
      <top style="medium"/>
      <bottom style="medium"/>
    </border>
    <border>
      <left/>
      <right/>
      <top style="medium"/>
      <bottom style="thin"/>
    </border>
    <border>
      <left/>
      <right style="medium"/>
      <top style="medium"/>
      <bottom style="thin"/>
    </border>
    <border>
      <left style="medium"/>
      <right style="medium"/>
      <top style="medium"/>
      <bottom style="thin"/>
    </border>
    <border>
      <left style="medium"/>
      <right style="medium"/>
      <top style="thin"/>
      <bottom/>
    </border>
  </borders>
  <cellStyleXfs count="4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6" fontId="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alignment/>
      <protection/>
    </xf>
    <xf numFmtId="0" fontId="1" fillId="0" borderId="0">
      <alignment/>
      <protection/>
    </xf>
    <xf numFmtId="165" fontId="1" fillId="0" borderId="0" applyFont="0" applyFill="0" applyBorder="0" applyAlignment="0" applyProtection="0"/>
    <xf numFmtId="0" fontId="1" fillId="0" borderId="0">
      <alignment/>
      <protection/>
    </xf>
    <xf numFmtId="166" fontId="1" fillId="0" borderId="0" applyFont="0" applyFill="0" applyBorder="0" applyAlignment="0" applyProtection="0"/>
    <xf numFmtId="166" fontId="1" fillId="0" borderId="0" applyFont="0" applyFill="0" applyBorder="0" applyAlignment="0" applyProtection="0"/>
    <xf numFmtId="43" fontId="0"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0" fontId="23" fillId="0" borderId="0">
      <alignment/>
      <protection/>
    </xf>
    <xf numFmtId="43" fontId="23" fillId="0" borderId="0" applyFont="0" applyFill="0" applyBorder="0" applyAlignment="0" applyProtection="0"/>
    <xf numFmtId="0" fontId="1" fillId="0" borderId="0">
      <alignment/>
      <protection/>
    </xf>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9" fontId="0" fillId="0" borderId="0" applyFont="0" applyFill="0" applyBorder="0" applyAlignment="0" applyProtection="0"/>
    <xf numFmtId="0" fontId="34" fillId="2" borderId="0" applyNumberFormat="0" applyBorder="0" applyAlignment="0" applyProtection="0"/>
  </cellStyleXfs>
  <cellXfs count="567">
    <xf numFmtId="0" fontId="0" fillId="0" borderId="0" xfId="0"/>
    <xf numFmtId="167" fontId="1" fillId="0" borderId="0" xfId="21" applyNumberFormat="1"/>
    <xf numFmtId="167" fontId="2" fillId="0" borderId="1" xfId="22" applyNumberFormat="1" applyFont="1" applyBorder="1"/>
    <xf numFmtId="167" fontId="1" fillId="0" borderId="2" xfId="21" applyNumberFormat="1" applyFill="1" applyBorder="1"/>
    <xf numFmtId="167" fontId="1" fillId="0" borderId="3" xfId="21" applyNumberFormat="1" applyBorder="1"/>
    <xf numFmtId="167" fontId="1" fillId="0" borderId="0" xfId="21" applyNumberFormat="1" applyBorder="1"/>
    <xf numFmtId="168" fontId="1" fillId="0" borderId="0" xfId="21" applyNumberFormat="1"/>
    <xf numFmtId="0" fontId="1" fillId="0" borderId="0" xfId="23">
      <alignment/>
      <protection/>
    </xf>
    <xf numFmtId="167" fontId="3" fillId="0" borderId="1" xfId="21" applyNumberFormat="1" applyFont="1" applyBorder="1"/>
    <xf numFmtId="167" fontId="1" fillId="0" borderId="0" xfId="21" applyNumberFormat="1" applyFont="1"/>
    <xf numFmtId="0" fontId="1" fillId="0" borderId="0" xfId="23" applyBorder="1">
      <alignment/>
      <protection/>
    </xf>
    <xf numFmtId="167" fontId="1" fillId="0" borderId="4" xfId="21" applyNumberFormat="1" applyFill="1" applyBorder="1" applyAlignment="1">
      <alignment horizontal="right"/>
    </xf>
    <xf numFmtId="167" fontId="1" fillId="0" borderId="5" xfId="21" applyNumberFormat="1" applyFill="1" applyBorder="1"/>
    <xf numFmtId="0" fontId="0" fillId="0" borderId="6" xfId="0" applyBorder="1" applyAlignment="1">
      <alignment horizontal="left" indent="1"/>
    </xf>
    <xf numFmtId="167" fontId="1" fillId="0" borderId="7" xfId="21" applyNumberFormat="1" applyFill="1" applyBorder="1" applyAlignment="1">
      <alignment horizontal="right"/>
    </xf>
    <xf numFmtId="167" fontId="1" fillId="0" borderId="0" xfId="21" applyNumberFormat="1" applyFill="1" applyBorder="1"/>
    <xf numFmtId="0" fontId="0" fillId="0" borderId="8" xfId="0" applyBorder="1" applyAlignment="1">
      <alignment horizontal="left" indent="1"/>
    </xf>
    <xf numFmtId="167" fontId="1" fillId="0" borderId="7" xfId="21" applyNumberFormat="1" applyFont="1" applyFill="1" applyBorder="1" applyAlignment="1">
      <alignment horizontal="right"/>
    </xf>
    <xf numFmtId="167" fontId="1" fillId="0" borderId="9" xfId="21" applyNumberFormat="1" applyFont="1" applyBorder="1" applyAlignment="1">
      <alignment horizontal="right"/>
    </xf>
    <xf numFmtId="167" fontId="1" fillId="0" borderId="10" xfId="21" applyNumberFormat="1" applyFill="1" applyBorder="1" applyAlignment="1">
      <alignment/>
    </xf>
    <xf numFmtId="167" fontId="1" fillId="0" borderId="0" xfId="21" applyNumberFormat="1" applyAlignment="1">
      <alignment/>
    </xf>
    <xf numFmtId="167" fontId="1" fillId="0" borderId="0" xfId="21" applyNumberFormat="1" applyFill="1" applyBorder="1" applyAlignment="1">
      <alignment horizontal="center"/>
    </xf>
    <xf numFmtId="167" fontId="1" fillId="0" borderId="0" xfId="21" applyNumberFormat="1" applyBorder="1" applyAlignment="1">
      <alignment horizontal="center"/>
    </xf>
    <xf numFmtId="167" fontId="4" fillId="0" borderId="0" xfId="21" applyNumberFormat="1" applyFont="1" applyBorder="1" applyAlignment="1">
      <alignment horizontal="left"/>
    </xf>
    <xf numFmtId="168" fontId="3" fillId="0" borderId="0" xfId="21" applyNumberFormat="1" applyFont="1" applyFill="1"/>
    <xf numFmtId="167" fontId="3" fillId="0" borderId="0" xfId="21" applyNumberFormat="1" applyFont="1" applyFill="1"/>
    <xf numFmtId="167" fontId="1" fillId="0" borderId="0" xfId="21" applyNumberFormat="1" applyFont="1" applyFill="1" applyBorder="1" applyAlignment="1">
      <alignment horizontal="left"/>
    </xf>
    <xf numFmtId="167" fontId="4" fillId="0" borderId="0" xfId="21" applyNumberFormat="1" applyFont="1" applyFill="1" applyBorder="1" applyAlignment="1">
      <alignment horizontal="left"/>
    </xf>
    <xf numFmtId="0" fontId="1" fillId="0" borderId="0" xfId="23" applyFont="1" applyFill="1" applyBorder="1" applyAlignment="1">
      <alignment horizontal="left"/>
      <protection/>
    </xf>
    <xf numFmtId="49" fontId="6" fillId="3" borderId="11" xfId="22" applyNumberFormat="1" applyFont="1" applyFill="1" applyBorder="1" applyAlignment="1">
      <alignment horizontal="center" vertical="center"/>
    </xf>
    <xf numFmtId="49" fontId="6" fillId="4" borderId="12" xfId="22" applyNumberFormat="1" applyFont="1" applyFill="1" applyBorder="1" applyAlignment="1">
      <alignment horizontal="center" vertical="center"/>
    </xf>
    <xf numFmtId="168" fontId="3" fillId="5" borderId="12" xfId="21" applyNumberFormat="1" applyFont="1" applyFill="1" applyBorder="1" applyAlignment="1">
      <alignment horizontal="center" vertical="center"/>
    </xf>
    <xf numFmtId="168" fontId="3" fillId="0" borderId="0" xfId="21" applyNumberFormat="1" applyFont="1" applyFill="1" applyBorder="1" applyAlignment="1">
      <alignment horizontal="center" vertical="center"/>
    </xf>
    <xf numFmtId="49" fontId="2" fillId="3" borderId="11" xfId="22" applyNumberFormat="1" applyFont="1" applyFill="1" applyBorder="1" applyAlignment="1">
      <alignment horizontal="center" vertical="center" wrapText="1"/>
    </xf>
    <xf numFmtId="49" fontId="2" fillId="4" borderId="12" xfId="22" applyNumberFormat="1" applyFont="1" applyFill="1" applyBorder="1" applyAlignment="1">
      <alignment horizontal="center" vertical="center" wrapText="1"/>
    </xf>
    <xf numFmtId="168" fontId="3" fillId="0" borderId="0" xfId="21" applyNumberFormat="1" applyFont="1" applyFill="1" applyBorder="1" applyAlignment="1">
      <alignment horizontal="center" vertical="center" wrapText="1"/>
    </xf>
    <xf numFmtId="167" fontId="1" fillId="0" borderId="11" xfId="21" applyNumberFormat="1" applyBorder="1"/>
    <xf numFmtId="167" fontId="1" fillId="0" borderId="12" xfId="21" applyNumberFormat="1" applyBorder="1"/>
    <xf numFmtId="167" fontId="8" fillId="6" borderId="12" xfId="22" applyNumberFormat="1" applyFont="1" applyFill="1" applyBorder="1" applyAlignment="1">
      <alignment horizontal="center" vertical="center"/>
    </xf>
    <xf numFmtId="49" fontId="2" fillId="3" borderId="13" xfId="22" applyNumberFormat="1" applyFont="1" applyFill="1" applyBorder="1" applyAlignment="1">
      <alignment horizontal="center" vertical="center" wrapText="1"/>
    </xf>
    <xf numFmtId="49" fontId="2" fillId="4" borderId="14" xfId="22" applyNumberFormat="1" applyFont="1" applyFill="1" applyBorder="1" applyAlignment="1">
      <alignment horizontal="center" vertical="center" wrapText="1"/>
    </xf>
    <xf numFmtId="167" fontId="3" fillId="7" borderId="12" xfId="21" applyNumberFormat="1" applyFont="1" applyFill="1" applyBorder="1"/>
    <xf numFmtId="167" fontId="3" fillId="8" borderId="12" xfId="21" applyNumberFormat="1" applyFont="1" applyFill="1" applyBorder="1" applyAlignment="1">
      <alignment horizontal="center"/>
    </xf>
    <xf numFmtId="167" fontId="3" fillId="8" borderId="11" xfId="21" applyNumberFormat="1" applyFont="1" applyFill="1" applyBorder="1" applyAlignment="1">
      <alignment horizontal="center"/>
    </xf>
    <xf numFmtId="167" fontId="9" fillId="9" borderId="12" xfId="21" applyNumberFormat="1" applyFont="1" applyFill="1" applyBorder="1" applyAlignment="1">
      <alignment wrapText="1"/>
    </xf>
    <xf numFmtId="167" fontId="3" fillId="9" borderId="11" xfId="21" applyNumberFormat="1" applyFont="1" applyFill="1" applyBorder="1" applyAlignment="1">
      <alignment horizontal="center"/>
    </xf>
    <xf numFmtId="167" fontId="3" fillId="9" borderId="12" xfId="21" applyNumberFormat="1" applyFont="1" applyFill="1" applyBorder="1" applyAlignment="1">
      <alignment horizontal="center"/>
    </xf>
    <xf numFmtId="168" fontId="3" fillId="9" borderId="12" xfId="21" applyNumberFormat="1" applyFont="1" applyFill="1" applyBorder="1" applyAlignment="1">
      <alignment horizontal="center"/>
    </xf>
    <xf numFmtId="1" fontId="1" fillId="0" borderId="0" xfId="21" applyNumberFormat="1" applyBorder="1"/>
    <xf numFmtId="167" fontId="2" fillId="7" borderId="12" xfId="21" applyNumberFormat="1" applyFont="1" applyFill="1" applyBorder="1" applyAlignment="1">
      <alignment horizontal="left" vertical="center" wrapText="1"/>
    </xf>
    <xf numFmtId="167" fontId="3" fillId="7" borderId="11" xfId="21" applyNumberFormat="1" applyFont="1" applyFill="1" applyBorder="1"/>
    <xf numFmtId="167" fontId="2" fillId="10" borderId="12" xfId="21" applyNumberFormat="1" applyFont="1" applyFill="1" applyBorder="1" applyAlignment="1">
      <alignment horizontal="left" wrapText="1"/>
    </xf>
    <xf numFmtId="167" fontId="3" fillId="10" borderId="11" xfId="21" applyNumberFormat="1" applyFont="1" applyFill="1" applyBorder="1"/>
    <xf numFmtId="167" fontId="2" fillId="0" borderId="12" xfId="21" applyNumberFormat="1" applyFont="1" applyBorder="1" applyAlignment="1">
      <alignment wrapText="1"/>
    </xf>
    <xf numFmtId="167" fontId="3" fillId="0" borderId="11" xfId="21" applyNumberFormat="1" applyFont="1" applyBorder="1"/>
    <xf numFmtId="167" fontId="3" fillId="0" borderId="12" xfId="21" applyNumberFormat="1" applyFont="1" applyBorder="1"/>
    <xf numFmtId="167" fontId="3" fillId="9" borderId="11" xfId="21" applyNumberFormat="1" applyFont="1" applyFill="1" applyBorder="1"/>
    <xf numFmtId="167" fontId="3" fillId="9" borderId="12" xfId="21" applyNumberFormat="1" applyFont="1" applyFill="1" applyBorder="1"/>
    <xf numFmtId="167" fontId="2" fillId="10" borderId="12" xfId="21" applyNumberFormat="1" applyFont="1" applyFill="1" applyBorder="1" applyAlignment="1">
      <alignment wrapText="1"/>
    </xf>
    <xf numFmtId="1" fontId="1" fillId="0" borderId="0" xfId="23" applyNumberFormat="1" applyBorder="1">
      <alignment/>
      <protection/>
    </xf>
    <xf numFmtId="0" fontId="3" fillId="9" borderId="11" xfId="23" applyFont="1" applyFill="1" applyBorder="1">
      <alignment/>
      <protection/>
    </xf>
    <xf numFmtId="0" fontId="3" fillId="9" borderId="12" xfId="23" applyFont="1" applyFill="1" applyBorder="1">
      <alignment/>
      <protection/>
    </xf>
    <xf numFmtId="0" fontId="1" fillId="0" borderId="11" xfId="23" applyBorder="1">
      <alignment/>
      <protection/>
    </xf>
    <xf numFmtId="0" fontId="1" fillId="0" borderId="12" xfId="23" applyBorder="1">
      <alignment/>
      <protection/>
    </xf>
    <xf numFmtId="0" fontId="2" fillId="7" borderId="12" xfId="21" applyNumberFormat="1" applyFont="1" applyFill="1" applyBorder="1" applyAlignment="1">
      <alignment horizontal="left" wrapText="1"/>
    </xf>
    <xf numFmtId="167" fontId="2" fillId="7" borderId="12" xfId="21" applyNumberFormat="1" applyFont="1" applyFill="1" applyBorder="1" applyAlignment="1">
      <alignment horizontal="left" wrapText="1"/>
    </xf>
    <xf numFmtId="0" fontId="2" fillId="10" borderId="12" xfId="21" applyNumberFormat="1" applyFont="1" applyFill="1" applyBorder="1" applyAlignment="1">
      <alignment horizontal="left" wrapText="1"/>
    </xf>
    <xf numFmtId="167" fontId="1" fillId="0" borderId="0" xfId="21" applyNumberFormat="1" applyFill="1"/>
    <xf numFmtId="0" fontId="1" fillId="0" borderId="0" xfId="23" applyFont="1">
      <alignment/>
      <protection/>
    </xf>
    <xf numFmtId="167" fontId="13" fillId="0" borderId="0" xfId="21" applyNumberFormat="1" applyFont="1"/>
    <xf numFmtId="168" fontId="13" fillId="0" borderId="0" xfId="21" applyNumberFormat="1" applyFont="1"/>
    <xf numFmtId="167" fontId="13" fillId="0" borderId="0" xfId="21" applyNumberFormat="1" applyFont="1" applyFill="1"/>
    <xf numFmtId="0" fontId="3" fillId="0" borderId="4" xfId="0" applyFont="1" applyBorder="1"/>
    <xf numFmtId="0" fontId="0" fillId="0" borderId="5" xfId="0" applyBorder="1"/>
    <xf numFmtId="0" fontId="0" fillId="0" borderId="6" xfId="0" applyBorder="1"/>
    <xf numFmtId="0" fontId="1" fillId="0" borderId="7" xfId="0" applyFont="1" applyBorder="1" applyAlignment="1">
      <alignment horizontal="center"/>
    </xf>
    <xf numFmtId="0" fontId="0" fillId="0" borderId="0" xfId="0" applyBorder="1" applyAlignment="1">
      <alignment horizontal="right"/>
    </xf>
    <xf numFmtId="0" fontId="0" fillId="0" borderId="0" xfId="0" applyBorder="1" applyAlignment="1">
      <alignment horizontal="left" indent="1"/>
    </xf>
    <xf numFmtId="0" fontId="0" fillId="0" borderId="0" xfId="0" applyBorder="1" applyAlignment="1">
      <alignment/>
    </xf>
    <xf numFmtId="0" fontId="1" fillId="0" borderId="0" xfId="0" applyFont="1" applyBorder="1" applyAlignment="1">
      <alignment horizontal="center"/>
    </xf>
    <xf numFmtId="0" fontId="1" fillId="0" borderId="8" xfId="0" applyFont="1" applyBorder="1" applyAlignment="1">
      <alignment horizontal="center"/>
    </xf>
    <xf numFmtId="169" fontId="0" fillId="0" borderId="0" xfId="0" applyNumberFormat="1" applyBorder="1" applyAlignment="1">
      <alignment horizontal="left" indent="1"/>
    </xf>
    <xf numFmtId="0" fontId="1" fillId="0" borderId="9" xfId="0" applyFont="1" applyBorder="1" applyAlignment="1">
      <alignment horizontal="center"/>
    </xf>
    <xf numFmtId="0" fontId="0" fillId="0" borderId="10" xfId="0" applyBorder="1" applyAlignment="1">
      <alignment/>
    </xf>
    <xf numFmtId="0" fontId="1" fillId="0" borderId="10" xfId="0" applyFont="1" applyBorder="1" applyAlignment="1">
      <alignment horizontal="center"/>
    </xf>
    <xf numFmtId="0" fontId="1" fillId="0" borderId="15" xfId="0" applyFont="1" applyBorder="1" applyAlignment="1">
      <alignment horizontal="center"/>
    </xf>
    <xf numFmtId="0" fontId="4" fillId="0" borderId="4" xfId="0" applyFont="1" applyBorder="1" applyAlignment="1">
      <alignment/>
    </xf>
    <xf numFmtId="0" fontId="4" fillId="0" borderId="5" xfId="0" applyFont="1" applyBorder="1" applyAlignment="1">
      <alignment horizontal="left"/>
    </xf>
    <xf numFmtId="0" fontId="4" fillId="0" borderId="6" xfId="0" applyFont="1" applyBorder="1" applyAlignment="1">
      <alignment horizontal="left"/>
    </xf>
    <xf numFmtId="167" fontId="1" fillId="0" borderId="0" xfId="20" applyNumberFormat="1" applyFont="1" applyBorder="1"/>
    <xf numFmtId="171" fontId="1" fillId="0" borderId="7" xfId="0" applyNumberFormat="1" applyFont="1" applyBorder="1" applyAlignment="1">
      <alignment horizontal="left"/>
    </xf>
    <xf numFmtId="0" fontId="4" fillId="0" borderId="0" xfId="0" applyFont="1" applyBorder="1" applyAlignment="1">
      <alignment horizontal="left"/>
    </xf>
    <xf numFmtId="0" fontId="4" fillId="0" borderId="8" xfId="0" applyFont="1" applyBorder="1" applyAlignment="1">
      <alignment horizontal="left"/>
    </xf>
    <xf numFmtId="0" fontId="1" fillId="0" borderId="7" xfId="0" applyFont="1" applyBorder="1" applyAlignment="1">
      <alignment horizontal="left"/>
    </xf>
    <xf numFmtId="0" fontId="14" fillId="0" borderId="0" xfId="0" applyFont="1" applyBorder="1" applyAlignment="1">
      <alignment/>
    </xf>
    <xf numFmtId="0" fontId="14" fillId="0" borderId="0" xfId="0" applyFont="1" applyBorder="1"/>
    <xf numFmtId="0" fontId="14" fillId="0" borderId="8" xfId="0" applyFont="1" applyBorder="1"/>
    <xf numFmtId="167" fontId="3" fillId="0" borderId="0" xfId="20" applyNumberFormat="1" applyFont="1" applyBorder="1"/>
    <xf numFmtId="0" fontId="3" fillId="0" borderId="0" xfId="0" applyFont="1"/>
    <xf numFmtId="0" fontId="14" fillId="0" borderId="9" xfId="0" applyFont="1" applyBorder="1" applyAlignment="1">
      <alignment/>
    </xf>
    <xf numFmtId="0" fontId="0" fillId="0" borderId="10" xfId="0" applyBorder="1"/>
    <xf numFmtId="0" fontId="0" fillId="0" borderId="15" xfId="0" applyBorder="1"/>
    <xf numFmtId="0" fontId="15" fillId="0" borderId="1" xfId="0" applyFont="1" applyFill="1" applyBorder="1"/>
    <xf numFmtId="0" fontId="15" fillId="6" borderId="16" xfId="0" applyFont="1" applyFill="1" applyBorder="1" applyAlignment="1">
      <alignment horizontal="center" wrapText="1"/>
    </xf>
    <xf numFmtId="0" fontId="15" fillId="6" borderId="2" xfId="0" applyFont="1" applyFill="1" applyBorder="1" applyAlignment="1">
      <alignment horizontal="center" vertical="center" wrapText="1"/>
    </xf>
    <xf numFmtId="0" fontId="15" fillId="6" borderId="3" xfId="0" applyFont="1" applyFill="1" applyBorder="1" applyAlignment="1">
      <alignment horizontal="center" vertical="center" wrapText="1"/>
    </xf>
    <xf numFmtId="0" fontId="15" fillId="7" borderId="17" xfId="0" applyFont="1" applyFill="1" applyBorder="1"/>
    <xf numFmtId="0" fontId="15" fillId="0" borderId="14" xfId="0" applyFont="1" applyFill="1" applyBorder="1" applyAlignment="1">
      <alignment horizontal="left"/>
    </xf>
    <xf numFmtId="0" fontId="16" fillId="0" borderId="18" xfId="0" applyFont="1" applyFill="1" applyBorder="1" applyAlignment="1">
      <alignment horizontal="center" wrapText="1"/>
    </xf>
    <xf numFmtId="0" fontId="15" fillId="0" borderId="0" xfId="0" applyFont="1" applyFill="1" applyBorder="1" applyAlignment="1">
      <alignment horizontal="center"/>
    </xf>
    <xf numFmtId="0" fontId="15" fillId="0" borderId="19" xfId="0" applyFont="1" applyFill="1" applyBorder="1" applyAlignment="1">
      <alignment horizontal="center"/>
    </xf>
    <xf numFmtId="0" fontId="15" fillId="0" borderId="20" xfId="0" applyFont="1" applyFill="1" applyBorder="1" applyAlignment="1">
      <alignment horizontal="center"/>
    </xf>
    <xf numFmtId="0" fontId="14" fillId="0" borderId="21" xfId="0" applyFont="1" applyFill="1" applyBorder="1"/>
    <xf numFmtId="0" fontId="15" fillId="0" borderId="12" xfId="0" applyFont="1" applyFill="1" applyBorder="1" applyAlignment="1">
      <alignment horizontal="center"/>
    </xf>
    <xf numFmtId="0" fontId="15" fillId="0" borderId="22" xfId="0" applyFont="1" applyFill="1" applyBorder="1" applyAlignment="1">
      <alignment horizontal="center"/>
    </xf>
    <xf numFmtId="0" fontId="4" fillId="0" borderId="5" xfId="0" applyFont="1" applyBorder="1" applyAlignment="1">
      <alignment/>
    </xf>
    <xf numFmtId="0" fontId="4" fillId="0" borderId="6" xfId="0" applyFont="1" applyBorder="1" applyAlignment="1">
      <alignment/>
    </xf>
    <xf numFmtId="0" fontId="18" fillId="0" borderId="4" xfId="24" applyFont="1" applyBorder="1">
      <alignment/>
      <protection/>
    </xf>
    <xf numFmtId="0" fontId="1" fillId="0" borderId="6" xfId="24" applyBorder="1" applyAlignment="1">
      <alignment horizontal="center"/>
      <protection/>
    </xf>
    <xf numFmtId="0" fontId="1" fillId="0" borderId="0" xfId="24">
      <alignment/>
      <protection/>
    </xf>
    <xf numFmtId="0" fontId="19" fillId="0" borderId="7" xfId="24" applyFont="1" applyBorder="1">
      <alignment/>
      <protection/>
    </xf>
    <xf numFmtId="0" fontId="1" fillId="0" borderId="8" xfId="24" applyBorder="1" applyAlignment="1">
      <alignment horizontal="center"/>
      <protection/>
    </xf>
    <xf numFmtId="0" fontId="3" fillId="0" borderId="14" xfId="24" applyFont="1" applyBorder="1">
      <alignment/>
      <protection/>
    </xf>
    <xf numFmtId="0" fontId="1" fillId="0" borderId="14" xfId="24" applyFont="1" applyBorder="1" applyAlignment="1">
      <alignment horizontal="left"/>
      <protection/>
    </xf>
    <xf numFmtId="0" fontId="3" fillId="0" borderId="12" xfId="24" applyFont="1" applyBorder="1">
      <alignment/>
      <protection/>
    </xf>
    <xf numFmtId="0" fontId="1" fillId="0" borderId="12" xfId="23" applyFont="1" applyFill="1" applyBorder="1" applyAlignment="1">
      <alignment horizontal="left" wrapText="1"/>
      <protection/>
    </xf>
    <xf numFmtId="0" fontId="1" fillId="0" borderId="0" xfId="23" applyFont="1" applyFill="1" applyBorder="1" applyAlignment="1">
      <alignment wrapText="1"/>
      <protection/>
    </xf>
    <xf numFmtId="0" fontId="3" fillId="0" borderId="12" xfId="23" applyFont="1" applyFill="1" applyBorder="1" applyAlignment="1">
      <alignment/>
      <protection/>
    </xf>
    <xf numFmtId="0" fontId="1" fillId="0" borderId="12" xfId="24" applyFont="1" applyBorder="1" applyAlignment="1">
      <alignment horizontal="left"/>
      <protection/>
    </xf>
    <xf numFmtId="0" fontId="3" fillId="0" borderId="12" xfId="23" applyFont="1" applyFill="1" applyBorder="1" applyAlignment="1">
      <alignment wrapText="1"/>
      <protection/>
    </xf>
    <xf numFmtId="0" fontId="1" fillId="0" borderId="12" xfId="24" applyFont="1" applyBorder="1" applyAlignment="1">
      <alignment horizontal="left" wrapText="1"/>
      <protection/>
    </xf>
    <xf numFmtId="169" fontId="1" fillId="0" borderId="12" xfId="24" applyNumberFormat="1" applyFont="1" applyBorder="1" applyAlignment="1">
      <alignment horizontal="left"/>
      <protection/>
    </xf>
    <xf numFmtId="0" fontId="3" fillId="0" borderId="12" xfId="24" applyFont="1" applyFill="1" applyBorder="1">
      <alignment/>
      <protection/>
    </xf>
    <xf numFmtId="0" fontId="3" fillId="0" borderId="12" xfId="24" applyFont="1" applyBorder="1" applyAlignment="1">
      <alignment wrapText="1"/>
      <protection/>
    </xf>
    <xf numFmtId="172" fontId="1" fillId="0" borderId="12" xfId="25" applyNumberFormat="1" applyFont="1" applyFill="1" applyBorder="1" applyAlignment="1">
      <alignment horizontal="center"/>
    </xf>
    <xf numFmtId="172" fontId="1" fillId="11" borderId="12" xfId="25" applyNumberFormat="1" applyFont="1" applyFill="1" applyBorder="1" applyAlignment="1">
      <alignment horizontal="center"/>
    </xf>
    <xf numFmtId="0" fontId="1" fillId="0" borderId="23" xfId="24" applyFont="1" applyBorder="1">
      <alignment/>
      <protection/>
    </xf>
    <xf numFmtId="0" fontId="1" fillId="0" borderId="24" xfId="24" applyFont="1" applyBorder="1" applyAlignment="1">
      <alignment horizontal="center"/>
      <protection/>
    </xf>
    <xf numFmtId="0" fontId="3" fillId="0" borderId="25" xfId="24" applyFont="1" applyBorder="1">
      <alignment/>
      <protection/>
    </xf>
    <xf numFmtId="0" fontId="1" fillId="0" borderId="26" xfId="24" applyFont="1" applyBorder="1" applyAlignment="1">
      <alignment horizontal="center"/>
      <protection/>
    </xf>
    <xf numFmtId="0" fontId="3" fillId="0" borderId="27" xfId="24" applyFont="1" applyBorder="1">
      <alignment/>
      <protection/>
    </xf>
    <xf numFmtId="0" fontId="1" fillId="0" borderId="13" xfId="24" applyFont="1" applyBorder="1" applyAlignment="1">
      <alignment horizontal="center"/>
      <protection/>
    </xf>
    <xf numFmtId="0" fontId="3" fillId="0" borderId="28" xfId="24" applyFont="1" applyBorder="1">
      <alignment/>
      <protection/>
    </xf>
    <xf numFmtId="0" fontId="1" fillId="0" borderId="27" xfId="24" applyFont="1" applyBorder="1">
      <alignment/>
      <protection/>
    </xf>
    <xf numFmtId="0" fontId="1" fillId="0" borderId="0" xfId="24" applyFont="1">
      <alignment/>
      <protection/>
    </xf>
    <xf numFmtId="0" fontId="1" fillId="0" borderId="0" xfId="24" applyFont="1" applyAlignment="1">
      <alignment horizontal="center"/>
      <protection/>
    </xf>
    <xf numFmtId="0" fontId="1" fillId="0" borderId="0" xfId="24" applyFill="1" applyBorder="1">
      <alignment/>
      <protection/>
    </xf>
    <xf numFmtId="0" fontId="1" fillId="0" borderId="0" xfId="24" applyFill="1" applyBorder="1" applyAlignment="1">
      <alignment horizontal="center"/>
      <protection/>
    </xf>
    <xf numFmtId="0" fontId="1" fillId="0" borderId="0" xfId="24" applyAlignment="1">
      <alignment horizontal="center"/>
      <protection/>
    </xf>
    <xf numFmtId="0" fontId="0" fillId="0" borderId="18" xfId="0" applyBorder="1" applyAlignment="1">
      <alignment horizontal="left" indent="1"/>
    </xf>
    <xf numFmtId="169" fontId="0" fillId="0" borderId="18" xfId="0" applyNumberFormat="1" applyBorder="1" applyAlignment="1">
      <alignment horizontal="left" indent="1"/>
    </xf>
    <xf numFmtId="0" fontId="1" fillId="0" borderId="7" xfId="0" applyFont="1" applyBorder="1" applyAlignment="1">
      <alignment/>
    </xf>
    <xf numFmtId="0" fontId="3" fillId="7" borderId="7" xfId="0" applyFont="1" applyFill="1" applyBorder="1"/>
    <xf numFmtId="0" fontId="14" fillId="0" borderId="4" xfId="0" applyFont="1" applyFill="1" applyBorder="1"/>
    <xf numFmtId="0" fontId="1" fillId="0" borderId="29" xfId="0" applyFont="1" applyFill="1" applyBorder="1"/>
    <xf numFmtId="0" fontId="3" fillId="7" borderId="17" xfId="0" applyFont="1" applyFill="1" applyBorder="1" applyAlignment="1">
      <alignment wrapText="1"/>
    </xf>
    <xf numFmtId="0" fontId="3" fillId="7" borderId="21" xfId="0" applyFont="1" applyFill="1" applyBorder="1" applyAlignment="1">
      <alignment horizontal="left" wrapText="1"/>
    </xf>
    <xf numFmtId="0" fontId="3" fillId="0" borderId="30" xfId="0" applyFont="1" applyFill="1" applyBorder="1" applyAlignment="1">
      <alignment horizontal="center"/>
    </xf>
    <xf numFmtId="4" fontId="3" fillId="7" borderId="12" xfId="0" applyNumberFormat="1" applyFont="1" applyFill="1" applyBorder="1"/>
    <xf numFmtId="166" fontId="3" fillId="7" borderId="12" xfId="0" applyNumberFormat="1" applyFont="1" applyFill="1" applyBorder="1"/>
    <xf numFmtId="4" fontId="3" fillId="7" borderId="22" xfId="0" applyNumberFormat="1" applyFont="1" applyFill="1" applyBorder="1"/>
    <xf numFmtId="4" fontId="1" fillId="12" borderId="12" xfId="0" applyNumberFormat="1" applyFont="1" applyFill="1" applyBorder="1"/>
    <xf numFmtId="4" fontId="1" fillId="12" borderId="22" xfId="0" applyNumberFormat="1" applyFont="1" applyFill="1" applyBorder="1"/>
    <xf numFmtId="4" fontId="3" fillId="12" borderId="22" xfId="0" applyNumberFormat="1" applyFont="1" applyFill="1" applyBorder="1"/>
    <xf numFmtId="0" fontId="3" fillId="13" borderId="31" xfId="0" applyFont="1" applyFill="1" applyBorder="1" applyAlignment="1">
      <alignment horizontal="center"/>
    </xf>
    <xf numFmtId="4" fontId="1" fillId="12" borderId="32" xfId="0" applyNumberFormat="1" applyFont="1" applyFill="1" applyBorder="1"/>
    <xf numFmtId="4" fontId="1" fillId="12" borderId="33" xfId="0" applyNumberFormat="1" applyFont="1" applyFill="1" applyBorder="1"/>
    <xf numFmtId="4" fontId="3" fillId="5" borderId="34" xfId="0" applyNumberFormat="1" applyFont="1" applyFill="1" applyBorder="1"/>
    <xf numFmtId="166" fontId="1" fillId="12" borderId="12" xfId="0" applyNumberFormat="1" applyFont="1" applyFill="1" applyBorder="1"/>
    <xf numFmtId="0" fontId="1" fillId="12" borderId="21" xfId="0" applyFont="1" applyFill="1" applyBorder="1" applyAlignment="1">
      <alignment horizontal="left" vertical="top" wrapText="1"/>
    </xf>
    <xf numFmtId="0" fontId="3" fillId="12" borderId="21" xfId="0" applyFont="1" applyFill="1" applyBorder="1" applyAlignment="1">
      <alignment vertical="top" wrapText="1"/>
    </xf>
    <xf numFmtId="0" fontId="3" fillId="7" borderId="21" xfId="0" applyFont="1" applyFill="1" applyBorder="1" applyAlignment="1">
      <alignment vertical="top" wrapText="1"/>
    </xf>
    <xf numFmtId="0" fontId="3" fillId="7" borderId="21" xfId="0" applyFont="1" applyFill="1" applyBorder="1" applyAlignment="1">
      <alignment horizontal="left" vertical="top" wrapText="1"/>
    </xf>
    <xf numFmtId="0" fontId="3" fillId="12" borderId="35" xfId="0" applyFont="1" applyFill="1" applyBorder="1" applyAlignment="1">
      <alignment vertical="top" wrapText="1"/>
    </xf>
    <xf numFmtId="0" fontId="3" fillId="5" borderId="36" xfId="0" applyFont="1" applyFill="1" applyBorder="1" applyAlignment="1">
      <alignment wrapText="1"/>
    </xf>
    <xf numFmtId="0" fontId="1" fillId="12" borderId="21" xfId="0" applyFont="1" applyFill="1" applyBorder="1" applyAlignment="1">
      <alignment horizontal="left" wrapText="1"/>
    </xf>
    <xf numFmtId="0" fontId="0" fillId="0" borderId="37" xfId="0" applyBorder="1" applyAlignment="1">
      <alignment horizontal="left" indent="1"/>
    </xf>
    <xf numFmtId="169" fontId="0" fillId="0" borderId="37" xfId="0" applyNumberFormat="1" applyBorder="1" applyAlignment="1">
      <alignment horizontal="left" indent="1"/>
    </xf>
    <xf numFmtId="166" fontId="3" fillId="7" borderId="14" xfId="0" applyNumberFormat="1" applyFont="1" applyFill="1" applyBorder="1"/>
    <xf numFmtId="166" fontId="1" fillId="10" borderId="12" xfId="0" applyNumberFormat="1" applyFont="1" applyFill="1" applyBorder="1"/>
    <xf numFmtId="166" fontId="1" fillId="12" borderId="10" xfId="0" applyNumberFormat="1" applyFont="1" applyFill="1" applyBorder="1"/>
    <xf numFmtId="166" fontId="3" fillId="6" borderId="32" xfId="0" applyNumberFormat="1" applyFont="1" applyFill="1" applyBorder="1" applyAlignment="1">
      <alignment/>
    </xf>
    <xf numFmtId="166" fontId="3" fillId="7" borderId="20" xfId="0" applyNumberFormat="1" applyFont="1" applyFill="1" applyBorder="1"/>
    <xf numFmtId="166" fontId="1" fillId="12" borderId="22" xfId="0" applyNumberFormat="1" applyFont="1" applyFill="1" applyBorder="1"/>
    <xf numFmtId="166" fontId="3" fillId="7" borderId="22" xfId="0" applyNumberFormat="1" applyFont="1" applyFill="1" applyBorder="1"/>
    <xf numFmtId="166" fontId="3" fillId="12" borderId="22" xfId="0" applyNumberFormat="1" applyFont="1" applyFill="1" applyBorder="1"/>
    <xf numFmtId="166" fontId="1" fillId="12" borderId="15" xfId="0" applyNumberFormat="1" applyFont="1" applyFill="1" applyBorder="1"/>
    <xf numFmtId="166" fontId="3" fillId="6" borderId="33" xfId="0" applyNumberFormat="1" applyFont="1" applyFill="1" applyBorder="1" applyAlignment="1">
      <alignment/>
    </xf>
    <xf numFmtId="167" fontId="2" fillId="14" borderId="12" xfId="20" applyNumberFormat="1" applyFont="1" applyFill="1" applyBorder="1" applyAlignment="1">
      <alignment horizontal="center"/>
    </xf>
    <xf numFmtId="0" fontId="1" fillId="0" borderId="15" xfId="21" applyNumberFormat="1" applyFont="1" applyBorder="1" applyAlignment="1">
      <alignment horizontal="center"/>
    </xf>
    <xf numFmtId="167" fontId="1" fillId="0" borderId="0" xfId="21" applyNumberFormat="1" applyAlignment="1">
      <alignment vertical="top"/>
    </xf>
    <xf numFmtId="167" fontId="1" fillId="0" borderId="0" xfId="21" applyNumberFormat="1" applyFont="1" applyAlignment="1">
      <alignment vertical="top"/>
    </xf>
    <xf numFmtId="0" fontId="1" fillId="0" borderId="0" xfId="23" applyAlignment="1">
      <alignment vertical="top"/>
      <protection/>
    </xf>
    <xf numFmtId="168" fontId="3" fillId="5" borderId="12" xfId="21" applyNumberFormat="1" applyFont="1" applyFill="1" applyBorder="1" applyAlignment="1">
      <alignment horizontal="center" vertical="top"/>
    </xf>
    <xf numFmtId="167" fontId="2" fillId="14" borderId="12" xfId="20" applyNumberFormat="1" applyFont="1" applyFill="1" applyBorder="1" applyAlignment="1">
      <alignment horizontal="center" vertical="top"/>
    </xf>
    <xf numFmtId="167" fontId="3" fillId="9" borderId="12" xfId="21" applyNumberFormat="1" applyFont="1" applyFill="1" applyBorder="1" applyAlignment="1">
      <alignment horizontal="center" vertical="top"/>
    </xf>
    <xf numFmtId="166" fontId="3" fillId="7" borderId="11" xfId="21" applyNumberFormat="1" applyFont="1" applyFill="1" applyBorder="1"/>
    <xf numFmtId="166" fontId="3" fillId="10" borderId="11" xfId="21" applyNumberFormat="1" applyFont="1" applyFill="1" applyBorder="1"/>
    <xf numFmtId="166" fontId="3" fillId="7" borderId="12" xfId="21" applyNumberFormat="1" applyFont="1" applyFill="1" applyBorder="1" applyAlignment="1">
      <alignment vertical="top"/>
    </xf>
    <xf numFmtId="166" fontId="3" fillId="10" borderId="12" xfId="21" applyNumberFormat="1" applyFont="1" applyFill="1" applyBorder="1" applyAlignment="1">
      <alignment vertical="top"/>
    </xf>
    <xf numFmtId="167" fontId="21" fillId="15" borderId="12" xfId="21" applyNumberFormat="1" applyFont="1" applyFill="1" applyBorder="1" applyAlignment="1">
      <alignment horizontal="left" vertical="center" wrapText="1"/>
    </xf>
    <xf numFmtId="166" fontId="1" fillId="15" borderId="11" xfId="21" applyNumberFormat="1" applyFont="1" applyFill="1" applyBorder="1"/>
    <xf numFmtId="166" fontId="1" fillId="15" borderId="12" xfId="21" applyNumberFormat="1" applyFont="1" applyFill="1" applyBorder="1"/>
    <xf numFmtId="166" fontId="1" fillId="15" borderId="12" xfId="21" applyNumberFormat="1" applyFont="1" applyFill="1" applyBorder="1" applyAlignment="1">
      <alignment vertical="top"/>
    </xf>
    <xf numFmtId="1" fontId="1" fillId="0" borderId="0" xfId="21" applyNumberFormat="1" applyFont="1" applyBorder="1"/>
    <xf numFmtId="167" fontId="1" fillId="0" borderId="0" xfId="21" applyNumberFormat="1" applyFont="1" applyBorder="1"/>
    <xf numFmtId="167" fontId="1" fillId="0" borderId="11" xfId="21" applyNumberFormat="1" applyFont="1" applyBorder="1"/>
    <xf numFmtId="167" fontId="1" fillId="0" borderId="12" xfId="21" applyNumberFormat="1" applyFont="1" applyBorder="1"/>
    <xf numFmtId="167" fontId="1" fillId="15" borderId="11" xfId="21" applyNumberFormat="1" applyFont="1" applyFill="1" applyBorder="1"/>
    <xf numFmtId="167" fontId="1" fillId="15" borderId="12" xfId="21" applyNumberFormat="1" applyFont="1" applyFill="1" applyBorder="1"/>
    <xf numFmtId="1" fontId="1" fillId="0" borderId="0" xfId="23" applyNumberFormat="1" applyFont="1" applyBorder="1">
      <alignment/>
      <protection/>
    </xf>
    <xf numFmtId="0" fontId="21" fillId="15" borderId="12" xfId="21" applyNumberFormat="1" applyFont="1" applyFill="1" applyBorder="1" applyAlignment="1">
      <alignment horizontal="left" wrapText="1"/>
    </xf>
    <xf numFmtId="0" fontId="1" fillId="0" borderId="0" xfId="23" applyFont="1" applyBorder="1">
      <alignment/>
      <protection/>
    </xf>
    <xf numFmtId="0" fontId="1" fillId="0" borderId="11" xfId="23" applyFont="1" applyBorder="1">
      <alignment/>
      <protection/>
    </xf>
    <xf numFmtId="0" fontId="1" fillId="0" borderId="12" xfId="23" applyFont="1" applyBorder="1">
      <alignment/>
      <protection/>
    </xf>
    <xf numFmtId="167" fontId="21" fillId="15" borderId="12" xfId="21" applyNumberFormat="1" applyFont="1" applyFill="1" applyBorder="1" applyAlignment="1">
      <alignment horizontal="left" wrapText="1"/>
    </xf>
    <xf numFmtId="166" fontId="3" fillId="0" borderId="12" xfId="21" applyNumberFormat="1" applyFont="1" applyBorder="1"/>
    <xf numFmtId="166" fontId="3" fillId="9" borderId="12" xfId="21" applyNumberFormat="1" applyFont="1" applyFill="1" applyBorder="1"/>
    <xf numFmtId="166" fontId="3" fillId="0" borderId="12" xfId="21" applyNumberFormat="1" applyFont="1" applyFill="1" applyBorder="1"/>
    <xf numFmtId="166" fontId="3" fillId="7" borderId="12" xfId="21" applyNumberFormat="1" applyFont="1" applyFill="1" applyBorder="1"/>
    <xf numFmtId="0" fontId="0" fillId="0" borderId="38" xfId="0" applyBorder="1"/>
    <xf numFmtId="0" fontId="0" fillId="0" borderId="37" xfId="0" applyBorder="1"/>
    <xf numFmtId="0" fontId="0" fillId="0" borderId="11" xfId="0" applyBorder="1"/>
    <xf numFmtId="0" fontId="10" fillId="0" borderId="0" xfId="23" applyFont="1" applyBorder="1" applyAlignment="1">
      <alignment horizontal="center" vertical="center"/>
      <protection/>
    </xf>
    <xf numFmtId="167" fontId="12" fillId="14" borderId="39" xfId="21" applyNumberFormat="1" applyFont="1" applyFill="1" applyBorder="1" applyAlignment="1">
      <alignment horizontal="center" vertical="center"/>
    </xf>
    <xf numFmtId="166" fontId="12" fillId="14" borderId="39" xfId="21" applyNumberFormat="1" applyFont="1" applyFill="1" applyBorder="1" applyAlignment="1">
      <alignment horizontal="center" vertical="center"/>
    </xf>
    <xf numFmtId="0" fontId="10" fillId="0" borderId="11" xfId="23" applyFont="1" applyBorder="1" applyAlignment="1">
      <alignment horizontal="center" vertical="center"/>
      <protection/>
    </xf>
    <xf numFmtId="0" fontId="10" fillId="0" borderId="12" xfId="23" applyFont="1" applyBorder="1" applyAlignment="1">
      <alignment horizontal="center" vertical="center"/>
      <protection/>
    </xf>
    <xf numFmtId="0" fontId="11" fillId="14" borderId="12" xfId="21" applyNumberFormat="1" applyFont="1" applyFill="1" applyBorder="1" applyAlignment="1">
      <alignment horizontal="left" vertical="center" wrapText="1"/>
    </xf>
    <xf numFmtId="0" fontId="1" fillId="0" borderId="0" xfId="24" applyFill="1">
      <alignment/>
      <protection/>
    </xf>
    <xf numFmtId="167" fontId="3" fillId="5" borderId="37" xfId="21" applyNumberFormat="1" applyFont="1" applyFill="1" applyBorder="1" applyAlignment="1">
      <alignment horizontal="center" vertical="center"/>
    </xf>
    <xf numFmtId="0" fontId="3" fillId="6" borderId="12" xfId="23" applyFont="1" applyFill="1" applyBorder="1" applyAlignment="1">
      <alignment horizontal="center" vertical="center" wrapText="1"/>
      <protection/>
    </xf>
    <xf numFmtId="170" fontId="0" fillId="0" borderId="0" xfId="0" applyNumberFormat="1"/>
    <xf numFmtId="173" fontId="0" fillId="0" borderId="0" xfId="0" applyNumberFormat="1"/>
    <xf numFmtId="172" fontId="0" fillId="0" borderId="0" xfId="31" applyNumberFormat="1" applyFont="1"/>
    <xf numFmtId="0" fontId="0" fillId="16" borderId="0" xfId="0" applyFill="1"/>
    <xf numFmtId="0" fontId="0" fillId="17" borderId="0" xfId="0" applyFill="1"/>
    <xf numFmtId="10" fontId="0" fillId="0" borderId="0" xfId="0" applyNumberFormat="1"/>
    <xf numFmtId="0" fontId="22" fillId="5" borderId="0" xfId="0" applyFont="1" applyFill="1"/>
    <xf numFmtId="0" fontId="0" fillId="5" borderId="0" xfId="0" applyFill="1"/>
    <xf numFmtId="170" fontId="22" fillId="5" borderId="0" xfId="0" applyNumberFormat="1" applyFont="1" applyFill="1"/>
    <xf numFmtId="4" fontId="0" fillId="0" borderId="0" xfId="0" applyNumberFormat="1"/>
    <xf numFmtId="172" fontId="0" fillId="0" borderId="0" xfId="0" applyNumberFormat="1" applyFill="1"/>
    <xf numFmtId="0" fontId="0" fillId="18" borderId="0" xfId="0" applyFill="1"/>
    <xf numFmtId="166" fontId="3" fillId="0" borderId="0" xfId="0" applyNumberFormat="1" applyFont="1"/>
    <xf numFmtId="0" fontId="0" fillId="0" borderId="0" xfId="0" applyFill="1"/>
    <xf numFmtId="0" fontId="24" fillId="0" borderId="0" xfId="0" applyFont="1" applyFill="1"/>
    <xf numFmtId="166" fontId="24" fillId="0" borderId="0" xfId="20" applyFont="1" applyFill="1"/>
    <xf numFmtId="166" fontId="24" fillId="0" borderId="0" xfId="0" applyNumberFormat="1" applyFont="1" applyFill="1"/>
    <xf numFmtId="172" fontId="22" fillId="5" borderId="0" xfId="0" applyNumberFormat="1" applyFont="1" applyFill="1"/>
    <xf numFmtId="166" fontId="0" fillId="0" borderId="0" xfId="0" applyNumberFormat="1"/>
    <xf numFmtId="43" fontId="0" fillId="0" borderId="0" xfId="0" applyNumberFormat="1"/>
    <xf numFmtId="172" fontId="22" fillId="0" borderId="0" xfId="0" applyNumberFormat="1" applyFont="1" applyFill="1"/>
    <xf numFmtId="0" fontId="22" fillId="0" borderId="0" xfId="0" applyFont="1" applyFill="1"/>
    <xf numFmtId="0" fontId="24" fillId="19" borderId="0" xfId="0" applyFont="1" applyFill="1"/>
    <xf numFmtId="4" fontId="2" fillId="14" borderId="12" xfId="20" applyNumberFormat="1" applyFont="1" applyFill="1" applyBorder="1" applyAlignment="1">
      <alignment horizontal="center"/>
    </xf>
    <xf numFmtId="166" fontId="1" fillId="0" borderId="0" xfId="21" applyNumberFormat="1" applyBorder="1"/>
    <xf numFmtId="166" fontId="1" fillId="0" borderId="0" xfId="21" applyNumberFormat="1" applyFont="1" applyBorder="1" applyAlignment="1">
      <alignment horizontal="center"/>
    </xf>
    <xf numFmtId="166" fontId="1" fillId="0" borderId="0" xfId="21" applyNumberFormat="1" applyBorder="1" applyAlignment="1">
      <alignment horizontal="center"/>
    </xf>
    <xf numFmtId="166" fontId="4" fillId="0" borderId="0" xfId="21" applyNumberFormat="1" applyFont="1" applyBorder="1" applyAlignment="1">
      <alignment horizontal="left"/>
    </xf>
    <xf numFmtId="166" fontId="4" fillId="0" borderId="0" xfId="21" applyNumberFormat="1" applyFont="1" applyFill="1" applyBorder="1" applyAlignment="1">
      <alignment horizontal="left"/>
    </xf>
    <xf numFmtId="166" fontId="2" fillId="14" borderId="12" xfId="20" applyNumberFormat="1" applyFont="1" applyFill="1" applyBorder="1" applyAlignment="1">
      <alignment horizontal="center"/>
    </xf>
    <xf numFmtId="166" fontId="3" fillId="8" borderId="12" xfId="21" applyNumberFormat="1" applyFont="1" applyFill="1" applyBorder="1" applyAlignment="1">
      <alignment horizontal="center"/>
    </xf>
    <xf numFmtId="166" fontId="3" fillId="9" borderId="12" xfId="21" applyNumberFormat="1" applyFont="1" applyFill="1" applyBorder="1" applyAlignment="1">
      <alignment horizontal="center"/>
    </xf>
    <xf numFmtId="166" fontId="3" fillId="9" borderId="12" xfId="23" applyNumberFormat="1" applyFont="1" applyFill="1" applyBorder="1">
      <alignment/>
      <protection/>
    </xf>
    <xf numFmtId="166" fontId="1" fillId="0" borderId="0" xfId="21" applyNumberFormat="1"/>
    <xf numFmtId="14" fontId="2" fillId="7" borderId="12" xfId="0" applyNumberFormat="1" applyFont="1" applyFill="1" applyBorder="1" applyAlignment="1">
      <alignment horizontal="center" vertical="center" wrapText="1"/>
    </xf>
    <xf numFmtId="166" fontId="3" fillId="0" borderId="12" xfId="21" applyNumberFormat="1" applyFont="1" applyFill="1" applyBorder="1" applyAlignment="1">
      <alignment vertical="top"/>
    </xf>
    <xf numFmtId="166" fontId="3" fillId="9" borderId="12" xfId="21" applyNumberFormat="1" applyFont="1" applyFill="1" applyBorder="1" applyAlignment="1">
      <alignment vertical="top"/>
    </xf>
    <xf numFmtId="166" fontId="1" fillId="15" borderId="11" xfId="21" applyNumberFormat="1" applyFont="1" applyFill="1" applyBorder="1" applyAlignment="1">
      <alignment vertical="top"/>
    </xf>
    <xf numFmtId="166" fontId="3" fillId="10" borderId="11" xfId="21" applyNumberFormat="1" applyFont="1" applyFill="1" applyBorder="1" applyAlignment="1">
      <alignment vertical="top"/>
    </xf>
    <xf numFmtId="166" fontId="3" fillId="0" borderId="11" xfId="21" applyNumberFormat="1" applyFont="1" applyBorder="1"/>
    <xf numFmtId="166" fontId="3" fillId="9" borderId="11" xfId="21" applyNumberFormat="1" applyFont="1" applyFill="1" applyBorder="1"/>
    <xf numFmtId="166" fontId="3" fillId="9" borderId="11" xfId="23" applyNumberFormat="1" applyFont="1" applyFill="1" applyBorder="1">
      <alignment/>
      <protection/>
    </xf>
    <xf numFmtId="166" fontId="1" fillId="0" borderId="0" xfId="21" applyNumberFormat="1" applyFill="1"/>
    <xf numFmtId="166" fontId="1" fillId="0" borderId="0" xfId="21" applyNumberFormat="1" applyAlignment="1">
      <alignment vertical="top"/>
    </xf>
    <xf numFmtId="40" fontId="3" fillId="7" borderId="12" xfId="0" applyNumberFormat="1" applyFont="1" applyFill="1" applyBorder="1"/>
    <xf numFmtId="40" fontId="1" fillId="12" borderId="12" xfId="0" applyNumberFormat="1" applyFont="1" applyFill="1" applyBorder="1"/>
    <xf numFmtId="40" fontId="1" fillId="0" borderId="12" xfId="0" applyNumberFormat="1" applyFont="1" applyFill="1" applyBorder="1"/>
    <xf numFmtId="40" fontId="1" fillId="12" borderId="32" xfId="0" applyNumberFormat="1" applyFont="1" applyFill="1" applyBorder="1"/>
    <xf numFmtId="40" fontId="1" fillId="0" borderId="32" xfId="0" applyNumberFormat="1" applyFont="1" applyFill="1" applyBorder="1"/>
    <xf numFmtId="40" fontId="3" fillId="5" borderId="34" xfId="0" applyNumberFormat="1" applyFont="1" applyFill="1" applyBorder="1"/>
    <xf numFmtId="40" fontId="3" fillId="7" borderId="12" xfId="21" applyNumberFormat="1" applyFont="1" applyFill="1" applyBorder="1"/>
    <xf numFmtId="40" fontId="1" fillId="15" borderId="12" xfId="21" applyNumberFormat="1" applyFont="1" applyFill="1" applyBorder="1"/>
    <xf numFmtId="40" fontId="3" fillId="10" borderId="12" xfId="21" applyNumberFormat="1" applyFont="1" applyFill="1" applyBorder="1"/>
    <xf numFmtId="40" fontId="3" fillId="0" borderId="12" xfId="21" applyNumberFormat="1" applyFont="1" applyBorder="1"/>
    <xf numFmtId="40" fontId="3" fillId="9" borderId="12" xfId="21" applyNumberFormat="1" applyFont="1" applyFill="1" applyBorder="1"/>
    <xf numFmtId="40" fontId="1" fillId="15" borderId="11" xfId="21" applyNumberFormat="1" applyFont="1" applyFill="1" applyBorder="1"/>
    <xf numFmtId="40" fontId="3" fillId="10" borderId="11" xfId="21" applyNumberFormat="1" applyFont="1" applyFill="1" applyBorder="1"/>
    <xf numFmtId="40" fontId="3" fillId="0" borderId="12" xfId="21" applyNumberFormat="1" applyFont="1" applyFill="1" applyBorder="1"/>
    <xf numFmtId="40" fontId="12" fillId="14" borderId="39" xfId="21" applyNumberFormat="1" applyFont="1" applyFill="1" applyBorder="1" applyAlignment="1">
      <alignment horizontal="center" vertical="center"/>
    </xf>
    <xf numFmtId="40" fontId="1" fillId="0" borderId="0" xfId="23" applyNumberFormat="1" applyFont="1">
      <alignment/>
      <protection/>
    </xf>
    <xf numFmtId="40" fontId="1" fillId="0" borderId="0" xfId="23" applyNumberFormat="1">
      <alignment/>
      <protection/>
    </xf>
    <xf numFmtId="40" fontId="3" fillId="8" borderId="12" xfId="21" applyNumberFormat="1" applyFont="1" applyFill="1" applyBorder="1" applyAlignment="1">
      <alignment horizontal="center"/>
    </xf>
    <xf numFmtId="40" fontId="3" fillId="9" borderId="12" xfId="21" applyNumberFormat="1" applyFont="1" applyFill="1" applyBorder="1" applyAlignment="1">
      <alignment horizontal="center"/>
    </xf>
    <xf numFmtId="0" fontId="0" fillId="0" borderId="0" xfId="0"/>
    <xf numFmtId="166" fontId="1" fillId="15" borderId="11" xfId="21" applyNumberFormat="1" applyFont="1" applyFill="1" applyBorder="1"/>
    <xf numFmtId="166" fontId="1" fillId="15" borderId="12" xfId="21" applyNumberFormat="1" applyFont="1" applyFill="1" applyBorder="1"/>
    <xf numFmtId="9" fontId="0" fillId="0" borderId="0" xfId="0" applyNumberFormat="1"/>
    <xf numFmtId="172" fontId="0" fillId="0" borderId="0" xfId="0" applyNumberFormat="1"/>
    <xf numFmtId="172" fontId="0" fillId="5" borderId="0" xfId="0" applyNumberFormat="1" applyFill="1"/>
    <xf numFmtId="172" fontId="24" fillId="20" borderId="0" xfId="31" applyNumberFormat="1" applyFont="1" applyFill="1"/>
    <xf numFmtId="172" fontId="20" fillId="0" borderId="0" xfId="31" applyNumberFormat="1" applyFont="1"/>
    <xf numFmtId="174" fontId="0" fillId="0" borderId="8" xfId="0" applyNumberFormat="1" applyBorder="1" applyAlignment="1">
      <alignment horizontal="left" indent="1"/>
    </xf>
    <xf numFmtId="0" fontId="28" fillId="21" borderId="0" xfId="0" applyFont="1" applyFill="1" applyAlignment="1">
      <alignment horizontal="left"/>
    </xf>
    <xf numFmtId="172" fontId="22" fillId="21" borderId="0" xfId="31" applyNumberFormat="1" applyFont="1" applyFill="1" applyAlignment="1">
      <alignment horizontal="left"/>
    </xf>
    <xf numFmtId="172" fontId="22" fillId="21" borderId="0" xfId="31" applyNumberFormat="1" applyFont="1" applyFill="1"/>
    <xf numFmtId="0" fontId="27" fillId="22" borderId="0" xfId="0" applyFont="1" applyFill="1"/>
    <xf numFmtId="172" fontId="27" fillId="22" borderId="0" xfId="0" applyNumberFormat="1" applyFont="1" applyFill="1"/>
    <xf numFmtId="0" fontId="1" fillId="0" borderId="0" xfId="21" applyNumberFormat="1" applyFont="1" applyBorder="1" applyAlignment="1">
      <alignment horizontal="center"/>
    </xf>
    <xf numFmtId="9" fontId="0" fillId="0" borderId="0" xfId="38" applyFont="1"/>
    <xf numFmtId="172" fontId="25" fillId="23" borderId="0" xfId="31" applyNumberFormat="1" applyFont="1" applyFill="1"/>
    <xf numFmtId="0" fontId="27" fillId="0" borderId="0" xfId="0" applyFont="1"/>
    <xf numFmtId="170" fontId="27" fillId="0" borderId="0" xfId="0" applyNumberFormat="1" applyFont="1"/>
    <xf numFmtId="173" fontId="27" fillId="0" borderId="0" xfId="0" applyNumberFormat="1" applyFont="1"/>
    <xf numFmtId="9" fontId="27" fillId="0" borderId="0" xfId="0" applyNumberFormat="1" applyFont="1"/>
    <xf numFmtId="9" fontId="27" fillId="0" borderId="0" xfId="38" applyFont="1"/>
    <xf numFmtId="172" fontId="29" fillId="0" borderId="0" xfId="31" applyNumberFormat="1" applyFont="1"/>
    <xf numFmtId="0" fontId="27" fillId="0" borderId="0" xfId="0" applyFont="1" applyFill="1"/>
    <xf numFmtId="0" fontId="27" fillId="5" borderId="0" xfId="0" applyFont="1" applyFill="1"/>
    <xf numFmtId="0" fontId="3" fillId="13" borderId="25" xfId="24" applyFont="1" applyFill="1" applyBorder="1">
      <alignment/>
      <protection/>
    </xf>
    <xf numFmtId="172" fontId="0" fillId="0" borderId="0" xfId="31" applyNumberFormat="1" applyFont="1" applyFill="1"/>
    <xf numFmtId="172" fontId="0" fillId="13" borderId="0" xfId="31" applyNumberFormat="1" applyFont="1" applyFill="1"/>
    <xf numFmtId="172" fontId="25" fillId="13" borderId="0" xfId="31" applyNumberFormat="1" applyFont="1" applyFill="1"/>
    <xf numFmtId="0" fontId="3" fillId="6" borderId="12" xfId="23" applyFont="1" applyFill="1" applyBorder="1" applyAlignment="1">
      <alignment horizontal="center" vertical="center" wrapText="1"/>
      <protection/>
    </xf>
    <xf numFmtId="164" fontId="1" fillId="0" borderId="12" xfId="25" applyNumberFormat="1" applyFont="1" applyFill="1" applyBorder="1" applyAlignment="1">
      <alignment/>
    </xf>
    <xf numFmtId="167" fontId="3" fillId="0" borderId="0" xfId="21" applyNumberFormat="1" applyFont="1" applyFill="1" applyBorder="1"/>
    <xf numFmtId="0" fontId="0" fillId="0" borderId="0" xfId="0" applyBorder="1"/>
    <xf numFmtId="166" fontId="12" fillId="14" borderId="39" xfId="20" applyFont="1" applyFill="1" applyBorder="1" applyAlignment="1">
      <alignment horizontal="center" vertical="center"/>
    </xf>
    <xf numFmtId="0" fontId="3" fillId="0" borderId="25" xfId="24" applyFont="1" applyFill="1" applyBorder="1">
      <alignment/>
      <protection/>
    </xf>
    <xf numFmtId="0" fontId="16" fillId="0" borderId="12" xfId="24" applyFont="1" applyFill="1" applyBorder="1" applyAlignment="1">
      <alignment horizontal="left" vertical="top" wrapText="1"/>
      <protection/>
    </xf>
    <xf numFmtId="169" fontId="32" fillId="0" borderId="8" xfId="0" applyNumberFormat="1" applyFont="1" applyBorder="1" applyAlignment="1">
      <alignment horizontal="left" indent="1"/>
    </xf>
    <xf numFmtId="4" fontId="0" fillId="0" borderId="0" xfId="0" applyNumberFormat="1" applyFill="1"/>
    <xf numFmtId="166" fontId="1" fillId="23" borderId="12" xfId="0" applyNumberFormat="1" applyFont="1" applyFill="1" applyBorder="1"/>
    <xf numFmtId="172" fontId="33" fillId="0" borderId="0" xfId="0" applyNumberFormat="1" applyFont="1"/>
    <xf numFmtId="166" fontId="1" fillId="12" borderId="40" xfId="0" applyNumberFormat="1" applyFont="1" applyFill="1" applyBorder="1"/>
    <xf numFmtId="166" fontId="1" fillId="12" borderId="23" xfId="0" applyNumberFormat="1" applyFont="1" applyFill="1" applyBorder="1"/>
    <xf numFmtId="166" fontId="22" fillId="0" borderId="0" xfId="20" applyFont="1" applyFill="1"/>
    <xf numFmtId="172" fontId="29" fillId="0" borderId="0" xfId="31" applyNumberFormat="1" applyFont="1" applyFill="1"/>
    <xf numFmtId="170" fontId="0" fillId="0" borderId="0" xfId="0" applyNumberFormat="1" applyAlignment="1">
      <alignment horizontal="center" vertical="center"/>
    </xf>
    <xf numFmtId="170" fontId="27" fillId="0" borderId="0" xfId="0" applyNumberFormat="1" applyFont="1" applyAlignment="1">
      <alignment horizontal="center" vertical="center"/>
    </xf>
    <xf numFmtId="0" fontId="22" fillId="5" borderId="0" xfId="0" applyFont="1" applyFill="1" applyAlignment="1">
      <alignment horizontal="center" vertical="center"/>
    </xf>
    <xf numFmtId="49" fontId="22" fillId="5" borderId="0" xfId="0" applyNumberFormat="1" applyFont="1" applyFill="1" applyAlignment="1">
      <alignment horizontal="center" vertical="center"/>
    </xf>
    <xf numFmtId="166" fontId="0" fillId="0" borderId="0" xfId="20" applyFont="1"/>
    <xf numFmtId="166" fontId="27" fillId="0" borderId="0" xfId="20" applyFont="1" applyFill="1"/>
    <xf numFmtId="166" fontId="3" fillId="7" borderId="11" xfId="20" applyFont="1" applyFill="1" applyBorder="1"/>
    <xf numFmtId="0" fontId="3" fillId="6" borderId="12" xfId="23" applyFont="1" applyFill="1" applyBorder="1" applyAlignment="1">
      <alignment horizontal="center" vertical="center" wrapText="1"/>
      <protection/>
    </xf>
    <xf numFmtId="0" fontId="3" fillId="6" borderId="12" xfId="23" applyFont="1" applyFill="1" applyBorder="1" applyAlignment="1">
      <alignment horizontal="center" vertical="center" wrapText="1"/>
      <protection/>
    </xf>
    <xf numFmtId="0" fontId="0" fillId="0" borderId="0" xfId="0" applyAlignment="1">
      <alignment horizontal="center"/>
    </xf>
    <xf numFmtId="170" fontId="22" fillId="5" borderId="0" xfId="0" applyNumberFormat="1" applyFont="1" applyFill="1" applyAlignment="1">
      <alignment horizontal="center"/>
    </xf>
    <xf numFmtId="0" fontId="27" fillId="0" borderId="0" xfId="0" applyFont="1" applyAlignment="1">
      <alignment horizontal="center"/>
    </xf>
    <xf numFmtId="0" fontId="0" fillId="15" borderId="0" xfId="0" applyFill="1" applyAlignment="1">
      <alignment horizontal="center"/>
    </xf>
    <xf numFmtId="49" fontId="0" fillId="0" borderId="0" xfId="0" applyNumberFormat="1" applyAlignment="1">
      <alignment horizontal="center"/>
    </xf>
    <xf numFmtId="0" fontId="22" fillId="5" borderId="0" xfId="0" applyFont="1" applyFill="1" applyAlignment="1">
      <alignment horizontal="center"/>
    </xf>
    <xf numFmtId="6" fontId="0" fillId="5" borderId="0" xfId="0" applyNumberFormat="1" applyFill="1" applyAlignment="1">
      <alignment horizontal="center"/>
    </xf>
    <xf numFmtId="165" fontId="0" fillId="0" borderId="0" xfId="0" applyNumberFormat="1"/>
    <xf numFmtId="0" fontId="27" fillId="0" borderId="0" xfId="39" applyFont="1" applyFill="1"/>
    <xf numFmtId="9" fontId="27" fillId="0" borderId="0" xfId="39" applyNumberFormat="1" applyFont="1" applyFill="1" applyAlignment="1">
      <alignment vertical="center"/>
    </xf>
    <xf numFmtId="172" fontId="27" fillId="0" borderId="0" xfId="39" applyNumberFormat="1" applyFont="1" applyFill="1"/>
    <xf numFmtId="172" fontId="27" fillId="0" borderId="0" xfId="0" applyNumberFormat="1" applyFont="1" applyFill="1"/>
    <xf numFmtId="6" fontId="0" fillId="0" borderId="0" xfId="0" applyNumberFormat="1" applyAlignment="1">
      <alignment horizontal="center"/>
    </xf>
    <xf numFmtId="167" fontId="3" fillId="8" borderId="12" xfId="21" applyNumberFormat="1" applyFont="1" applyFill="1" applyBorder="1" applyAlignment="1">
      <alignment horizontal="center" vertical="center"/>
    </xf>
    <xf numFmtId="0" fontId="0" fillId="0" borderId="0" xfId="0" applyAlignment="1">
      <alignment vertical="center"/>
    </xf>
    <xf numFmtId="166" fontId="0" fillId="0" borderId="0" xfId="20" applyFont="1" applyAlignment="1">
      <alignment vertical="center"/>
    </xf>
    <xf numFmtId="49" fontId="0" fillId="0" borderId="12" xfId="0" applyNumberFormat="1" applyBorder="1"/>
    <xf numFmtId="0" fontId="0" fillId="0" borderId="12" xfId="0" applyBorder="1"/>
    <xf numFmtId="166" fontId="0" fillId="0" borderId="12" xfId="20" applyFont="1" applyBorder="1"/>
    <xf numFmtId="0" fontId="0" fillId="24" borderId="12" xfId="0" applyFill="1" applyBorder="1" applyAlignment="1">
      <alignment vertical="center" wrapText="1"/>
    </xf>
    <xf numFmtId="166" fontId="0" fillId="24" borderId="12" xfId="20" applyFont="1" applyFill="1" applyBorder="1" applyAlignment="1">
      <alignment vertical="center" wrapText="1"/>
    </xf>
    <xf numFmtId="166" fontId="1" fillId="15" borderId="11" xfId="20" applyFont="1" applyFill="1" applyBorder="1"/>
    <xf numFmtId="49" fontId="27" fillId="0" borderId="0" xfId="39" applyNumberFormat="1" applyFont="1" applyFill="1"/>
    <xf numFmtId="0" fontId="0" fillId="25" borderId="0" xfId="0" applyFill="1"/>
    <xf numFmtId="166" fontId="0" fillId="0" borderId="0" xfId="20" applyFont="1" applyFill="1"/>
    <xf numFmtId="0" fontId="3" fillId="0" borderId="41" xfId="0" applyFont="1" applyFill="1" applyBorder="1" applyAlignment="1">
      <alignment horizontal="center"/>
    </xf>
    <xf numFmtId="40" fontId="1" fillId="0" borderId="38" xfId="0" applyNumberFormat="1" applyFont="1" applyFill="1" applyBorder="1"/>
    <xf numFmtId="40" fontId="1" fillId="0" borderId="42" xfId="0" applyNumberFormat="1" applyFont="1" applyFill="1" applyBorder="1"/>
    <xf numFmtId="43" fontId="0" fillId="0" borderId="0" xfId="0" applyNumberFormat="1" applyFill="1"/>
    <xf numFmtId="0" fontId="0" fillId="24" borderId="0" xfId="0" applyFill="1"/>
    <xf numFmtId="0" fontId="27" fillId="24" borderId="0" xfId="39" applyFont="1" applyFill="1"/>
    <xf numFmtId="172" fontId="27" fillId="24" borderId="0" xfId="39" applyNumberFormat="1" applyFont="1" applyFill="1"/>
    <xf numFmtId="172" fontId="27" fillId="24" borderId="0" xfId="39" applyNumberFormat="1" applyFont="1" applyFill="1" applyBorder="1"/>
    <xf numFmtId="0" fontId="27" fillId="24" borderId="0" xfId="39" applyFont="1" applyFill="1" applyAlignment="1">
      <alignment horizontal="center" vertical="center"/>
    </xf>
    <xf numFmtId="9" fontId="27" fillId="24" borderId="0" xfId="39" applyNumberFormat="1" applyFont="1" applyFill="1" applyAlignment="1">
      <alignment vertical="center"/>
    </xf>
    <xf numFmtId="9" fontId="27" fillId="24" borderId="0" xfId="39" applyNumberFormat="1" applyFont="1" applyFill="1"/>
    <xf numFmtId="0" fontId="27" fillId="24" borderId="0" xfId="39" applyFont="1" applyFill="1" applyAlignment="1">
      <alignment vertical="center"/>
    </xf>
    <xf numFmtId="0" fontId="3" fillId="6" borderId="12" xfId="23" applyFont="1" applyFill="1" applyBorder="1" applyAlignment="1">
      <alignment horizontal="center" vertical="center" wrapText="1"/>
      <protection/>
    </xf>
    <xf numFmtId="166" fontId="27" fillId="26" borderId="0" xfId="20" applyFont="1" applyFill="1"/>
    <xf numFmtId="166" fontId="27" fillId="26" borderId="0" xfId="39" applyNumberFormat="1" applyFont="1" applyFill="1"/>
    <xf numFmtId="172" fontId="27" fillId="26" borderId="0" xfId="39" applyNumberFormat="1" applyFont="1" applyFill="1"/>
    <xf numFmtId="9" fontId="27" fillId="26" borderId="0" xfId="39" applyNumberFormat="1" applyFont="1" applyFill="1" applyAlignment="1">
      <alignment vertical="center"/>
    </xf>
    <xf numFmtId="0" fontId="27" fillId="26" borderId="0" xfId="39" applyFont="1" applyFill="1" applyAlignment="1">
      <alignment vertical="center"/>
    </xf>
    <xf numFmtId="9" fontId="27" fillId="26" borderId="0" xfId="38" applyFont="1" applyFill="1" applyAlignment="1">
      <alignment vertical="center"/>
    </xf>
    <xf numFmtId="6" fontId="22" fillId="5" borderId="0" xfId="0" applyNumberFormat="1" applyFont="1" applyFill="1" applyAlignment="1">
      <alignment horizontal="center"/>
    </xf>
    <xf numFmtId="166" fontId="1" fillId="15" borderId="12" xfId="20" applyFont="1" applyFill="1" applyBorder="1"/>
    <xf numFmtId="0" fontId="1" fillId="0" borderId="0" xfId="23" applyFont="1" applyFill="1">
      <alignment/>
      <protection/>
    </xf>
    <xf numFmtId="0" fontId="1" fillId="0" borderId="0" xfId="23" applyFill="1">
      <alignment/>
      <protection/>
    </xf>
    <xf numFmtId="166" fontId="1" fillId="0" borderId="0" xfId="23" applyNumberFormat="1" applyFill="1" applyAlignment="1">
      <alignment horizontal="center" vertical="center"/>
      <protection/>
    </xf>
    <xf numFmtId="167" fontId="1" fillId="0" borderId="0" xfId="21" applyNumberFormat="1" applyFill="1" applyAlignment="1">
      <alignment vertical="top"/>
    </xf>
    <xf numFmtId="166" fontId="27" fillId="27" borderId="0" xfId="39" applyNumberFormat="1" applyFont="1" applyFill="1"/>
    <xf numFmtId="166" fontId="27" fillId="27" borderId="0" xfId="20" applyFont="1" applyFill="1"/>
    <xf numFmtId="172" fontId="27" fillId="0" borderId="0" xfId="39" applyNumberFormat="1" applyFont="1" applyFill="1" applyBorder="1"/>
    <xf numFmtId="0" fontId="28" fillId="0" borderId="0" xfId="0" applyFont="1" applyFill="1" applyAlignment="1">
      <alignment horizontal="left"/>
    </xf>
    <xf numFmtId="172" fontId="22" fillId="0" borderId="0" xfId="31" applyNumberFormat="1" applyFont="1" applyFill="1" applyAlignment="1">
      <alignment horizontal="left"/>
    </xf>
    <xf numFmtId="172" fontId="22" fillId="0" borderId="0" xfId="31" applyNumberFormat="1" applyFont="1" applyFill="1"/>
    <xf numFmtId="166" fontId="0" fillId="0" borderId="0" xfId="0" applyNumberFormat="1" applyFill="1"/>
    <xf numFmtId="172" fontId="27" fillId="28" borderId="0" xfId="39" applyNumberFormat="1" applyFont="1" applyFill="1"/>
    <xf numFmtId="0" fontId="27" fillId="28" borderId="0" xfId="0" applyFont="1" applyFill="1"/>
    <xf numFmtId="172" fontId="0" fillId="28" borderId="0" xfId="0" applyNumberFormat="1" applyFill="1"/>
    <xf numFmtId="0" fontId="0" fillId="28" borderId="0" xfId="0" applyFill="1"/>
    <xf numFmtId="166" fontId="0" fillId="28" borderId="0" xfId="20" applyFont="1" applyFill="1"/>
    <xf numFmtId="43" fontId="0" fillId="28" borderId="0" xfId="0" applyNumberFormat="1" applyFill="1"/>
    <xf numFmtId="0" fontId="0" fillId="15" borderId="25" xfId="0" applyFill="1" applyBorder="1"/>
    <xf numFmtId="0" fontId="0" fillId="15" borderId="0" xfId="0" applyFill="1" applyBorder="1"/>
    <xf numFmtId="0" fontId="27" fillId="15" borderId="0" xfId="39" applyFont="1" applyFill="1" applyBorder="1"/>
    <xf numFmtId="166" fontId="28" fillId="15" borderId="0" xfId="39" applyNumberFormat="1" applyFont="1" applyFill="1" applyBorder="1"/>
    <xf numFmtId="0" fontId="28" fillId="15" borderId="0" xfId="39" applyFont="1" applyFill="1" applyBorder="1" applyAlignment="1">
      <alignment horizontal="center" vertical="center"/>
    </xf>
    <xf numFmtId="9" fontId="27" fillId="15" borderId="0" xfId="39" applyNumberFormat="1" applyFont="1" applyFill="1" applyBorder="1" applyAlignment="1">
      <alignment vertical="center"/>
    </xf>
    <xf numFmtId="9" fontId="27" fillId="15" borderId="0" xfId="39" applyNumberFormat="1" applyFont="1" applyFill="1" applyBorder="1"/>
    <xf numFmtId="172" fontId="27" fillId="15" borderId="0" xfId="39" applyNumberFormat="1" applyFont="1" applyFill="1" applyBorder="1"/>
    <xf numFmtId="166" fontId="27" fillId="15" borderId="0" xfId="39" applyNumberFormat="1" applyFont="1" applyFill="1" applyBorder="1"/>
    <xf numFmtId="166" fontId="27" fillId="15" borderId="0" xfId="20" applyFont="1" applyFill="1" applyBorder="1"/>
    <xf numFmtId="0" fontId="0" fillId="15" borderId="27" xfId="0" applyFill="1" applyBorder="1"/>
    <xf numFmtId="0" fontId="0" fillId="15" borderId="18" xfId="0" applyFill="1" applyBorder="1"/>
    <xf numFmtId="0" fontId="27" fillId="15" borderId="18" xfId="39" applyFont="1" applyFill="1" applyBorder="1"/>
    <xf numFmtId="166" fontId="28" fillId="15" borderId="18" xfId="39" applyNumberFormat="1" applyFont="1" applyFill="1" applyBorder="1"/>
    <xf numFmtId="0" fontId="28" fillId="15" borderId="18" xfId="39" applyFont="1" applyFill="1" applyBorder="1" applyAlignment="1">
      <alignment horizontal="center" vertical="center"/>
    </xf>
    <xf numFmtId="9" fontId="27" fillId="15" borderId="18" xfId="39" applyNumberFormat="1" applyFont="1" applyFill="1" applyBorder="1" applyAlignment="1">
      <alignment vertical="center"/>
    </xf>
    <xf numFmtId="9" fontId="27" fillId="15" borderId="18" xfId="39" applyNumberFormat="1" applyFont="1" applyFill="1" applyBorder="1"/>
    <xf numFmtId="172" fontId="27" fillId="15" borderId="18" xfId="39" applyNumberFormat="1" applyFont="1" applyFill="1" applyBorder="1"/>
    <xf numFmtId="166" fontId="27" fillId="15" borderId="18" xfId="20" applyFont="1" applyFill="1" applyBorder="1"/>
    <xf numFmtId="166" fontId="27" fillId="24" borderId="0" xfId="39" applyNumberFormat="1" applyFont="1" applyFill="1"/>
    <xf numFmtId="166" fontId="27" fillId="24" borderId="0" xfId="20" applyFont="1" applyFill="1"/>
    <xf numFmtId="0" fontId="27" fillId="24" borderId="0" xfId="39" applyFont="1" applyFill="1" applyAlignment="1">
      <alignment wrapText="1"/>
    </xf>
    <xf numFmtId="0" fontId="0" fillId="15" borderId="23" xfId="0" applyFill="1" applyBorder="1"/>
    <xf numFmtId="0" fontId="0" fillId="15" borderId="43" xfId="0" applyFill="1" applyBorder="1"/>
    <xf numFmtId="0" fontId="27" fillId="15" borderId="43" xfId="39" applyFont="1" applyFill="1" applyBorder="1"/>
    <xf numFmtId="166" fontId="28" fillId="15" borderId="43" xfId="39" applyNumberFormat="1" applyFont="1" applyFill="1" applyBorder="1"/>
    <xf numFmtId="0" fontId="28" fillId="15" borderId="43" xfId="39" applyFont="1" applyFill="1" applyBorder="1" applyAlignment="1">
      <alignment horizontal="center" vertical="center"/>
    </xf>
    <xf numFmtId="9" fontId="27" fillId="15" borderId="43" xfId="39" applyNumberFormat="1" applyFont="1" applyFill="1" applyBorder="1" applyAlignment="1">
      <alignment vertical="center"/>
    </xf>
    <xf numFmtId="9" fontId="27" fillId="15" borderId="43" xfId="39" applyNumberFormat="1" applyFont="1" applyFill="1" applyBorder="1"/>
    <xf numFmtId="9" fontId="27" fillId="15" borderId="43" xfId="38" applyFont="1" applyFill="1" applyBorder="1" applyAlignment="1">
      <alignment vertical="center"/>
    </xf>
    <xf numFmtId="172" fontId="27" fillId="15" borderId="43" xfId="39" applyNumberFormat="1" applyFont="1" applyFill="1" applyBorder="1"/>
    <xf numFmtId="166" fontId="27" fillId="15" borderId="43" xfId="39" applyNumberFormat="1" applyFont="1" applyFill="1" applyBorder="1"/>
    <xf numFmtId="166" fontId="27" fillId="15" borderId="43" xfId="20" applyFont="1" applyFill="1" applyBorder="1"/>
    <xf numFmtId="9" fontId="27" fillId="24" borderId="0" xfId="38" applyFont="1" applyFill="1" applyAlignment="1">
      <alignment vertical="center"/>
    </xf>
    <xf numFmtId="166" fontId="0" fillId="24" borderId="0" xfId="39" applyNumberFormat="1" applyFont="1" applyFill="1"/>
    <xf numFmtId="166" fontId="0" fillId="24" borderId="0" xfId="20" applyFont="1" applyFill="1"/>
    <xf numFmtId="166" fontId="27" fillId="24" borderId="0" xfId="39" applyNumberFormat="1" applyFont="1" applyFill="1" applyAlignment="1">
      <alignment horizontal="center" vertical="center"/>
    </xf>
    <xf numFmtId="0" fontId="0" fillId="27" borderId="0" xfId="0" applyFill="1"/>
    <xf numFmtId="0" fontId="27" fillId="27" borderId="0" xfId="39" applyFont="1" applyFill="1"/>
    <xf numFmtId="173" fontId="27" fillId="27" borderId="0" xfId="39" applyNumberFormat="1" applyFont="1" applyFill="1" applyAlignment="1">
      <alignment vertical="center"/>
    </xf>
    <xf numFmtId="9" fontId="27" fillId="27" borderId="43" xfId="38" applyFont="1" applyFill="1" applyBorder="1" applyAlignment="1">
      <alignment vertical="center"/>
    </xf>
    <xf numFmtId="9" fontId="27" fillId="27" borderId="0" xfId="38" applyFont="1" applyFill="1" applyBorder="1" applyAlignment="1">
      <alignment vertical="center"/>
    </xf>
    <xf numFmtId="9" fontId="27" fillId="27" borderId="0" xfId="39" applyNumberFormat="1" applyFont="1" applyFill="1"/>
    <xf numFmtId="172" fontId="27" fillId="27" borderId="0" xfId="39" applyNumberFormat="1" applyFont="1" applyFill="1"/>
    <xf numFmtId="172" fontId="27" fillId="27" borderId="0" xfId="39" applyNumberFormat="1" applyFont="1" applyFill="1" applyBorder="1"/>
    <xf numFmtId="9" fontId="27" fillId="27" borderId="0" xfId="39" applyNumberFormat="1" applyFont="1" applyFill="1" applyAlignment="1">
      <alignment vertical="center"/>
    </xf>
    <xf numFmtId="0" fontId="27" fillId="27" borderId="0" xfId="39" applyFont="1" applyFill="1" applyAlignment="1">
      <alignment vertical="center"/>
    </xf>
    <xf numFmtId="166" fontId="27" fillId="27" borderId="0" xfId="39" applyNumberFormat="1" applyFont="1" applyFill="1" applyAlignment="1">
      <alignment vertical="center"/>
    </xf>
    <xf numFmtId="175" fontId="27" fillId="27" borderId="0" xfId="39" applyNumberFormat="1" applyFont="1" applyFill="1" applyBorder="1"/>
    <xf numFmtId="0" fontId="0" fillId="29" borderId="0" xfId="0" applyFill="1"/>
    <xf numFmtId="0" fontId="27" fillId="29" borderId="0" xfId="0" applyFont="1" applyFill="1"/>
    <xf numFmtId="0" fontId="27" fillId="29" borderId="0" xfId="39" applyFont="1" applyFill="1"/>
    <xf numFmtId="166" fontId="27" fillId="29" borderId="0" xfId="39" applyNumberFormat="1" applyFont="1" applyFill="1"/>
    <xf numFmtId="9" fontId="27" fillId="29" borderId="0" xfId="39" applyNumberFormat="1" applyFont="1" applyFill="1" applyAlignment="1">
      <alignment vertical="center"/>
    </xf>
    <xf numFmtId="0" fontId="27" fillId="29" borderId="0" xfId="39" applyFont="1" applyFill="1" applyAlignment="1">
      <alignment vertical="center"/>
    </xf>
    <xf numFmtId="9" fontId="27" fillId="29" borderId="0" xfId="39" applyNumberFormat="1" applyFont="1" applyFill="1"/>
    <xf numFmtId="172" fontId="27" fillId="29" borderId="0" xfId="39" applyNumberFormat="1" applyFont="1" applyFill="1"/>
    <xf numFmtId="166" fontId="27" fillId="29" borderId="0" xfId="20" applyFont="1" applyFill="1"/>
    <xf numFmtId="172" fontId="27" fillId="29" borderId="0" xfId="39" applyNumberFormat="1" applyFont="1" applyFill="1" applyBorder="1"/>
    <xf numFmtId="173" fontId="27" fillId="29" borderId="0" xfId="39" applyNumberFormat="1" applyFont="1" applyFill="1" applyAlignment="1">
      <alignment vertical="center"/>
    </xf>
    <xf numFmtId="166" fontId="27" fillId="29" borderId="0" xfId="39" applyNumberFormat="1" applyFont="1" applyFill="1" applyAlignment="1">
      <alignment vertical="center"/>
    </xf>
    <xf numFmtId="9" fontId="27" fillId="29" borderId="0" xfId="38" applyFont="1" applyFill="1" applyAlignment="1">
      <alignment vertical="center"/>
    </xf>
    <xf numFmtId="0" fontId="0" fillId="26" borderId="0" xfId="0" applyFill="1"/>
    <xf numFmtId="172" fontId="27" fillId="26" borderId="0" xfId="0" applyNumberFormat="1" applyFont="1" applyFill="1"/>
    <xf numFmtId="0" fontId="27" fillId="26" borderId="0" xfId="39" applyFont="1" applyFill="1"/>
    <xf numFmtId="166" fontId="27" fillId="26" borderId="0" xfId="39" applyNumberFormat="1" applyFont="1" applyFill="1" applyAlignment="1">
      <alignment vertical="center"/>
    </xf>
    <xf numFmtId="9" fontId="27" fillId="26" borderId="0" xfId="39" applyNumberFormat="1" applyFont="1" applyFill="1"/>
    <xf numFmtId="165" fontId="27" fillId="26" borderId="0" xfId="39" applyNumberFormat="1" applyFont="1" applyFill="1"/>
    <xf numFmtId="172" fontId="27" fillId="26" borderId="0" xfId="39" applyNumberFormat="1" applyFont="1" applyFill="1" applyBorder="1"/>
    <xf numFmtId="10" fontId="27" fillId="26" borderId="0" xfId="39" applyNumberFormat="1" applyFont="1" applyFill="1" applyAlignment="1">
      <alignment vertical="center"/>
    </xf>
    <xf numFmtId="10" fontId="27" fillId="26" borderId="0" xfId="39" applyNumberFormat="1" applyFont="1" applyFill="1"/>
    <xf numFmtId="0" fontId="0" fillId="30" borderId="0" xfId="0" applyFill="1"/>
    <xf numFmtId="0" fontId="0" fillId="30" borderId="0" xfId="0" applyFont="1" applyFill="1"/>
    <xf numFmtId="0" fontId="27" fillId="30" borderId="0" xfId="39" applyFont="1" applyFill="1"/>
    <xf numFmtId="166" fontId="27" fillId="30" borderId="0" xfId="39" applyNumberFormat="1" applyFont="1" applyFill="1"/>
    <xf numFmtId="9" fontId="27" fillId="30" borderId="0" xfId="39" applyNumberFormat="1" applyFont="1" applyFill="1" applyAlignment="1">
      <alignment vertical="center"/>
    </xf>
    <xf numFmtId="0" fontId="27" fillId="30" borderId="0" xfId="39" applyFont="1" applyFill="1" applyAlignment="1">
      <alignment vertical="center"/>
    </xf>
    <xf numFmtId="9" fontId="27" fillId="30" borderId="0" xfId="39" applyNumberFormat="1" applyFont="1" applyFill="1"/>
    <xf numFmtId="172" fontId="27" fillId="30" borderId="0" xfId="39" applyNumberFormat="1" applyFont="1" applyFill="1"/>
    <xf numFmtId="172" fontId="27" fillId="30" borderId="0" xfId="39" applyNumberFormat="1" applyFont="1" applyFill="1" applyBorder="1"/>
    <xf numFmtId="9" fontId="27" fillId="30" borderId="0" xfId="39" applyNumberFormat="1" applyFont="1" applyFill="1" applyBorder="1" applyAlignment="1">
      <alignment vertical="center"/>
    </xf>
    <xf numFmtId="166" fontId="27" fillId="30" borderId="0" xfId="20" applyFont="1" applyFill="1"/>
    <xf numFmtId="0" fontId="0" fillId="31" borderId="0" xfId="0" applyFill="1"/>
    <xf numFmtId="0" fontId="0" fillId="31" borderId="0" xfId="0" applyFont="1" applyFill="1"/>
    <xf numFmtId="0" fontId="27" fillId="31" borderId="0" xfId="39" applyFont="1" applyFill="1"/>
    <xf numFmtId="172" fontId="27" fillId="31" borderId="0" xfId="39" applyNumberFormat="1" applyFont="1" applyFill="1"/>
    <xf numFmtId="0" fontId="27" fillId="31" borderId="0" xfId="39" applyFont="1" applyFill="1" applyAlignment="1">
      <alignment vertical="center"/>
    </xf>
    <xf numFmtId="10" fontId="27" fillId="31" borderId="0" xfId="39" applyNumberFormat="1" applyFont="1" applyFill="1" applyAlignment="1">
      <alignment vertical="center"/>
    </xf>
    <xf numFmtId="9" fontId="27" fillId="31" borderId="0" xfId="38" applyFont="1" applyFill="1" applyAlignment="1">
      <alignment vertical="center"/>
    </xf>
    <xf numFmtId="9" fontId="27" fillId="31" borderId="0" xfId="39" applyNumberFormat="1" applyFont="1" applyFill="1" applyAlignment="1">
      <alignment vertical="center"/>
    </xf>
    <xf numFmtId="9" fontId="27" fillId="31" borderId="0" xfId="39" applyNumberFormat="1" applyFont="1" applyFill="1"/>
    <xf numFmtId="166" fontId="27" fillId="31" borderId="0" xfId="39" applyNumberFormat="1" applyFont="1" applyFill="1"/>
    <xf numFmtId="166" fontId="27" fillId="31" borderId="0" xfId="20" applyFont="1" applyFill="1"/>
    <xf numFmtId="172" fontId="27" fillId="31" borderId="0" xfId="39" applyNumberFormat="1" applyFont="1" applyFill="1" applyBorder="1"/>
    <xf numFmtId="10" fontId="27" fillId="31" borderId="0" xfId="39" applyNumberFormat="1" applyFont="1" applyFill="1"/>
    <xf numFmtId="166" fontId="27" fillId="31" borderId="0" xfId="39" applyNumberFormat="1" applyFont="1" applyFill="1" applyAlignment="1">
      <alignment vertical="center"/>
    </xf>
    <xf numFmtId="172" fontId="27" fillId="31" borderId="0" xfId="39" applyNumberFormat="1" applyFont="1" applyFill="1" applyAlignment="1">
      <alignment vertical="center"/>
    </xf>
    <xf numFmtId="165" fontId="27" fillId="31" borderId="0" xfId="39" applyNumberFormat="1" applyFont="1" applyFill="1"/>
    <xf numFmtId="0" fontId="24" fillId="31" borderId="0" xfId="0" applyFont="1" applyFill="1"/>
    <xf numFmtId="166" fontId="34" fillId="31" borderId="0" xfId="20" applyFont="1" applyFill="1"/>
    <xf numFmtId="0" fontId="34" fillId="31" borderId="0" xfId="39" applyFill="1"/>
    <xf numFmtId="166" fontId="34" fillId="31" borderId="0" xfId="39" applyNumberFormat="1" applyFill="1"/>
    <xf numFmtId="172" fontId="34" fillId="31" borderId="0" xfId="39" applyNumberFormat="1" applyFill="1"/>
    <xf numFmtId="0" fontId="0" fillId="32" borderId="0" xfId="0" applyFill="1"/>
    <xf numFmtId="166" fontId="0" fillId="32" borderId="0" xfId="20" applyFont="1" applyFill="1"/>
    <xf numFmtId="172" fontId="0" fillId="32" borderId="0" xfId="31" applyNumberFormat="1" applyFont="1" applyFill="1"/>
    <xf numFmtId="166" fontId="1" fillId="0" borderId="0" xfId="20" applyFont="1"/>
    <xf numFmtId="0" fontId="24" fillId="24" borderId="0" xfId="0" applyFont="1" applyFill="1"/>
    <xf numFmtId="0" fontId="26" fillId="24" borderId="0" xfId="39" applyFont="1" applyFill="1"/>
    <xf numFmtId="166" fontId="27" fillId="24" borderId="0" xfId="39" applyNumberFormat="1" applyFont="1" applyFill="1" applyAlignment="1">
      <alignment vertical="center"/>
    </xf>
    <xf numFmtId="166" fontId="3" fillId="10" borderId="11" xfId="20" applyFont="1" applyFill="1" applyBorder="1"/>
    <xf numFmtId="166" fontId="27" fillId="0" borderId="0" xfId="39" applyNumberFormat="1" applyFont="1" applyFill="1" applyAlignment="1">
      <alignment vertical="center"/>
    </xf>
    <xf numFmtId="166" fontId="27" fillId="33" borderId="0" xfId="39" applyNumberFormat="1" applyFont="1" applyFill="1" applyAlignment="1">
      <alignment vertical="center"/>
    </xf>
    <xf numFmtId="166" fontId="27" fillId="13" borderId="0" xfId="39" applyNumberFormat="1" applyFont="1" applyFill="1" applyAlignment="1">
      <alignment vertical="center"/>
    </xf>
    <xf numFmtId="175" fontId="27" fillId="31" borderId="0" xfId="39" applyNumberFormat="1" applyFont="1" applyFill="1" applyBorder="1"/>
    <xf numFmtId="176" fontId="27" fillId="31" borderId="0" xfId="39" applyNumberFormat="1" applyFont="1" applyFill="1" applyBorder="1"/>
    <xf numFmtId="177" fontId="27" fillId="31" borderId="0" xfId="39" applyNumberFormat="1" applyFont="1" applyFill="1" applyBorder="1"/>
    <xf numFmtId="166" fontId="3" fillId="7" borderId="12" xfId="20" applyFont="1" applyFill="1" applyBorder="1"/>
    <xf numFmtId="0" fontId="1" fillId="0" borderId="0" xfId="23" applyFont="1" applyAlignment="1">
      <alignment horizontal="left" wrapText="1"/>
      <protection/>
    </xf>
    <xf numFmtId="168" fontId="3" fillId="6" borderId="12" xfId="21" applyNumberFormat="1" applyFont="1" applyFill="1" applyBorder="1" applyAlignment="1">
      <alignment horizontal="center" vertical="top" wrapText="1"/>
    </xf>
    <xf numFmtId="167" fontId="5" fillId="9" borderId="12" xfId="22" applyNumberFormat="1" applyFont="1" applyFill="1" applyBorder="1" applyAlignment="1">
      <alignment horizontal="center" vertical="center" wrapText="1"/>
    </xf>
    <xf numFmtId="0" fontId="3" fillId="6" borderId="12" xfId="23" applyFont="1" applyFill="1" applyBorder="1" applyAlignment="1">
      <alignment horizontal="center" vertical="top" wrapText="1"/>
      <protection/>
    </xf>
    <xf numFmtId="49" fontId="3" fillId="6" borderId="40" xfId="0" applyNumberFormat="1" applyFont="1" applyFill="1" applyBorder="1" applyAlignment="1">
      <alignment horizontal="center" vertical="center" wrapText="1"/>
    </xf>
    <xf numFmtId="49" fontId="3" fillId="6" borderId="14" xfId="0" applyNumberFormat="1" applyFont="1" applyFill="1" applyBorder="1" applyAlignment="1">
      <alignment horizontal="center" vertical="center" wrapText="1"/>
    </xf>
    <xf numFmtId="166" fontId="2" fillId="7" borderId="12" xfId="0" applyNumberFormat="1" applyFont="1" applyFill="1" applyBorder="1" applyAlignment="1">
      <alignment horizontal="center" vertical="center" wrapText="1"/>
    </xf>
    <xf numFmtId="4" fontId="2" fillId="7" borderId="12" xfId="0" applyNumberFormat="1" applyFont="1" applyFill="1" applyBorder="1" applyAlignment="1">
      <alignment horizontal="center" vertical="center" wrapText="1"/>
    </xf>
    <xf numFmtId="168" fontId="3" fillId="6" borderId="12" xfId="21" applyNumberFormat="1" applyFont="1" applyFill="1" applyBorder="1" applyAlignment="1">
      <alignment horizontal="center" vertical="center" wrapText="1"/>
    </xf>
    <xf numFmtId="49" fontId="2" fillId="6" borderId="12" xfId="0" applyNumberFormat="1" applyFont="1" applyFill="1" applyBorder="1" applyAlignment="1">
      <alignment horizontal="center" vertical="center" wrapText="1"/>
    </xf>
    <xf numFmtId="0" fontId="3" fillId="6" borderId="12" xfId="23" applyFont="1" applyFill="1" applyBorder="1" applyAlignment="1">
      <alignment horizontal="center" vertical="center" wrapText="1"/>
      <protection/>
    </xf>
    <xf numFmtId="166" fontId="2" fillId="7" borderId="38" xfId="0" applyNumberFormat="1" applyFont="1" applyFill="1" applyBorder="1" applyAlignment="1">
      <alignment horizontal="center" vertical="center" wrapText="1"/>
    </xf>
    <xf numFmtId="166" fontId="2" fillId="7" borderId="37" xfId="0" applyNumberFormat="1" applyFont="1" applyFill="1" applyBorder="1" applyAlignment="1">
      <alignment horizontal="center" vertical="center" wrapText="1"/>
    </xf>
    <xf numFmtId="166" fontId="2" fillId="7" borderId="11" xfId="0" applyNumberFormat="1" applyFont="1" applyFill="1" applyBorder="1" applyAlignment="1">
      <alignment horizontal="center" vertical="center" wrapText="1"/>
    </xf>
    <xf numFmtId="49" fontId="2" fillId="7" borderId="38" xfId="0" applyNumberFormat="1" applyFont="1" applyFill="1" applyBorder="1" applyAlignment="1">
      <alignment horizontal="center" vertical="center" wrapText="1"/>
    </xf>
    <xf numFmtId="49" fontId="2" fillId="7" borderId="37" xfId="0" applyNumberFormat="1" applyFont="1" applyFill="1" applyBorder="1" applyAlignment="1">
      <alignment horizontal="center" vertical="center" wrapText="1"/>
    </xf>
    <xf numFmtId="0" fontId="15" fillId="6" borderId="44" xfId="0" applyFont="1" applyFill="1" applyBorder="1" applyAlignment="1">
      <alignment horizontal="center" vertical="center" wrapText="1"/>
    </xf>
    <xf numFmtId="0" fontId="15" fillId="6" borderId="45" xfId="0" applyFont="1" applyFill="1" applyBorder="1" applyAlignment="1">
      <alignment horizontal="center" vertical="center"/>
    </xf>
    <xf numFmtId="0" fontId="17" fillId="6" borderId="29" xfId="0" applyFont="1" applyFill="1" applyBorder="1" applyAlignment="1">
      <alignment vertical="center" wrapText="1"/>
    </xf>
    <xf numFmtId="0" fontId="0" fillId="6" borderId="46" xfId="0" applyFill="1" applyBorder="1" applyAlignment="1">
      <alignment/>
    </xf>
    <xf numFmtId="0" fontId="0" fillId="6" borderId="47" xfId="0" applyFill="1" applyBorder="1" applyAlignment="1">
      <alignment/>
    </xf>
    <xf numFmtId="0" fontId="3" fillId="6" borderId="48" xfId="0" applyFont="1" applyFill="1" applyBorder="1" applyAlignment="1">
      <alignment horizontal="center" vertical="center" wrapText="1"/>
    </xf>
    <xf numFmtId="0" fontId="20" fillId="0" borderId="49" xfId="0" applyFont="1" applyBorder="1" applyAlignment="1">
      <alignment horizontal="center" vertical="center"/>
    </xf>
    <xf numFmtId="0" fontId="3" fillId="0" borderId="25" xfId="24" applyFont="1" applyBorder="1">
      <alignment/>
      <protection/>
    </xf>
    <xf numFmtId="0" fontId="3" fillId="0" borderId="26" xfId="24" applyFont="1" applyBorder="1">
      <alignment/>
      <protection/>
    </xf>
    <xf numFmtId="0" fontId="3" fillId="0" borderId="23" xfId="24" applyFont="1" applyFill="1" applyBorder="1" applyAlignment="1">
      <alignment/>
      <protection/>
    </xf>
    <xf numFmtId="0" fontId="3" fillId="0" borderId="24" xfId="24" applyFont="1" applyFill="1" applyBorder="1" applyAlignment="1">
      <alignment/>
      <protection/>
    </xf>
    <xf numFmtId="0" fontId="18" fillId="0" borderId="9" xfId="24" applyFont="1" applyFill="1" applyBorder="1" applyAlignment="1">
      <alignment horizontal="center"/>
      <protection/>
    </xf>
    <xf numFmtId="0" fontId="18" fillId="0" borderId="15" xfId="24" applyFont="1" applyFill="1" applyBorder="1" applyAlignment="1">
      <alignment horizontal="center"/>
      <protection/>
    </xf>
    <xf numFmtId="0" fontId="3" fillId="6" borderId="38" xfId="24" applyFont="1" applyFill="1" applyBorder="1" applyAlignment="1">
      <alignment wrapText="1"/>
      <protection/>
    </xf>
    <xf numFmtId="0" fontId="3" fillId="6" borderId="11" xfId="24" applyFont="1" applyFill="1" applyBorder="1" applyAlignment="1">
      <alignment wrapText="1"/>
      <protection/>
    </xf>
    <xf numFmtId="0" fontId="3" fillId="6" borderId="12" xfId="24" applyFont="1" applyFill="1" applyBorder="1" applyAlignment="1">
      <alignment vertical="center" wrapText="1"/>
      <protection/>
    </xf>
    <xf numFmtId="0" fontId="1" fillId="6" borderId="12" xfId="24" applyFill="1" applyBorder="1" applyAlignment="1">
      <alignment vertical="center" wrapText="1"/>
      <protection/>
    </xf>
    <xf numFmtId="0" fontId="24" fillId="32" borderId="0" xfId="0" applyFont="1" applyFill="1" applyAlignment="1">
      <alignment horizontal="left"/>
    </xf>
    <xf numFmtId="0" fontId="0" fillId="24" borderId="38" xfId="0" applyFill="1" applyBorder="1" applyAlignment="1">
      <alignment horizontal="center" vertical="center" wrapText="1"/>
    </xf>
    <xf numFmtId="0" fontId="0" fillId="24" borderId="37" xfId="0" applyFill="1" applyBorder="1" applyAlignment="1">
      <alignment horizontal="center" vertical="center" wrapText="1"/>
    </xf>
    <xf numFmtId="0" fontId="0" fillId="24" borderId="11" xfId="0" applyFill="1" applyBorder="1" applyAlignment="1">
      <alignment horizontal="center" vertical="center" wrapText="1"/>
    </xf>
    <xf numFmtId="0" fontId="24" fillId="19" borderId="0" xfId="0" applyFont="1" applyFill="1" applyAlignment="1">
      <alignment horizontal="left"/>
    </xf>
  </cellXfs>
  <cellStyles count="26">
    <cellStyle name="Normal" xfId="0"/>
    <cellStyle name="Percent" xfId="15"/>
    <cellStyle name="Currency" xfId="16"/>
    <cellStyle name="Currency [0]" xfId="17"/>
    <cellStyle name="Comma" xfId="18"/>
    <cellStyle name="Comma [0]" xfId="19"/>
    <cellStyle name="Millares" xfId="20"/>
    <cellStyle name="Comma_Formatos Nuevos 6ta Desemb. MCA Oct-Dic 10_09_07" xfId="21"/>
    <cellStyle name="Millares 5" xfId="22"/>
    <cellStyle name="Normal 2" xfId="23"/>
    <cellStyle name="Normal 2 2" xfId="24"/>
    <cellStyle name="Moneda 4" xfId="25"/>
    <cellStyle name="Normal 3" xfId="26"/>
    <cellStyle name="Comma 4" xfId="27"/>
    <cellStyle name="Comma 2" xfId="28"/>
    <cellStyle name="Comma 3" xfId="29"/>
    <cellStyle name="Currency 2" xfId="30"/>
    <cellStyle name="Moneda" xfId="31"/>
    <cellStyle name="Normal 4" xfId="32"/>
    <cellStyle name="Comma 5" xfId="33"/>
    <cellStyle name="Normal 3 2" xfId="34"/>
    <cellStyle name="Comma 4 2" xfId="35"/>
    <cellStyle name="Comma 2 2" xfId="36"/>
    <cellStyle name="Currency 2 2" xfId="37"/>
    <cellStyle name="Porcentaje" xfId="38"/>
    <cellStyle name="Bueno" xfId="39"/>
  </cellStyles>
  <dxfs count="5">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customXml" Target="../customXml/item1.xml" /><Relationship Id="rId13" Type="http://schemas.openxmlformats.org/officeDocument/2006/relationships/customXml" Target="../customXml/item2.xml" /><Relationship Id="rId14" Type="http://schemas.openxmlformats.org/officeDocument/2006/relationships/customXml" Target="../customXml/item3.xml" /><Relationship Id="rId15" Type="http://schemas.openxmlformats.org/officeDocument/2006/relationships/customXml" Target="../customXml/item4.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ronacom\MCC-Josue-Jorge\Users\jricart\Downloads\QDRP%20Guatemala_Q6%20Draft%20_DA%20Edit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FP-Com"/>
      <sheetName val="DFP-CASH"/>
      <sheetName val="QFR - A"/>
      <sheetName val="QFR - B"/>
      <sheetName val="THP DR"/>
      <sheetName val="Contract level"/>
      <sheetName val="Error checks"/>
      <sheetName val="Historico"/>
    </sheetNames>
    <sheetDataSet>
      <sheetData sheetId="0"/>
      <sheetData sheetId="1"/>
      <sheetData sheetId="2"/>
      <sheetData sheetId="3">
        <row r="34">
          <cell r="G34">
            <v>1800000</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4"/>
  <sheetViews>
    <sheetView showGridLines="0" zoomScale="85" zoomScaleNormal="85" zoomScaleSheetLayoutView="70" zoomScalePageLayoutView="81" workbookViewId="0" topLeftCell="F34">
      <selection activeCell="B18" sqref="B18"/>
    </sheetView>
  </sheetViews>
  <sheetFormatPr defaultColWidth="0" defaultRowHeight="15" outlineLevelRow="1" outlineLevelCol="1"/>
  <cols>
    <col min="1" max="1" width="9.140625" style="1" hidden="1" customWidth="1" outlineLevel="1"/>
    <col min="2" max="2" width="50.421875" style="1" customWidth="1" collapsed="1"/>
    <col min="3" max="3" width="17.421875" style="67" customWidth="1" outlineLevel="1"/>
    <col min="4" max="4" width="17.421875" style="1" customWidth="1"/>
    <col min="5" max="7" width="17.421875" style="265" customWidth="1" outlineLevel="1"/>
    <col min="8" max="14" width="17.421875" style="1" customWidth="1"/>
    <col min="15" max="15" width="17.421875" style="6" customWidth="1"/>
    <col min="16" max="16" width="28.7109375" style="190" customWidth="1"/>
    <col min="17" max="17" width="17.421875" style="7" customWidth="1"/>
    <col min="18" max="16384" width="0" style="1" hidden="1" customWidth="1"/>
  </cols>
  <sheetData>
    <row r="1" spans="2:7" ht="13.5" hidden="1" outlineLevel="1" thickBot="1">
      <c r="B1" s="2" t="s">
        <v>0</v>
      </c>
      <c r="C1" s="3"/>
      <c r="D1" s="4"/>
      <c r="E1" s="256"/>
      <c r="F1" s="256"/>
      <c r="G1" s="256"/>
    </row>
    <row r="2" spans="2:16" ht="13.5" hidden="1" outlineLevel="1" thickBot="1">
      <c r="B2" s="8"/>
      <c r="C2" s="3"/>
      <c r="D2" s="4"/>
      <c r="E2" s="256"/>
      <c r="F2" s="256"/>
      <c r="G2" s="256"/>
      <c r="P2" s="191"/>
    </row>
    <row r="3" spans="2:7" ht="12.75" customHeight="1" hidden="1" outlineLevel="1">
      <c r="B3" s="11" t="s">
        <v>1</v>
      </c>
      <c r="C3" s="12"/>
      <c r="D3" s="13" t="s">
        <v>63</v>
      </c>
      <c r="E3" s="257"/>
      <c r="F3" s="257"/>
      <c r="G3" s="257"/>
    </row>
    <row r="4" spans="2:7" ht="12.75" customHeight="1" hidden="1" outlineLevel="1">
      <c r="B4" s="14" t="s">
        <v>2</v>
      </c>
      <c r="C4" s="15"/>
      <c r="D4" s="16" t="s">
        <v>64</v>
      </c>
      <c r="E4" s="257"/>
      <c r="F4" s="257"/>
      <c r="G4" s="257"/>
    </row>
    <row r="5" spans="2:7" ht="12.75" customHeight="1" hidden="1" outlineLevel="1">
      <c r="B5" s="17" t="s">
        <v>3</v>
      </c>
      <c r="C5" s="15"/>
      <c r="D5" s="16" t="str">
        <f>'THP DR'!B7</f>
        <v>TR14GTM15001</v>
      </c>
      <c r="E5" s="257"/>
      <c r="F5" s="257"/>
      <c r="G5" s="257"/>
    </row>
    <row r="6" spans="2:16" ht="12.75" customHeight="1" hidden="1" outlineLevel="1">
      <c r="B6" s="14" t="s">
        <v>4</v>
      </c>
      <c r="C6" s="15"/>
      <c r="D6" s="303">
        <v>43619</v>
      </c>
      <c r="E6" s="257"/>
      <c r="F6" s="257"/>
      <c r="G6" s="257"/>
      <c r="P6" s="192"/>
    </row>
    <row r="7" spans="2:7" ht="13.5" customHeight="1" hidden="1" outlineLevel="1" thickBot="1">
      <c r="B7" s="18" t="s">
        <v>5</v>
      </c>
      <c r="C7" s="19"/>
      <c r="D7" s="189">
        <v>14</v>
      </c>
      <c r="E7" s="257"/>
      <c r="F7" s="257"/>
      <c r="G7" s="257"/>
    </row>
    <row r="8" spans="2:17" s="25" customFormat="1" ht="13.5" customHeight="1" hidden="1" outlineLevel="1">
      <c r="B8" s="26"/>
      <c r="C8" s="27"/>
      <c r="D8" s="28"/>
      <c r="E8" s="260"/>
      <c r="F8" s="260"/>
      <c r="G8" s="260"/>
      <c r="O8" s="24"/>
      <c r="P8" s="190"/>
      <c r="Q8" s="7"/>
    </row>
    <row r="9" spans="1:17" ht="11.25" customHeight="1" hidden="1" outlineLevel="1">
      <c r="A9" s="5"/>
      <c r="B9" s="531" t="s">
        <v>6</v>
      </c>
      <c r="C9" s="29" t="s">
        <v>7</v>
      </c>
      <c r="D9" s="30" t="s">
        <v>8</v>
      </c>
      <c r="E9" s="536" t="s">
        <v>9</v>
      </c>
      <c r="F9" s="536"/>
      <c r="G9" s="536"/>
      <c r="H9" s="230"/>
      <c r="I9" s="230"/>
      <c r="J9" s="230"/>
      <c r="K9" s="230"/>
      <c r="L9" s="230"/>
      <c r="M9" s="230"/>
      <c r="N9" s="230"/>
      <c r="O9" s="31" t="s">
        <v>10</v>
      </c>
      <c r="P9" s="193" t="s">
        <v>10</v>
      </c>
      <c r="Q9" s="31" t="s">
        <v>11</v>
      </c>
    </row>
    <row r="10" spans="1:18" s="37" customFormat="1" ht="72.75" customHeight="1" collapsed="1">
      <c r="A10" s="5"/>
      <c r="B10" s="531"/>
      <c r="C10" s="33" t="s">
        <v>12</v>
      </c>
      <c r="D10" s="34" t="s">
        <v>13</v>
      </c>
      <c r="E10" s="535" t="str">
        <f>"Grant Quarter #"&amp;$D$7</f>
        <v>Grant Quarter #14</v>
      </c>
      <c r="F10" s="535"/>
      <c r="G10" s="535"/>
      <c r="H10" s="324" t="s">
        <v>66</v>
      </c>
      <c r="I10" s="324" t="s">
        <v>202</v>
      </c>
      <c r="J10" s="324" t="s">
        <v>203</v>
      </c>
      <c r="K10" s="347" t="s">
        <v>256</v>
      </c>
      <c r="L10" s="347" t="s">
        <v>257</v>
      </c>
      <c r="M10" s="347" t="s">
        <v>282</v>
      </c>
      <c r="N10" s="385" t="s">
        <v>283</v>
      </c>
      <c r="O10" s="533" t="s">
        <v>14</v>
      </c>
      <c r="P10" s="532" t="s">
        <v>118</v>
      </c>
      <c r="Q10" s="530" t="s">
        <v>15</v>
      </c>
      <c r="R10" s="36"/>
    </row>
    <row r="11" spans="1:18" s="37" customFormat="1" ht="25.5">
      <c r="A11" s="5"/>
      <c r="B11" s="38" t="s">
        <v>16</v>
      </c>
      <c r="C11" s="39" t="s">
        <v>271</v>
      </c>
      <c r="D11" s="40" t="s">
        <v>238</v>
      </c>
      <c r="E11" s="266" t="s">
        <v>272</v>
      </c>
      <c r="F11" s="266" t="s">
        <v>273</v>
      </c>
      <c r="G11" s="266" t="s">
        <v>274</v>
      </c>
      <c r="H11" s="231" t="s">
        <v>204</v>
      </c>
      <c r="I11" s="231" t="s">
        <v>205</v>
      </c>
      <c r="J11" s="324" t="s">
        <v>239</v>
      </c>
      <c r="K11" s="347" t="s">
        <v>253</v>
      </c>
      <c r="L11" s="347" t="s">
        <v>254</v>
      </c>
      <c r="M11" s="347" t="s">
        <v>255</v>
      </c>
      <c r="N11" s="385" t="s">
        <v>280</v>
      </c>
      <c r="O11" s="534"/>
      <c r="P11" s="532"/>
      <c r="Q11" s="530"/>
      <c r="R11" s="36"/>
    </row>
    <row r="12" spans="2:17" ht="15">
      <c r="B12" s="188" t="s">
        <v>86</v>
      </c>
      <c r="C12" s="188" t="s">
        <v>87</v>
      </c>
      <c r="D12" s="188" t="s">
        <v>88</v>
      </c>
      <c r="E12" s="261" t="s">
        <v>89</v>
      </c>
      <c r="F12" s="261" t="s">
        <v>90</v>
      </c>
      <c r="G12" s="255" t="s">
        <v>91</v>
      </c>
      <c r="H12" s="261" t="s">
        <v>92</v>
      </c>
      <c r="I12" s="261" t="s">
        <v>93</v>
      </c>
      <c r="J12" s="255" t="s">
        <v>94</v>
      </c>
      <c r="K12" s="261" t="s">
        <v>258</v>
      </c>
      <c r="L12" s="255" t="s">
        <v>259</v>
      </c>
      <c r="M12" s="261" t="s">
        <v>260</v>
      </c>
      <c r="N12" s="261" t="s">
        <v>279</v>
      </c>
      <c r="O12" s="188" t="s">
        <v>95</v>
      </c>
      <c r="P12" s="194" t="s">
        <v>96</v>
      </c>
      <c r="Q12" s="188" t="s">
        <v>97</v>
      </c>
    </row>
    <row r="13" spans="1:18" s="37" customFormat="1" ht="15">
      <c r="A13" s="5"/>
      <c r="B13" s="42"/>
      <c r="C13" s="43"/>
      <c r="D13" s="42"/>
      <c r="E13" s="262"/>
      <c r="F13" s="262"/>
      <c r="G13" s="262"/>
      <c r="H13" s="42"/>
      <c r="I13" s="42"/>
      <c r="J13" s="42"/>
      <c r="K13" s="42"/>
      <c r="L13" s="42"/>
      <c r="M13" s="42"/>
      <c r="N13" s="42"/>
      <c r="O13" s="42"/>
      <c r="P13" s="42"/>
      <c r="Q13" s="42"/>
      <c r="R13" s="36"/>
    </row>
    <row r="14" spans="1:18" s="37" customFormat="1" ht="15">
      <c r="A14" s="5"/>
      <c r="B14" s="44" t="s">
        <v>68</v>
      </c>
      <c r="C14" s="45"/>
      <c r="D14" s="46"/>
      <c r="E14" s="263"/>
      <c r="F14" s="263"/>
      <c r="G14" s="263"/>
      <c r="H14" s="46"/>
      <c r="I14" s="46"/>
      <c r="J14" s="46"/>
      <c r="K14" s="46"/>
      <c r="L14" s="46"/>
      <c r="M14" s="46"/>
      <c r="N14" s="46"/>
      <c r="O14" s="47"/>
      <c r="P14" s="195"/>
      <c r="Q14" s="47"/>
      <c r="R14" s="36"/>
    </row>
    <row r="15" spans="1:18" s="207" customFormat="1" ht="15" outlineLevel="1">
      <c r="A15" s="204" t="str">
        <f>LEFT(B15,4)</f>
        <v xml:space="preserve">1.1 </v>
      </c>
      <c r="B15" s="49" t="s">
        <v>69</v>
      </c>
      <c r="C15" s="196">
        <f>SUM(C16:C18)</f>
        <v>11755097.870000001</v>
      </c>
      <c r="D15" s="196">
        <f>SUM(D16:D18)</f>
        <v>229065.33000000002</v>
      </c>
      <c r="E15" s="196">
        <f aca="true" t="shared" si="0" ref="E15:G15">SUM(E16:E18)</f>
        <v>0</v>
      </c>
      <c r="F15" s="196">
        <f t="shared" si="0"/>
        <v>0</v>
      </c>
      <c r="G15" s="196">
        <f t="shared" si="0"/>
        <v>0</v>
      </c>
      <c r="H15" s="196">
        <f aca="true" t="shared" si="1" ref="H15:I15">SUM(H16:H18)</f>
        <v>0</v>
      </c>
      <c r="I15" s="196">
        <f t="shared" si="1"/>
        <v>0</v>
      </c>
      <c r="J15" s="196">
        <f aca="true" t="shared" si="2" ref="J15">SUM(J16:J18)</f>
        <v>0</v>
      </c>
      <c r="K15" s="196"/>
      <c r="L15" s="196"/>
      <c r="M15" s="196"/>
      <c r="N15" s="196"/>
      <c r="O15" s="196">
        <f>SUM(O16:O18)</f>
        <v>11984163.2</v>
      </c>
      <c r="P15" s="198">
        <f>'QFR - B'!H15</f>
        <v>12000000</v>
      </c>
      <c r="Q15" s="282">
        <f>P15-O15</f>
        <v>15836.800000000745</v>
      </c>
      <c r="R15" s="206"/>
    </row>
    <row r="16" spans="1:18" s="207" customFormat="1" ht="15" outlineLevel="1">
      <c r="A16" s="204" t="s">
        <v>128</v>
      </c>
      <c r="B16" s="200" t="s">
        <v>98</v>
      </c>
      <c r="C16" s="297">
        <v>7593016.09</v>
      </c>
      <c r="D16" s="297"/>
      <c r="E16" s="297">
        <v>0</v>
      </c>
      <c r="F16" s="297">
        <v>0</v>
      </c>
      <c r="G16" s="297"/>
      <c r="H16" s="297">
        <f>SUMIF('Contract level'!$A:$A,"="&amp;'DFP-Com'!$A16,'Contract level'!BK:BK)</f>
        <v>0</v>
      </c>
      <c r="I16" s="297">
        <f>SUMIF('Contract level'!$A:$A,"="&amp;'DFP-Com'!$A16,'Contract level'!BL:BL)</f>
        <v>0</v>
      </c>
      <c r="J16" s="297">
        <f>SUMIF('Contract level'!$A:$A,"="&amp;'DFP-Com'!$A16,'Contract level'!BM:BM)</f>
        <v>0</v>
      </c>
      <c r="K16" s="297">
        <f>SUMIF('Contract level'!$A:$A,"="&amp;'DFP-Com'!$A16,'Contract level'!BN:BN)</f>
        <v>0</v>
      </c>
      <c r="L16" s="297">
        <f>SUMIF('Contract level'!$A:$A,"="&amp;'DFP-Com'!$A16,'Contract level'!BO:BO)</f>
        <v>0</v>
      </c>
      <c r="M16" s="297">
        <f>SUMIF('Contract level'!$A:$A,"="&amp;'DFP-Com'!$A16,'Contract level'!BP:BP)</f>
        <v>0</v>
      </c>
      <c r="N16" s="297">
        <f>SUMIF('Contract level'!$A:$A,"="&amp;'DFP-Com'!$A16,'Contract level'!BQ:BQ)</f>
        <v>0</v>
      </c>
      <c r="O16" s="297">
        <f>SUM(H16:M16)+D16+C16</f>
        <v>7593016.09</v>
      </c>
      <c r="P16" s="203">
        <v>0</v>
      </c>
      <c r="Q16" s="283"/>
      <c r="R16" s="206"/>
    </row>
    <row r="17" spans="1:18" s="207" customFormat="1" ht="15" outlineLevel="1">
      <c r="A17" s="204" t="s">
        <v>129</v>
      </c>
      <c r="B17" s="200" t="s">
        <v>99</v>
      </c>
      <c r="C17" s="297">
        <v>4161552.32</v>
      </c>
      <c r="D17" s="297">
        <v>229065.33000000002</v>
      </c>
      <c r="E17" s="297">
        <v>0</v>
      </c>
      <c r="F17" s="297">
        <v>0</v>
      </c>
      <c r="G17" s="297">
        <v>0</v>
      </c>
      <c r="H17" s="297">
        <f>SUMIF('Contract level'!$A:$A,"="&amp;'DFP-Com'!$A17,'Contract level'!BK:BK)</f>
        <v>0</v>
      </c>
      <c r="I17" s="297">
        <f>SUMIF('Contract level'!$A:$A,"="&amp;'DFP-Com'!$A17,'Contract level'!BL:BL)</f>
        <v>0</v>
      </c>
      <c r="J17" s="297">
        <f>SUMIF('Contract level'!$A:$A,"="&amp;'DFP-Com'!$A17,'Contract level'!BM:BM)</f>
        <v>0</v>
      </c>
      <c r="K17" s="297">
        <f>SUMIF('Contract level'!$A:$A,"="&amp;'DFP-Com'!$A17,'Contract level'!BN:BN)</f>
        <v>0</v>
      </c>
      <c r="L17" s="297">
        <f>SUMIF('Contract level'!$A:$A,"="&amp;'DFP-Com'!$A17,'Contract level'!BO:BO)</f>
        <v>0</v>
      </c>
      <c r="M17" s="297">
        <f>SUMIF('Contract level'!$A:$A,"="&amp;'DFP-Com'!$A17,'Contract level'!BP:BP)</f>
        <v>0</v>
      </c>
      <c r="N17" s="297">
        <f>SUMIF('Contract level'!$A:$A,"="&amp;'DFP-Com'!$A17,'Contract level'!BQ:BQ)</f>
        <v>0</v>
      </c>
      <c r="O17" s="297">
        <f>SUM(H17:M17)+D17+C17</f>
        <v>4390617.649999999</v>
      </c>
      <c r="P17" s="203">
        <v>0</v>
      </c>
      <c r="Q17" s="283"/>
      <c r="R17" s="206"/>
    </row>
    <row r="18" spans="1:18" s="207" customFormat="1" ht="15" outlineLevel="1">
      <c r="A18" s="204" t="s">
        <v>130</v>
      </c>
      <c r="B18" s="200" t="s">
        <v>106</v>
      </c>
      <c r="C18" s="297">
        <v>529.46</v>
      </c>
      <c r="D18" s="202">
        <v>0</v>
      </c>
      <c r="E18" s="297">
        <v>0</v>
      </c>
      <c r="F18" s="297"/>
      <c r="G18" s="297"/>
      <c r="H18" s="297">
        <f>SUMIF('Contract level'!$A:$A,"="&amp;'DFP-Com'!$A18,'Contract level'!BK:BK)</f>
        <v>0</v>
      </c>
      <c r="I18" s="297">
        <f>SUMIF('Contract level'!$A:$A,"="&amp;'DFP-Com'!$A18,'Contract level'!BL:BL)</f>
        <v>0</v>
      </c>
      <c r="J18" s="297">
        <f>SUMIF('Contract level'!$A:$A,"="&amp;'DFP-Com'!$A18,'Contract level'!BM:BM)</f>
        <v>0</v>
      </c>
      <c r="K18" s="297">
        <f>SUMIF('Contract level'!$A:$A,"="&amp;'DFP-Com'!$A18,'Contract level'!BN:BN)</f>
        <v>0</v>
      </c>
      <c r="L18" s="297">
        <f>SUMIF('Contract level'!$A:$A,"="&amp;'DFP-Com'!$A18,'Contract level'!BO:BO)</f>
        <v>0</v>
      </c>
      <c r="M18" s="297">
        <f>SUMIF('Contract level'!$A:$A,"="&amp;'DFP-Com'!$A18,'Contract level'!BP:BP)</f>
        <v>0</v>
      </c>
      <c r="N18" s="297">
        <f>SUMIF('Contract level'!$A:$A,"="&amp;'DFP-Com'!$A18,'Contract level'!BQ:BQ)</f>
        <v>0</v>
      </c>
      <c r="O18" s="297">
        <f>SUM(H18:J18)+D18+C18</f>
        <v>529.46</v>
      </c>
      <c r="P18" s="203">
        <v>0</v>
      </c>
      <c r="Q18" s="283"/>
      <c r="R18" s="206"/>
    </row>
    <row r="19" spans="1:18" s="207" customFormat="1" ht="12.95" customHeight="1" outlineLevel="1">
      <c r="A19" s="204" t="str">
        <f aca="true" t="shared" si="3" ref="A19:A37">LEFT(B19,4)</f>
        <v xml:space="preserve">1.2 </v>
      </c>
      <c r="B19" s="49" t="s">
        <v>70</v>
      </c>
      <c r="C19" s="196">
        <f>C20</f>
        <v>3601576.11</v>
      </c>
      <c r="D19" s="196">
        <f>D20</f>
        <v>354121.43</v>
      </c>
      <c r="E19" s="196">
        <f aca="true" t="shared" si="4" ref="E19:O19">E20</f>
        <v>37500</v>
      </c>
      <c r="F19" s="196">
        <f t="shared" si="4"/>
        <v>35000</v>
      </c>
      <c r="G19" s="196">
        <f t="shared" si="4"/>
        <v>0</v>
      </c>
      <c r="H19" s="196">
        <f t="shared" si="4"/>
        <v>72500</v>
      </c>
      <c r="I19" s="196">
        <f t="shared" si="4"/>
        <v>241757.5</v>
      </c>
      <c r="J19" s="196">
        <f t="shared" si="4"/>
        <v>0</v>
      </c>
      <c r="K19" s="196">
        <f t="shared" si="4"/>
        <v>0</v>
      </c>
      <c r="L19" s="196">
        <f t="shared" si="4"/>
        <v>0</v>
      </c>
      <c r="M19" s="196">
        <f t="shared" si="4"/>
        <v>10108.3125</v>
      </c>
      <c r="N19" s="196">
        <f t="shared" si="4"/>
        <v>0</v>
      </c>
      <c r="O19" s="196">
        <f t="shared" si="4"/>
        <v>4280063.3525</v>
      </c>
      <c r="P19" s="198">
        <f>'QFR - B'!H16</f>
        <v>4300000</v>
      </c>
      <c r="Q19" s="282">
        <f>P19-O19</f>
        <v>19936.647499999963</v>
      </c>
      <c r="R19" s="206"/>
    </row>
    <row r="20" spans="1:18" s="207" customFormat="1" ht="12.95" customHeight="1" outlineLevel="1">
      <c r="A20" s="204" t="s">
        <v>131</v>
      </c>
      <c r="B20" s="200" t="s">
        <v>107</v>
      </c>
      <c r="C20" s="297">
        <v>3601576.11</v>
      </c>
      <c r="D20" s="297">
        <f>382313.43-28192</f>
        <v>354121.43</v>
      </c>
      <c r="E20" s="297">
        <v>37500</v>
      </c>
      <c r="F20" s="297">
        <v>35000</v>
      </c>
      <c r="G20" s="297">
        <v>0</v>
      </c>
      <c r="H20" s="202">
        <f>SUMIF('Contract level'!$A:$A,"="&amp;'DFP-Com'!$A20,'Contract level'!BK:BK)</f>
        <v>72500</v>
      </c>
      <c r="I20" s="202">
        <f>SUMIF('Contract level'!$A:$A,"="&amp;'DFP-Com'!$A20,'Contract level'!BL:BL)</f>
        <v>241757.5</v>
      </c>
      <c r="J20" s="297">
        <f>SUMIF('Contract level'!$A:$A,"="&amp;'DFP-Com'!$A20,'Contract level'!BM:BM)</f>
        <v>0</v>
      </c>
      <c r="K20" s="297">
        <f>SUMIF('Contract level'!$A:$A,"="&amp;'DFP-Com'!$A20,'Contract level'!BN:BN)</f>
        <v>0</v>
      </c>
      <c r="L20" s="297">
        <f>SUMIF('Contract level'!$A:$A,"="&amp;'DFP-Com'!$A20,'Contract level'!BO:BO)</f>
        <v>0</v>
      </c>
      <c r="M20" s="297">
        <f>SUMIF('Contract level'!$A:$A,"="&amp;'DFP-Com'!$A20,'Contract level'!BP:BP)</f>
        <v>10108.3125</v>
      </c>
      <c r="N20" s="297">
        <f>SUMIF('Contract level'!$A:$A,"="&amp;'DFP-Com'!$A20,'Contract level'!BQ:BQ)</f>
        <v>0</v>
      </c>
      <c r="O20" s="202">
        <f>SUM(H20:M20)+D20+C20</f>
        <v>4280063.3525</v>
      </c>
      <c r="P20" s="203">
        <v>0</v>
      </c>
      <c r="Q20" s="283"/>
      <c r="R20" s="206"/>
    </row>
    <row r="21" spans="1:18" s="207" customFormat="1" ht="15" outlineLevel="1">
      <c r="A21" s="204">
        <v>1.3</v>
      </c>
      <c r="B21" s="49" t="s">
        <v>71</v>
      </c>
      <c r="C21" s="196">
        <f>SUM(C22:C24)</f>
        <v>2963461.39</v>
      </c>
      <c r="D21" s="196">
        <f>SUM(D22:D24)</f>
        <v>0</v>
      </c>
      <c r="E21" s="196">
        <f aca="true" t="shared" si="5" ref="E21:G21">SUM(E22:E24)</f>
        <v>5415.4</v>
      </c>
      <c r="F21" s="196">
        <f t="shared" si="5"/>
        <v>0</v>
      </c>
      <c r="G21" s="196">
        <f t="shared" si="5"/>
        <v>0</v>
      </c>
      <c r="H21" s="196">
        <f aca="true" t="shared" si="6" ref="H21:I21">SUM(H22:H24)</f>
        <v>5415.4</v>
      </c>
      <c r="I21" s="196">
        <f t="shared" si="6"/>
        <v>85936.5</v>
      </c>
      <c r="J21" s="196">
        <f aca="true" t="shared" si="7" ref="J21:M21">SUM(J22:J24)</f>
        <v>0</v>
      </c>
      <c r="K21" s="196">
        <f t="shared" si="7"/>
        <v>0</v>
      </c>
      <c r="L21" s="196">
        <f t="shared" si="7"/>
        <v>0</v>
      </c>
      <c r="M21" s="196">
        <f t="shared" si="7"/>
        <v>23477.355</v>
      </c>
      <c r="N21" s="196">
        <f aca="true" t="shared" si="8" ref="N21">SUM(N22:N24)</f>
        <v>0</v>
      </c>
      <c r="O21" s="196">
        <f>SUM(O22:O24)</f>
        <v>3078290.645</v>
      </c>
      <c r="P21" s="198">
        <f>'QFR - B'!H17</f>
        <v>3046000</v>
      </c>
      <c r="Q21" s="282">
        <f>P21-O21</f>
        <v>-32290.64500000002</v>
      </c>
      <c r="R21" s="206"/>
    </row>
    <row r="22" spans="1:18" s="207" customFormat="1" ht="12.95" customHeight="1" outlineLevel="1">
      <c r="A22" s="204" t="s">
        <v>132</v>
      </c>
      <c r="B22" s="200" t="s">
        <v>100</v>
      </c>
      <c r="C22" s="297">
        <v>2772876.18</v>
      </c>
      <c r="D22" s="297">
        <v>0</v>
      </c>
      <c r="E22" s="202">
        <v>0</v>
      </c>
      <c r="F22" s="202">
        <v>0</v>
      </c>
      <c r="G22" s="202"/>
      <c r="H22" s="202">
        <f>SUMIF('Contract level'!$A:$A,"="&amp;'DFP-Com'!$A22,'Contract level'!BK:BK)</f>
        <v>0</v>
      </c>
      <c r="I22" s="202">
        <f>SUMIF('Contract level'!$A:$A,"="&amp;'DFP-Com'!$A22,'Contract level'!BL:BL)</f>
        <v>0</v>
      </c>
      <c r="J22" s="297">
        <f>SUMIF('Contract level'!$A:$A,"="&amp;'DFP-Com'!$A22,'Contract level'!BM:BM)</f>
        <v>0</v>
      </c>
      <c r="K22" s="297">
        <f>SUMIF('Contract level'!$A:$A,"="&amp;'DFP-Com'!$A22,'Contract level'!BN:BN)</f>
        <v>0</v>
      </c>
      <c r="L22" s="297">
        <f>SUMIF('Contract level'!$A:$A,"="&amp;'DFP-Com'!$A22,'Contract level'!BO:BO)</f>
        <v>0</v>
      </c>
      <c r="M22" s="297">
        <f>SUMIF('Contract level'!$A:$A,"="&amp;'DFP-Com'!$A22,'Contract level'!BP:BP)</f>
        <v>0</v>
      </c>
      <c r="N22" s="297">
        <f>SUMIF('Contract level'!$A:$A,"="&amp;'DFP-Com'!$A22,'Contract level'!BQ:BQ)</f>
        <v>0</v>
      </c>
      <c r="O22" s="202">
        <f>SUM(H22:N22)+D22+C22</f>
        <v>2772876.18</v>
      </c>
      <c r="P22" s="203"/>
      <c r="Q22" s="283"/>
      <c r="R22" s="206"/>
    </row>
    <row r="23" spans="1:18" s="207" customFormat="1" ht="12.95" customHeight="1" outlineLevel="1">
      <c r="A23" s="204" t="s">
        <v>133</v>
      </c>
      <c r="B23" s="200" t="s">
        <v>116</v>
      </c>
      <c r="C23" s="297">
        <v>190168.6</v>
      </c>
      <c r="D23" s="202">
        <v>0</v>
      </c>
      <c r="E23" s="297">
        <v>5415.4</v>
      </c>
      <c r="F23" s="297">
        <v>0</v>
      </c>
      <c r="G23" s="297"/>
      <c r="H23" s="202">
        <f>SUMIF('Contract level'!$A:$A,"="&amp;'DFP-Com'!$A23,'Contract level'!BK:BK)</f>
        <v>5415.4</v>
      </c>
      <c r="I23" s="202">
        <f>SUMIF('Contract level'!$A:$A,"="&amp;'DFP-Com'!$A23,'Contract level'!BL:BL)</f>
        <v>85936.5</v>
      </c>
      <c r="J23" s="297">
        <f>SUMIF('Contract level'!$A:$A,"="&amp;'DFP-Com'!$A23,'Contract level'!BM:BM)</f>
        <v>0</v>
      </c>
      <c r="K23" s="297">
        <f>SUMIF('Contract level'!$A:$A,"="&amp;'DFP-Com'!$A23,'Contract level'!BN:BN)</f>
        <v>0</v>
      </c>
      <c r="L23" s="297">
        <f>SUMIF('Contract level'!$A:$A,"="&amp;'DFP-Com'!$A23,'Contract level'!BO:BO)</f>
        <v>0</v>
      </c>
      <c r="M23" s="297">
        <f>SUMIF('Contract level'!$A:$A,"="&amp;'DFP-Com'!$A23,'Contract level'!BP:BP)</f>
        <v>23477.355</v>
      </c>
      <c r="N23" s="297">
        <f>SUMIF('Contract level'!$A:$A,"="&amp;'DFP-Com'!$A23,'Contract level'!BQ:BQ)</f>
        <v>0</v>
      </c>
      <c r="O23" s="297">
        <f>SUM(H23:N23)+D23+C23</f>
        <v>304997.855</v>
      </c>
      <c r="P23" s="203"/>
      <c r="Q23" s="283"/>
      <c r="R23" s="206"/>
    </row>
    <row r="24" spans="1:18" s="207" customFormat="1" ht="15" outlineLevel="1">
      <c r="A24" s="204" t="s">
        <v>134</v>
      </c>
      <c r="B24" s="200" t="s">
        <v>115</v>
      </c>
      <c r="C24" s="297">
        <v>416.61</v>
      </c>
      <c r="D24" s="202">
        <v>0</v>
      </c>
      <c r="E24" s="202">
        <v>0</v>
      </c>
      <c r="F24" s="202">
        <v>0</v>
      </c>
      <c r="G24" s="202">
        <v>0</v>
      </c>
      <c r="H24" s="202">
        <f>SUMIF('Contract level'!$A:$A,"="&amp;'DFP-Com'!$A24,'Contract level'!BK:BK)</f>
        <v>0</v>
      </c>
      <c r="I24" s="202">
        <f>SUMIF('Contract level'!$A:$A,"="&amp;'DFP-Com'!$A24,'Contract level'!BL:BL)</f>
        <v>0</v>
      </c>
      <c r="J24" s="297">
        <f>SUMIF('Contract level'!$A:$A,"="&amp;'DFP-Com'!$A24,'Contract level'!BM:BM)</f>
        <v>0</v>
      </c>
      <c r="K24" s="297">
        <f>SUMIF('Contract level'!$A:$A,"="&amp;'DFP-Com'!$A24,'Contract level'!BN:BN)</f>
        <v>0</v>
      </c>
      <c r="L24" s="297">
        <f>SUMIF('Contract level'!$A:$A,"="&amp;'DFP-Com'!$A24,'Contract level'!BO:BO)</f>
        <v>0</v>
      </c>
      <c r="M24" s="297">
        <f>SUMIF('Contract level'!$A:$A,"="&amp;'DFP-Com'!$A24,'Contract level'!BP:BP)</f>
        <v>0</v>
      </c>
      <c r="N24" s="297">
        <f>SUMIF('Contract level'!$A:$A,"="&amp;'DFP-Com'!$A24,'Contract level'!BQ:BQ)</f>
        <v>0</v>
      </c>
      <c r="O24" s="202">
        <f>SUM(H24:M24)+D24+C24</f>
        <v>416.61</v>
      </c>
      <c r="P24" s="203"/>
      <c r="Q24" s="283"/>
      <c r="R24" s="206"/>
    </row>
    <row r="25" spans="1:18" s="207" customFormat="1" ht="15">
      <c r="A25" s="204" t="str">
        <f t="shared" si="3"/>
        <v>TOTA</v>
      </c>
      <c r="B25" s="51" t="s">
        <v>61</v>
      </c>
      <c r="C25" s="197">
        <f>C21+C19+C15</f>
        <v>18320135.37</v>
      </c>
      <c r="D25" s="197">
        <f>D21+D19+D15</f>
        <v>583186.76</v>
      </c>
      <c r="E25" s="197">
        <f aca="true" t="shared" si="9" ref="E25:O25">E21+E19+E15</f>
        <v>42915.4</v>
      </c>
      <c r="F25" s="197">
        <f t="shared" si="9"/>
        <v>35000</v>
      </c>
      <c r="G25" s="197">
        <f t="shared" si="9"/>
        <v>0</v>
      </c>
      <c r="H25" s="197">
        <f aca="true" t="shared" si="10" ref="H25:I25">H21+H19+H15</f>
        <v>77915.4</v>
      </c>
      <c r="I25" s="197">
        <f t="shared" si="10"/>
        <v>327694</v>
      </c>
      <c r="J25" s="197">
        <f aca="true" t="shared" si="11" ref="J25:M25">J21+J19+J15</f>
        <v>0</v>
      </c>
      <c r="K25" s="197">
        <f t="shared" si="11"/>
        <v>0</v>
      </c>
      <c r="L25" s="197">
        <f t="shared" si="11"/>
        <v>0</v>
      </c>
      <c r="M25" s="197">
        <f t="shared" si="11"/>
        <v>33585.667499999996</v>
      </c>
      <c r="N25" s="197">
        <f aca="true" t="shared" si="12" ref="N25">N21+N19+N15</f>
        <v>0</v>
      </c>
      <c r="O25" s="197">
        <f t="shared" si="9"/>
        <v>19342517.197499998</v>
      </c>
      <c r="P25" s="199">
        <f>P15+P19+P21</f>
        <v>19346000</v>
      </c>
      <c r="Q25" s="284">
        <f>Q15+Q19+Q21</f>
        <v>3482.802500000689</v>
      </c>
      <c r="R25" s="206"/>
    </row>
    <row r="26" spans="1:18" s="37" customFormat="1" ht="15">
      <c r="A26" s="204" t="str">
        <f t="shared" si="3"/>
        <v/>
      </c>
      <c r="B26" s="53"/>
      <c r="C26" s="271"/>
      <c r="D26" s="216"/>
      <c r="E26" s="216"/>
      <c r="F26" s="216"/>
      <c r="G26" s="216"/>
      <c r="H26" s="216"/>
      <c r="I26" s="216"/>
      <c r="J26" s="216"/>
      <c r="K26" s="216"/>
      <c r="L26" s="216"/>
      <c r="M26" s="216"/>
      <c r="N26" s="216"/>
      <c r="O26" s="216"/>
      <c r="P26" s="267"/>
      <c r="Q26" s="285"/>
      <c r="R26" s="36"/>
    </row>
    <row r="27" spans="1:18" s="37" customFormat="1" ht="15">
      <c r="A27" s="204" t="str">
        <f t="shared" si="3"/>
        <v>2. R</v>
      </c>
      <c r="B27" s="44" t="s">
        <v>74</v>
      </c>
      <c r="C27" s="272"/>
      <c r="D27" s="217"/>
      <c r="E27" s="217"/>
      <c r="F27" s="217"/>
      <c r="G27" s="217"/>
      <c r="H27" s="217"/>
      <c r="I27" s="217"/>
      <c r="J27" s="217"/>
      <c r="K27" s="217"/>
      <c r="L27" s="217"/>
      <c r="M27" s="217"/>
      <c r="N27" s="217"/>
      <c r="O27" s="217"/>
      <c r="P27" s="268"/>
      <c r="Q27" s="286"/>
      <c r="R27" s="36"/>
    </row>
    <row r="28" spans="1:18" s="37" customFormat="1" ht="15" outlineLevel="1">
      <c r="A28" s="204">
        <v>2.1</v>
      </c>
      <c r="B28" s="49" t="s">
        <v>117</v>
      </c>
      <c r="C28" s="219">
        <f aca="true" t="shared" si="13" ref="C28:O28">SUM(C29:C29)</f>
        <v>499997.23</v>
      </c>
      <c r="D28" s="219">
        <f t="shared" si="13"/>
        <v>0</v>
      </c>
      <c r="E28" s="219">
        <f t="shared" si="13"/>
        <v>70005</v>
      </c>
      <c r="F28" s="219">
        <f t="shared" si="13"/>
        <v>0</v>
      </c>
      <c r="G28" s="219">
        <f t="shared" si="13"/>
        <v>3630.86</v>
      </c>
      <c r="H28" s="219">
        <f t="shared" si="13"/>
        <v>73635.86</v>
      </c>
      <c r="I28" s="219">
        <f t="shared" si="13"/>
        <v>170976.24</v>
      </c>
      <c r="J28" s="219">
        <f t="shared" si="13"/>
        <v>0</v>
      </c>
      <c r="K28" s="219">
        <f t="shared" si="13"/>
        <v>0</v>
      </c>
      <c r="L28" s="219">
        <f t="shared" si="13"/>
        <v>0</v>
      </c>
      <c r="M28" s="219">
        <f t="shared" si="13"/>
        <v>0</v>
      </c>
      <c r="N28" s="219">
        <f t="shared" si="13"/>
        <v>0</v>
      </c>
      <c r="O28" s="219">
        <f t="shared" si="13"/>
        <v>744609.33</v>
      </c>
      <c r="P28" s="198">
        <f>'QFR - B'!H20</f>
        <v>800000</v>
      </c>
      <c r="Q28" s="282">
        <f>P28-O28</f>
        <v>55390.67000000004</v>
      </c>
      <c r="R28" s="36"/>
    </row>
    <row r="29" spans="1:18" s="207" customFormat="1" ht="15" outlineLevel="1">
      <c r="A29" s="204" t="s">
        <v>135</v>
      </c>
      <c r="B29" s="200" t="s">
        <v>110</v>
      </c>
      <c r="C29" s="297">
        <v>499997.23</v>
      </c>
      <c r="D29" s="297">
        <v>0</v>
      </c>
      <c r="E29" s="297">
        <v>70005</v>
      </c>
      <c r="F29" s="297">
        <v>0</v>
      </c>
      <c r="G29" s="297">
        <v>3630.86</v>
      </c>
      <c r="H29" s="202">
        <f>SUMIF('Contract level'!$A:$A,"="&amp;'DFP-Com'!$A29,'Contract level'!BK:BK)</f>
        <v>73635.86</v>
      </c>
      <c r="I29" s="202">
        <f>SUMIF('Contract level'!$A:$A,"="&amp;'DFP-Com'!$A29,'Contract level'!BL:BL)</f>
        <v>170976.24</v>
      </c>
      <c r="J29" s="297">
        <f>SUMIF('Contract level'!$A:$A,"="&amp;'DFP-Com'!$A29,'Contract level'!BM:BM)</f>
        <v>0</v>
      </c>
      <c r="K29" s="297">
        <f>SUMIF('Contract level'!$A:$A,"="&amp;'DFP-Com'!$A29,'Contract level'!BN:BN)</f>
        <v>0</v>
      </c>
      <c r="L29" s="297">
        <f>SUMIF('Contract level'!$A:$A,"="&amp;'DFP-Com'!$A29,'Contract level'!BO:BO)</f>
        <v>0</v>
      </c>
      <c r="M29" s="297">
        <f>SUMIF('Contract level'!$A:$A,"="&amp;'DFP-Com'!$A29,'Contract level'!BP:BP)</f>
        <v>0</v>
      </c>
      <c r="N29" s="297">
        <f>SUMIF('Contract level'!$A:$A,"="&amp;'DFP-Com'!$A29,'Contract level'!BQ:BQ)</f>
        <v>0</v>
      </c>
      <c r="O29" s="202">
        <f>SUM(H29:M29)+D29+C29</f>
        <v>744609.33</v>
      </c>
      <c r="P29" s="203"/>
      <c r="Q29" s="283"/>
      <c r="R29" s="206"/>
    </row>
    <row r="30" spans="1:18" s="37" customFormat="1" ht="15" outlineLevel="1">
      <c r="A30" s="204">
        <v>2.2</v>
      </c>
      <c r="B30" s="49" t="s">
        <v>78</v>
      </c>
      <c r="C30" s="196">
        <f>SUM(C31:C33)</f>
        <v>1582420.44</v>
      </c>
      <c r="D30" s="196">
        <f>SUM(D31:D33)</f>
        <v>0</v>
      </c>
      <c r="E30" s="196">
        <f aca="true" t="shared" si="14" ref="E30:G30">SUM(E31:E33)</f>
        <v>1300000</v>
      </c>
      <c r="F30" s="196">
        <f t="shared" si="14"/>
        <v>3000</v>
      </c>
      <c r="G30" s="196">
        <f t="shared" si="14"/>
        <v>0</v>
      </c>
      <c r="H30" s="196">
        <f aca="true" t="shared" si="15" ref="H30:I30">SUM(H31:H33)</f>
        <v>1303000</v>
      </c>
      <c r="I30" s="196">
        <f t="shared" si="15"/>
        <v>0</v>
      </c>
      <c r="J30" s="196">
        <f aca="true" t="shared" si="16" ref="J30:M30">SUM(J31:J33)</f>
        <v>0</v>
      </c>
      <c r="K30" s="196">
        <f t="shared" si="16"/>
        <v>0</v>
      </c>
      <c r="L30" s="196">
        <f t="shared" si="16"/>
        <v>184550</v>
      </c>
      <c r="M30" s="196">
        <f t="shared" si="16"/>
        <v>0</v>
      </c>
      <c r="N30" s="196">
        <f aca="true" t="shared" si="17" ref="N30">SUM(N31:N33)</f>
        <v>0</v>
      </c>
      <c r="O30" s="196">
        <f>SUM(O31:O33)</f>
        <v>3069970.44</v>
      </c>
      <c r="P30" s="198">
        <f>'QFR - B'!H21</f>
        <v>3560000</v>
      </c>
      <c r="Q30" s="282">
        <f>P30-O30</f>
        <v>490029.56000000006</v>
      </c>
      <c r="R30" s="36"/>
    </row>
    <row r="31" spans="1:18" s="207" customFormat="1" ht="15" outlineLevel="1">
      <c r="A31" s="204" t="s">
        <v>136</v>
      </c>
      <c r="B31" s="200" t="s">
        <v>111</v>
      </c>
      <c r="C31" s="297">
        <v>511547.67</v>
      </c>
      <c r="D31" s="297">
        <v>0</v>
      </c>
      <c r="E31" s="202"/>
      <c r="F31" s="202">
        <v>3000</v>
      </c>
      <c r="G31" s="202"/>
      <c r="H31" s="202">
        <f>SUMIF('Contract level'!$A:$A,"="&amp;'DFP-Com'!$A31,'Contract level'!BK:BK)</f>
        <v>3000</v>
      </c>
      <c r="I31" s="202">
        <f>SUMIF('Contract level'!$A:$A,"="&amp;'DFP-Com'!$A31,'Contract level'!BL:BL)</f>
        <v>0</v>
      </c>
      <c r="J31" s="297">
        <f>SUMIF('Contract level'!$A:$A,"="&amp;'DFP-Com'!$A31,'Contract level'!BM:BM)</f>
        <v>0</v>
      </c>
      <c r="K31" s="297">
        <f>SUMIF('Contract level'!$A:$A,"="&amp;'DFP-Com'!$A31,'Contract level'!BN:BN)</f>
        <v>0</v>
      </c>
      <c r="L31" s="297">
        <f>SUMIF('Contract level'!$A:$A,"="&amp;'DFP-Com'!$A31,'Contract level'!BO:BO)</f>
        <v>184550</v>
      </c>
      <c r="M31" s="297">
        <f>SUMIF('Contract level'!$A:$A,"="&amp;'DFP-Com'!$A31,'Contract level'!BP:BP)</f>
        <v>0</v>
      </c>
      <c r="N31" s="297">
        <f>SUMIF('Contract level'!$A:$A,"="&amp;'DFP-Com'!$A31,'Contract level'!BQ:BQ)</f>
        <v>0</v>
      </c>
      <c r="O31" s="202">
        <f>SUM(H31:M31)+D31+C31</f>
        <v>699097.6699999999</v>
      </c>
      <c r="P31" s="203"/>
      <c r="Q31" s="283"/>
      <c r="R31" s="206"/>
    </row>
    <row r="32" spans="1:18" s="207" customFormat="1" ht="15" outlineLevel="1">
      <c r="A32" s="204" t="s">
        <v>137</v>
      </c>
      <c r="B32" s="200" t="s">
        <v>112</v>
      </c>
      <c r="C32" s="297">
        <v>1030229</v>
      </c>
      <c r="D32" s="202">
        <v>0</v>
      </c>
      <c r="E32" s="297">
        <v>1300000</v>
      </c>
      <c r="F32" s="297"/>
      <c r="G32" s="297"/>
      <c r="H32" s="202">
        <f>SUMIF('Contract level'!$A:$A,"="&amp;'DFP-Com'!$A32,'Contract level'!BK:BK)</f>
        <v>1300000</v>
      </c>
      <c r="I32" s="202">
        <f>SUMIF('Contract level'!$A:$A,"="&amp;'DFP-Com'!$A32,'Contract level'!BL:BL)</f>
        <v>0</v>
      </c>
      <c r="J32" s="297">
        <f>SUMIF('Contract level'!$A:$A,"="&amp;'DFP-Com'!$A32,'Contract level'!BM:BM)</f>
        <v>0</v>
      </c>
      <c r="K32" s="297">
        <f>SUMIF('Contract level'!$A:$A,"="&amp;'DFP-Com'!$A32,'Contract level'!BN:BN)</f>
        <v>0</v>
      </c>
      <c r="L32" s="297">
        <f>SUMIF('Contract level'!$A:$A,"="&amp;'DFP-Com'!$A32,'Contract level'!BO:BO)</f>
        <v>0</v>
      </c>
      <c r="M32" s="297">
        <f>SUMIF('Contract level'!$A:$A,"="&amp;'DFP-Com'!$A32,'Contract level'!BP:BP)</f>
        <v>0</v>
      </c>
      <c r="N32" s="297">
        <f>SUMIF('Contract level'!$A:$A,"="&amp;'DFP-Com'!$A32,'Contract level'!BQ:BQ)</f>
        <v>0</v>
      </c>
      <c r="O32" s="297">
        <f>SUM(H32:M32)+D32+C32</f>
        <v>2330229</v>
      </c>
      <c r="P32" s="203"/>
      <c r="Q32" s="283"/>
      <c r="R32" s="206"/>
    </row>
    <row r="33" spans="1:18" s="207" customFormat="1" ht="15" outlineLevel="1">
      <c r="A33" s="204" t="s">
        <v>138</v>
      </c>
      <c r="B33" s="200" t="s">
        <v>114</v>
      </c>
      <c r="C33" s="297">
        <v>40643.77</v>
      </c>
      <c r="D33" s="297">
        <v>0</v>
      </c>
      <c r="E33" s="202"/>
      <c r="F33" s="202"/>
      <c r="G33" s="202"/>
      <c r="H33" s="202">
        <f>SUMIF('Contract level'!$A:$A,"="&amp;'DFP-Com'!$A33,'Contract level'!BK:BK)</f>
        <v>0</v>
      </c>
      <c r="I33" s="202">
        <f>SUMIF('Contract level'!$A:$A,"="&amp;'DFP-Com'!$A33,'Contract level'!BL:BL)</f>
        <v>0</v>
      </c>
      <c r="J33" s="297">
        <f>SUMIF('Contract level'!$A:$A,"="&amp;'DFP-Com'!$A33,'Contract level'!BM:BM)</f>
        <v>0</v>
      </c>
      <c r="K33" s="297">
        <f>SUMIF('Contract level'!$A:$A,"="&amp;'DFP-Com'!$A33,'Contract level'!BN:BN)</f>
        <v>0</v>
      </c>
      <c r="L33" s="297">
        <f>SUMIF('Contract level'!$A:$A,"="&amp;'DFP-Com'!$A33,'Contract level'!BO:BO)</f>
        <v>0</v>
      </c>
      <c r="M33" s="297">
        <f>SUMIF('Contract level'!$A:$A,"="&amp;'DFP-Com'!$A33,'Contract level'!BP:BP)</f>
        <v>0</v>
      </c>
      <c r="N33" s="297">
        <f>SUMIF('Contract level'!$A:$A,"="&amp;'DFP-Com'!$A33,'Contract level'!BQ:BQ)</f>
        <v>0</v>
      </c>
      <c r="O33" s="202">
        <f>SUM(H33:M33)+D33+C33</f>
        <v>40643.77</v>
      </c>
      <c r="P33" s="203"/>
      <c r="Q33" s="283"/>
      <c r="R33" s="206"/>
    </row>
    <row r="34" spans="1:18" s="37" customFormat="1" ht="15">
      <c r="A34" s="204" t="str">
        <f t="shared" si="3"/>
        <v>TOTA</v>
      </c>
      <c r="B34" s="58" t="s">
        <v>62</v>
      </c>
      <c r="C34" s="197">
        <f>C30+C28</f>
        <v>2082417.67</v>
      </c>
      <c r="D34" s="197">
        <f>D30+D28</f>
        <v>0</v>
      </c>
      <c r="E34" s="197">
        <f>+E28+E30</f>
        <v>1370005</v>
      </c>
      <c r="F34" s="197">
        <f>+F28+F30</f>
        <v>3000</v>
      </c>
      <c r="G34" s="197">
        <f>+G28+G30</f>
        <v>3630.86</v>
      </c>
      <c r="H34" s="197">
        <f aca="true" t="shared" si="18" ref="H34:I34">H30+H28</f>
        <v>1376635.86</v>
      </c>
      <c r="I34" s="197">
        <f t="shared" si="18"/>
        <v>170976.24</v>
      </c>
      <c r="J34" s="197">
        <f aca="true" t="shared" si="19" ref="J34:M34">J30+J28</f>
        <v>0</v>
      </c>
      <c r="K34" s="197">
        <f t="shared" si="19"/>
        <v>0</v>
      </c>
      <c r="L34" s="197">
        <f t="shared" si="19"/>
        <v>184550</v>
      </c>
      <c r="M34" s="197">
        <f t="shared" si="19"/>
        <v>0</v>
      </c>
      <c r="N34" s="197">
        <f aca="true" t="shared" si="20" ref="N34">N30+N28</f>
        <v>0</v>
      </c>
      <c r="O34" s="197">
        <f>O28+O30</f>
        <v>3814579.77</v>
      </c>
      <c r="P34" s="270">
        <f>SUM(P28:P33)</f>
        <v>4360000</v>
      </c>
      <c r="Q34" s="284">
        <f>SUM(Q27:Q33)</f>
        <v>545420.2300000001</v>
      </c>
      <c r="R34" s="36"/>
    </row>
    <row r="35" spans="1:18" s="37" customFormat="1" ht="15">
      <c r="A35" s="204" t="str">
        <f t="shared" si="3"/>
        <v/>
      </c>
      <c r="B35" s="53"/>
      <c r="C35" s="271"/>
      <c r="D35" s="216"/>
      <c r="E35" s="216"/>
      <c r="F35" s="216"/>
      <c r="G35" s="216"/>
      <c r="H35" s="216"/>
      <c r="I35" s="216"/>
      <c r="J35" s="216"/>
      <c r="K35" s="216"/>
      <c r="L35" s="216"/>
      <c r="M35" s="216"/>
      <c r="N35" s="216"/>
      <c r="O35" s="216"/>
      <c r="P35" s="267"/>
      <c r="Q35" s="285"/>
      <c r="R35" s="36"/>
    </row>
    <row r="36" spans="1:18" s="63" customFormat="1" ht="15">
      <c r="A36" s="204" t="str">
        <f t="shared" si="3"/>
        <v>3. M</v>
      </c>
      <c r="B36" s="44" t="s">
        <v>82</v>
      </c>
      <c r="C36" s="273"/>
      <c r="D36" s="264"/>
      <c r="E36" s="264"/>
      <c r="F36" s="264"/>
      <c r="G36" s="264"/>
      <c r="H36" s="264"/>
      <c r="I36" s="264"/>
      <c r="J36" s="264"/>
      <c r="K36" s="264"/>
      <c r="L36" s="264"/>
      <c r="M36" s="264"/>
      <c r="N36" s="264"/>
      <c r="O36" s="217"/>
      <c r="P36" s="268"/>
      <c r="Q36" s="286"/>
      <c r="R36" s="62"/>
    </row>
    <row r="37" spans="1:18" s="63" customFormat="1" ht="15" outlineLevel="1">
      <c r="A37" s="204" t="str">
        <f t="shared" si="3"/>
        <v xml:space="preserve">   M</v>
      </c>
      <c r="B37" s="64" t="s">
        <v>83</v>
      </c>
      <c r="C37" s="196">
        <f aca="true" t="shared" si="21" ref="C37:G37">SUM(C38:C41)</f>
        <v>442713.56</v>
      </c>
      <c r="D37" s="196">
        <f t="shared" si="21"/>
        <v>105800</v>
      </c>
      <c r="E37" s="196">
        <f t="shared" si="21"/>
        <v>29800</v>
      </c>
      <c r="F37" s="196">
        <f t="shared" si="21"/>
        <v>3000</v>
      </c>
      <c r="G37" s="196">
        <f t="shared" si="21"/>
        <v>4000</v>
      </c>
      <c r="H37" s="196">
        <f aca="true" t="shared" si="22" ref="H37:O37">SUM(H38:H41)</f>
        <v>36800</v>
      </c>
      <c r="I37" s="196">
        <f t="shared" si="22"/>
        <v>335000</v>
      </c>
      <c r="J37" s="196">
        <f t="shared" si="22"/>
        <v>0</v>
      </c>
      <c r="K37" s="196">
        <f t="shared" si="22"/>
        <v>158000</v>
      </c>
      <c r="L37" s="196">
        <f t="shared" si="22"/>
        <v>235000</v>
      </c>
      <c r="M37" s="196">
        <f t="shared" si="22"/>
        <v>60000</v>
      </c>
      <c r="N37" s="196">
        <f aca="true" t="shared" si="23" ref="N37">SUM(N38:N41)</f>
        <v>0</v>
      </c>
      <c r="O37" s="219">
        <f t="shared" si="22"/>
        <v>1373313.56</v>
      </c>
      <c r="P37" s="198">
        <f>'QFR - B'!H24</f>
        <v>1431000</v>
      </c>
      <c r="Q37" s="282">
        <f>P37-O37</f>
        <v>57686.439999999944</v>
      </c>
      <c r="R37" s="62"/>
    </row>
    <row r="38" spans="1:18" s="214" customFormat="1" ht="15" outlineLevel="1">
      <c r="A38" s="204" t="s">
        <v>139</v>
      </c>
      <c r="B38" s="211" t="s">
        <v>101</v>
      </c>
      <c r="C38" s="297">
        <v>422120.2</v>
      </c>
      <c r="D38" s="297">
        <v>71800</v>
      </c>
      <c r="E38" s="201">
        <v>26800</v>
      </c>
      <c r="F38" s="201"/>
      <c r="G38" s="201"/>
      <c r="H38" s="202">
        <f>SUMIF('Contract level'!$A:$A,"="&amp;'DFP-Com'!$A38,'Contract level'!BK:BK)</f>
        <v>26800</v>
      </c>
      <c r="I38" s="202">
        <f>SUMIF('Contract level'!$A:$A,"="&amp;'DFP-Com'!$A38,'Contract level'!BL:BL)</f>
        <v>0</v>
      </c>
      <c r="J38" s="297">
        <f>SUMIF('Contract level'!$A:$A,"="&amp;'DFP-Com'!$A38,'Contract level'!BM:BM)</f>
        <v>0</v>
      </c>
      <c r="K38" s="297">
        <f>SUMIF('Contract level'!$A:$A,"="&amp;'DFP-Com'!$A38,'Contract level'!BN:BN)</f>
        <v>10000</v>
      </c>
      <c r="L38" s="297">
        <f>SUMIF('Contract level'!$A:$A,"="&amp;'DFP-Com'!$A38,'Contract level'!BO:BO)</f>
        <v>235000</v>
      </c>
      <c r="M38" s="297">
        <f>SUMIF('Contract level'!$A:$A,"="&amp;'DFP-Com'!$A38,'Contract level'!BP:BP)</f>
        <v>0</v>
      </c>
      <c r="N38" s="297">
        <f>SUMIF('Contract level'!$A:$A,"="&amp;'DFP-Com'!$A38,'Contract level'!BQ:BQ)</f>
        <v>0</v>
      </c>
      <c r="O38" s="202">
        <f>SUM(H38:N38)+D38+C38</f>
        <v>765720.2</v>
      </c>
      <c r="P38" s="269"/>
      <c r="Q38" s="287"/>
      <c r="R38" s="213"/>
    </row>
    <row r="39" spans="1:18" s="214" customFormat="1" ht="15" outlineLevel="1">
      <c r="A39" s="204" t="s">
        <v>140</v>
      </c>
      <c r="B39" s="211" t="s">
        <v>102</v>
      </c>
      <c r="C39" s="297">
        <v>0</v>
      </c>
      <c r="D39" s="202">
        <v>0</v>
      </c>
      <c r="E39" s="201"/>
      <c r="F39" s="201"/>
      <c r="G39" s="201"/>
      <c r="H39" s="202">
        <f>SUMIF('Contract level'!$A:$A,"="&amp;'DFP-Com'!$A39,'Contract level'!BK:BK)</f>
        <v>0</v>
      </c>
      <c r="I39" s="202">
        <f>SUMIF('Contract level'!$A:$A,"="&amp;'DFP-Com'!$A39,'Contract level'!BL:BL)</f>
        <v>0</v>
      </c>
      <c r="J39" s="297">
        <f>SUMIF('Contract level'!$A:$A,"="&amp;'DFP-Com'!$A39,'Contract level'!BM:BM)</f>
        <v>0</v>
      </c>
      <c r="K39" s="297">
        <f>SUMIF('Contract level'!$A:$A,"="&amp;'DFP-Com'!$A39,'Contract level'!BN:BN)</f>
        <v>0</v>
      </c>
      <c r="L39" s="297">
        <f>SUMIF('Contract level'!$A:$A,"="&amp;'DFP-Com'!$A39,'Contract level'!BO:BO)</f>
        <v>0</v>
      </c>
      <c r="M39" s="297">
        <f>SUMIF('Contract level'!$A:$A,"="&amp;'DFP-Com'!$A39,'Contract level'!BP:BP)</f>
        <v>0</v>
      </c>
      <c r="N39" s="297">
        <f>SUMIF('Contract level'!$A:$A,"="&amp;'DFP-Com'!$A39,'Contract level'!BQ:BQ)</f>
        <v>0</v>
      </c>
      <c r="O39" s="297">
        <f>SUM(H39:N39)+D39+C39</f>
        <v>0</v>
      </c>
      <c r="P39" s="269"/>
      <c r="Q39" s="287"/>
      <c r="R39" s="213"/>
    </row>
    <row r="40" spans="1:18" s="214" customFormat="1" ht="15" outlineLevel="1">
      <c r="A40" s="204" t="s">
        <v>141</v>
      </c>
      <c r="B40" s="211" t="s">
        <v>103</v>
      </c>
      <c r="C40" s="297">
        <v>0</v>
      </c>
      <c r="D40" s="202">
        <v>0</v>
      </c>
      <c r="E40" s="201"/>
      <c r="F40" s="201"/>
      <c r="G40" s="201"/>
      <c r="H40" s="202">
        <f>SUMIF('Contract level'!$A:$A,"="&amp;'DFP-Com'!$A40,'Contract level'!BK:BK)</f>
        <v>0</v>
      </c>
      <c r="I40" s="202">
        <f>SUMIF('Contract level'!$A:$A,"="&amp;'DFP-Com'!$A40,'Contract level'!BL:BL)</f>
        <v>0</v>
      </c>
      <c r="J40" s="297">
        <f>SUMIF('Contract level'!$A:$A,"="&amp;'DFP-Com'!$A40,'Contract level'!BM:BM)</f>
        <v>0</v>
      </c>
      <c r="K40" s="297">
        <f>SUMIF('Contract level'!$A:$A,"="&amp;'DFP-Com'!$A40,'Contract level'!BN:BN)</f>
        <v>0</v>
      </c>
      <c r="L40" s="297">
        <f>SUMIF('Contract level'!$A:$A,"="&amp;'DFP-Com'!$A40,'Contract level'!BO:BO)</f>
        <v>0</v>
      </c>
      <c r="M40" s="297">
        <f>SUMIF('Contract level'!$A:$A,"="&amp;'DFP-Com'!$A40,'Contract level'!BP:BP)</f>
        <v>0</v>
      </c>
      <c r="N40" s="297">
        <f>SUMIF('Contract level'!$A:$A,"="&amp;'DFP-Com'!$A40,'Contract level'!BQ:BQ)</f>
        <v>0</v>
      </c>
      <c r="O40" s="297">
        <f>SUM(H40:N40)+D40+C40</f>
        <v>0</v>
      </c>
      <c r="P40" s="269"/>
      <c r="Q40" s="287"/>
      <c r="R40" s="213"/>
    </row>
    <row r="41" spans="1:18" s="214" customFormat="1" ht="15" outlineLevel="1">
      <c r="A41" s="204" t="s">
        <v>142</v>
      </c>
      <c r="B41" s="211" t="s">
        <v>113</v>
      </c>
      <c r="C41" s="297">
        <v>20593.36</v>
      </c>
      <c r="D41" s="202">
        <v>34000</v>
      </c>
      <c r="E41" s="201">
        <v>3000</v>
      </c>
      <c r="F41" s="201">
        <v>3000</v>
      </c>
      <c r="G41" s="201">
        <v>4000</v>
      </c>
      <c r="H41" s="202">
        <f>SUMIF('Contract level'!$A:$A,"="&amp;'DFP-Com'!$A41,'Contract level'!BK:BK)</f>
        <v>10000</v>
      </c>
      <c r="I41" s="202">
        <f>SUMIF('Contract level'!$A:$A,"="&amp;'DFP-Com'!$A41,'Contract level'!BL:BL)</f>
        <v>335000</v>
      </c>
      <c r="J41" s="297">
        <f>SUMIF('Contract level'!$A:$A,"="&amp;'DFP-Com'!$A41,'Contract level'!BM:BM)</f>
        <v>0</v>
      </c>
      <c r="K41" s="297">
        <f>SUMIF('Contract level'!$A:$A,"="&amp;'DFP-Com'!$A41,'Contract level'!BN:BN)</f>
        <v>148000</v>
      </c>
      <c r="L41" s="297">
        <f>SUMIF('Contract level'!$A:$A,"="&amp;'DFP-Com'!$A41,'Contract level'!BO:BO)</f>
        <v>0</v>
      </c>
      <c r="M41" s="297">
        <f>SUMIF('Contract level'!$A:$A,"="&amp;'DFP-Com'!$A41,'Contract level'!BP:BP)</f>
        <v>60000</v>
      </c>
      <c r="N41" s="297">
        <f>SUMIF('Contract level'!$A:$A,"="&amp;'DFP-Com'!$A41,'Contract level'!BQ:BQ)</f>
        <v>0</v>
      </c>
      <c r="O41" s="297">
        <f>SUM(H41:N41)+D41+C41</f>
        <v>607593.36</v>
      </c>
      <c r="P41" s="269"/>
      <c r="Q41" s="287"/>
      <c r="R41" s="213"/>
    </row>
    <row r="42" spans="1:18" s="37" customFormat="1" ht="15">
      <c r="A42" s="204"/>
      <c r="B42" s="58" t="s">
        <v>17</v>
      </c>
      <c r="C42" s="197">
        <f>C37</f>
        <v>442713.56</v>
      </c>
      <c r="D42" s="197">
        <f>D37</f>
        <v>105800</v>
      </c>
      <c r="E42" s="197">
        <f aca="true" t="shared" si="24" ref="E42:Q42">E37</f>
        <v>29800</v>
      </c>
      <c r="F42" s="197">
        <f t="shared" si="24"/>
        <v>3000</v>
      </c>
      <c r="G42" s="197">
        <f t="shared" si="24"/>
        <v>4000</v>
      </c>
      <c r="H42" s="197">
        <f aca="true" t="shared" si="25" ref="H42:I42">H37</f>
        <v>36800</v>
      </c>
      <c r="I42" s="197">
        <f t="shared" si="25"/>
        <v>335000</v>
      </c>
      <c r="J42" s="197">
        <f aca="true" t="shared" si="26" ref="J42:M42">J37</f>
        <v>0</v>
      </c>
      <c r="K42" s="197">
        <f t="shared" si="26"/>
        <v>158000</v>
      </c>
      <c r="L42" s="197">
        <f t="shared" si="26"/>
        <v>235000</v>
      </c>
      <c r="M42" s="197">
        <f t="shared" si="26"/>
        <v>60000</v>
      </c>
      <c r="N42" s="197">
        <f aca="true" t="shared" si="27" ref="N42">N37</f>
        <v>0</v>
      </c>
      <c r="O42" s="197">
        <f t="shared" si="24"/>
        <v>1373313.56</v>
      </c>
      <c r="P42" s="270">
        <f t="shared" si="24"/>
        <v>1431000</v>
      </c>
      <c r="Q42" s="288">
        <f t="shared" si="24"/>
        <v>57686.439999999944</v>
      </c>
      <c r="R42" s="36"/>
    </row>
    <row r="43" spans="1:18" s="37" customFormat="1" ht="15">
      <c r="A43" s="204"/>
      <c r="B43" s="53"/>
      <c r="C43" s="271"/>
      <c r="D43" s="216"/>
      <c r="E43" s="216"/>
      <c r="F43" s="216"/>
      <c r="G43" s="216"/>
      <c r="H43" s="216"/>
      <c r="I43" s="216"/>
      <c r="J43" s="216"/>
      <c r="K43" s="216"/>
      <c r="L43" s="216"/>
      <c r="M43" s="216"/>
      <c r="N43" s="216"/>
      <c r="O43" s="216"/>
      <c r="P43" s="267"/>
      <c r="Q43" s="285"/>
      <c r="R43" s="36"/>
    </row>
    <row r="44" spans="1:18" s="63" customFormat="1" ht="15">
      <c r="A44" s="204"/>
      <c r="B44" s="44" t="s">
        <v>76</v>
      </c>
      <c r="C44" s="273"/>
      <c r="D44" s="264"/>
      <c r="E44" s="264"/>
      <c r="F44" s="264"/>
      <c r="G44" s="264"/>
      <c r="H44" s="264"/>
      <c r="I44" s="264"/>
      <c r="J44" s="264"/>
      <c r="K44" s="264"/>
      <c r="L44" s="264"/>
      <c r="M44" s="264"/>
      <c r="N44" s="264"/>
      <c r="O44" s="217"/>
      <c r="P44" s="268"/>
      <c r="Q44" s="286"/>
      <c r="R44" s="62"/>
    </row>
    <row r="45" spans="1:18" s="37" customFormat="1" ht="15" outlineLevel="1">
      <c r="A45" s="204"/>
      <c r="B45" s="65" t="s">
        <v>85</v>
      </c>
      <c r="C45" s="196">
        <f aca="true" t="shared" si="28" ref="C45:G45">SUM(C46:C49)</f>
        <v>698530.2799999999</v>
      </c>
      <c r="D45" s="196">
        <f t="shared" si="28"/>
        <v>108106.72999999998</v>
      </c>
      <c r="E45" s="196">
        <f t="shared" si="28"/>
        <v>8000</v>
      </c>
      <c r="F45" s="196">
        <f t="shared" si="28"/>
        <v>7000</v>
      </c>
      <c r="G45" s="196">
        <f t="shared" si="28"/>
        <v>-5839.240000000002</v>
      </c>
      <c r="H45" s="196">
        <f aca="true" t="shared" si="29" ref="H45:I45">SUM(H46:H49)</f>
        <v>16660.76</v>
      </c>
      <c r="I45" s="196">
        <f t="shared" si="29"/>
        <v>258067.19999999998</v>
      </c>
      <c r="J45" s="196">
        <f aca="true" t="shared" si="30" ref="J45:M45">SUM(J46:J49)</f>
        <v>1719.629999999996</v>
      </c>
      <c r="K45" s="196">
        <f t="shared" si="30"/>
        <v>4500.02</v>
      </c>
      <c r="L45" s="196">
        <f t="shared" si="30"/>
        <v>0</v>
      </c>
      <c r="M45" s="196">
        <f t="shared" si="30"/>
        <v>67806.97750000001</v>
      </c>
      <c r="N45" s="196">
        <f aca="true" t="shared" si="31" ref="N45">SUM(N46:N49)</f>
        <v>0</v>
      </c>
      <c r="O45" s="219">
        <f>C45+D45+SUM(H45:M45)</f>
        <v>1155391.5975</v>
      </c>
      <c r="P45" s="198">
        <f>'QFR - B'!H27</f>
        <v>1060500</v>
      </c>
      <c r="Q45" s="282">
        <f>P45-O45</f>
        <v>-94891.59749999992</v>
      </c>
      <c r="R45" s="36"/>
    </row>
    <row r="46" spans="1:18" s="207" customFormat="1" ht="12.75" customHeight="1" outlineLevel="1">
      <c r="A46" s="204" t="s">
        <v>143</v>
      </c>
      <c r="B46" s="215" t="s">
        <v>123</v>
      </c>
      <c r="C46" s="297">
        <v>509037.35</v>
      </c>
      <c r="D46" s="202">
        <f>54824.24-57.4-30.76</f>
        <v>54736.079999999994</v>
      </c>
      <c r="E46" s="296">
        <v>8000</v>
      </c>
      <c r="F46" s="296"/>
      <c r="G46" s="296">
        <v>-5839.240000000002</v>
      </c>
      <c r="H46" s="202">
        <f>SUMIF('Contract level'!$A:$A,"="&amp;'DFP-Com'!$A46,'Contract level'!BK:BK)</f>
        <v>2160.7599999999984</v>
      </c>
      <c r="I46" s="202">
        <f>SUMIF('Contract level'!$A:$A,"="&amp;'DFP-Com'!$A46,'Contract level'!BL:BL)</f>
        <v>255067.19999999998</v>
      </c>
      <c r="J46" s="297">
        <f>SUMIF('Contract level'!$A:$A,"="&amp;'DFP-Com'!$A46,'Contract level'!BM:BM)</f>
        <v>0</v>
      </c>
      <c r="K46" s="297">
        <f>SUMIF('Contract level'!$A:$A,"="&amp;'DFP-Com'!$A46,'Contract level'!BN:BN)</f>
        <v>0</v>
      </c>
      <c r="L46" s="297">
        <f>SUMIF('Contract level'!$A:$A,"="&amp;'DFP-Com'!$A46,'Contract level'!BO:BO)</f>
        <v>0</v>
      </c>
      <c r="M46" s="297">
        <f>SUMIF('Contract level'!$A:$A,"="&amp;'DFP-Com'!$A46,'Contract level'!BP:BP)</f>
        <v>67806.97750000001</v>
      </c>
      <c r="N46" s="297">
        <f>SUMIF('Contract level'!$A:$A,"="&amp;'DFP-Com'!$A46,'Contract level'!BQ:BQ)</f>
        <v>0</v>
      </c>
      <c r="O46" s="202">
        <f>SUM(H46:N46)+D46+C46</f>
        <v>888808.3674999999</v>
      </c>
      <c r="P46" s="269"/>
      <c r="Q46" s="283"/>
      <c r="R46" s="206"/>
    </row>
    <row r="47" spans="1:18" s="207" customFormat="1" ht="15" outlineLevel="1">
      <c r="A47" s="204" t="s">
        <v>144</v>
      </c>
      <c r="B47" s="215" t="s">
        <v>124</v>
      </c>
      <c r="C47" s="297">
        <v>28432.72</v>
      </c>
      <c r="D47" s="202">
        <v>3189.2</v>
      </c>
      <c r="E47" s="296">
        <v>0</v>
      </c>
      <c r="F47" s="296">
        <v>5000</v>
      </c>
      <c r="G47" s="296">
        <v>0</v>
      </c>
      <c r="H47" s="202">
        <f>SUMIF('Contract level'!$A:$A,"="&amp;'DFP-Com'!$A47,'Contract level'!BK:BK)</f>
        <v>12500</v>
      </c>
      <c r="I47" s="202">
        <f>SUMIF('Contract level'!$A:$A,"="&amp;'DFP-Com'!$A47,'Contract level'!BL:BL)</f>
        <v>1000</v>
      </c>
      <c r="J47" s="297">
        <f>SUMIF('Contract level'!$A:$A,"="&amp;'DFP-Com'!$A47,'Contract level'!BM:BM)</f>
        <v>391.7299999999959</v>
      </c>
      <c r="K47" s="297">
        <f>SUMIF('Contract level'!$A:$A,"="&amp;'DFP-Com'!$A47,'Contract level'!BN:BN)</f>
        <v>0</v>
      </c>
      <c r="L47" s="297">
        <f>SUMIF('Contract level'!$A:$A,"="&amp;'DFP-Com'!$A47,'Contract level'!BO:BO)</f>
        <v>0</v>
      </c>
      <c r="M47" s="297">
        <f>SUMIF('Contract level'!$A:$A,"="&amp;'DFP-Com'!$A47,'Contract level'!BP:BP)</f>
        <v>0</v>
      </c>
      <c r="N47" s="297">
        <f>SUMIF('Contract level'!$A:$A,"="&amp;'DFP-Com'!$A47,'Contract level'!BQ:BQ)</f>
        <v>0</v>
      </c>
      <c r="O47" s="297">
        <f>SUM(H47:M47)+D47+C47</f>
        <v>45513.649999999994</v>
      </c>
      <c r="P47" s="269"/>
      <c r="Q47" s="287"/>
      <c r="R47" s="206"/>
    </row>
    <row r="48" spans="1:18" s="207" customFormat="1" ht="15" outlineLevel="1">
      <c r="A48" s="204" t="s">
        <v>145</v>
      </c>
      <c r="B48" s="215" t="s">
        <v>125</v>
      </c>
      <c r="C48" s="297">
        <v>120000</v>
      </c>
      <c r="D48" s="202">
        <v>0</v>
      </c>
      <c r="E48" s="296"/>
      <c r="F48" s="296"/>
      <c r="G48" s="296"/>
      <c r="H48" s="202">
        <f>SUMIF('Contract level'!$A:$A,"="&amp;'DFP-Com'!$A48,'Contract level'!BK:BK)</f>
        <v>0</v>
      </c>
      <c r="I48" s="202">
        <f>SUMIF('Contract level'!$A:$A,"="&amp;'DFP-Com'!$A48,'Contract level'!BL:BL)</f>
        <v>0</v>
      </c>
      <c r="J48" s="297">
        <f>SUMIF('Contract level'!$A:$A,"="&amp;'DFP-Com'!$A48,'Contract level'!BM:BM)</f>
        <v>0</v>
      </c>
      <c r="K48" s="297">
        <f>SUMIF('Contract level'!$A:$A,"="&amp;'DFP-Com'!$A48,'Contract level'!BN:BN)</f>
        <v>0</v>
      </c>
      <c r="L48" s="297">
        <f>SUMIF('Contract level'!$A:$A,"="&amp;'DFP-Com'!$A48,'Contract level'!BO:BO)</f>
        <v>0</v>
      </c>
      <c r="M48" s="297">
        <f>SUMIF('Contract level'!$A:$A,"="&amp;'DFP-Com'!$A48,'Contract level'!BP:BP)</f>
        <v>0</v>
      </c>
      <c r="N48" s="297">
        <f>SUMIF('Contract level'!$A:$A,"="&amp;'DFP-Com'!$A48,'Contract level'!BQ:BQ)</f>
        <v>0</v>
      </c>
      <c r="O48" s="297">
        <f>SUM(H48:M48)+D48+C48</f>
        <v>120000</v>
      </c>
      <c r="P48" s="269"/>
      <c r="Q48" s="287"/>
      <c r="R48" s="206"/>
    </row>
    <row r="49" spans="1:18" s="207" customFormat="1" ht="15" outlineLevel="1">
      <c r="A49" s="204" t="s">
        <v>146</v>
      </c>
      <c r="B49" s="215" t="s">
        <v>126</v>
      </c>
      <c r="C49" s="297">
        <v>41060.21</v>
      </c>
      <c r="D49" s="297">
        <f>46964.32+17.13+3200</f>
        <v>50181.45</v>
      </c>
      <c r="E49" s="296"/>
      <c r="F49" s="296">
        <v>2000</v>
      </c>
      <c r="G49" s="296">
        <v>0</v>
      </c>
      <c r="H49" s="202">
        <f>SUMIF('Contract level'!$A:$A,"="&amp;'DFP-Com'!$A49,'Contract level'!BK:BK)</f>
        <v>2000</v>
      </c>
      <c r="I49" s="202">
        <f>SUMIF('Contract level'!$A:$A,"="&amp;'DFP-Com'!$A49,'Contract level'!BL:BL)</f>
        <v>2000</v>
      </c>
      <c r="J49" s="297">
        <f>SUMIF('Contract level'!$A:$A,"="&amp;'DFP-Com'!$A49,'Contract level'!BM:BM)</f>
        <v>1327.9</v>
      </c>
      <c r="K49" s="297">
        <f>SUMIF('Contract level'!$A:$A,"="&amp;'DFP-Com'!$A49,'Contract level'!BN:BN)</f>
        <v>4500.02</v>
      </c>
      <c r="L49" s="297">
        <f>SUMIF('Contract level'!$A:$A,"="&amp;'DFP-Com'!$A49,'Contract level'!BO:BO)</f>
        <v>0</v>
      </c>
      <c r="M49" s="297">
        <f>SUMIF('Contract level'!$A:$A,"="&amp;'DFP-Com'!$A49,'Contract level'!BP:BP)</f>
        <v>0</v>
      </c>
      <c r="N49" s="297">
        <f>SUMIF('Contract level'!$A:$A,"="&amp;'DFP-Com'!$A49,'Contract level'!BQ:BQ)</f>
        <v>0</v>
      </c>
      <c r="O49" s="297">
        <f>SUM(H49:M49)+D49+C49</f>
        <v>101069.57999999999</v>
      </c>
      <c r="P49" s="269"/>
      <c r="Q49" s="287"/>
      <c r="R49" s="206"/>
    </row>
    <row r="50" spans="1:18" s="63" customFormat="1" ht="15">
      <c r="A50" s="10"/>
      <c r="B50" s="66" t="s">
        <v>84</v>
      </c>
      <c r="C50" s="197">
        <f aca="true" t="shared" si="32" ref="C50:Q50">C45</f>
        <v>698530.2799999999</v>
      </c>
      <c r="D50" s="197">
        <f t="shared" si="32"/>
        <v>108106.72999999998</v>
      </c>
      <c r="E50" s="197">
        <f t="shared" si="32"/>
        <v>8000</v>
      </c>
      <c r="F50" s="197">
        <f t="shared" si="32"/>
        <v>7000</v>
      </c>
      <c r="G50" s="197">
        <f t="shared" si="32"/>
        <v>-5839.240000000002</v>
      </c>
      <c r="H50" s="197">
        <f aca="true" t="shared" si="33" ref="H50:I50">H45</f>
        <v>16660.76</v>
      </c>
      <c r="I50" s="197">
        <f t="shared" si="33"/>
        <v>258067.19999999998</v>
      </c>
      <c r="J50" s="197">
        <f aca="true" t="shared" si="34" ref="J50:M50">J45</f>
        <v>1719.629999999996</v>
      </c>
      <c r="K50" s="197">
        <f t="shared" si="34"/>
        <v>4500.02</v>
      </c>
      <c r="L50" s="197">
        <f t="shared" si="34"/>
        <v>0</v>
      </c>
      <c r="M50" s="197">
        <f t="shared" si="34"/>
        <v>67806.97750000001</v>
      </c>
      <c r="N50" s="197">
        <f aca="true" t="shared" si="35" ref="N50">N45</f>
        <v>0</v>
      </c>
      <c r="O50" s="197">
        <f t="shared" si="32"/>
        <v>1155391.5975</v>
      </c>
      <c r="P50" s="270">
        <f t="shared" si="32"/>
        <v>1060500</v>
      </c>
      <c r="Q50" s="288">
        <f t="shared" si="32"/>
        <v>-94891.59749999992</v>
      </c>
      <c r="R50" s="62"/>
    </row>
    <row r="51" spans="1:18" s="37" customFormat="1" ht="15">
      <c r="A51" s="5"/>
      <c r="B51" s="53"/>
      <c r="C51" s="271"/>
      <c r="D51" s="216"/>
      <c r="E51" s="216"/>
      <c r="F51" s="216"/>
      <c r="G51" s="216"/>
      <c r="H51" s="216"/>
      <c r="I51" s="216"/>
      <c r="J51" s="216"/>
      <c r="K51" s="216"/>
      <c r="L51" s="216"/>
      <c r="M51" s="216"/>
      <c r="N51" s="216"/>
      <c r="O51" s="218"/>
      <c r="P51" s="267"/>
      <c r="Q51" s="289"/>
      <c r="R51" s="36"/>
    </row>
    <row r="52" spans="1:18" s="227" customFormat="1" ht="13.5" customHeight="1" thickBot="1">
      <c r="A52" s="223"/>
      <c r="B52" s="228" t="s">
        <v>119</v>
      </c>
      <c r="C52" s="225">
        <f aca="true" t="shared" si="36" ref="C52:G52">C50+C42+C34+C25</f>
        <v>21543796.880000003</v>
      </c>
      <c r="D52" s="225">
        <f t="shared" si="36"/>
        <v>797093.49</v>
      </c>
      <c r="E52" s="225">
        <f t="shared" si="36"/>
        <v>1450720.4</v>
      </c>
      <c r="F52" s="225">
        <f t="shared" si="36"/>
        <v>48000</v>
      </c>
      <c r="G52" s="225">
        <f t="shared" si="36"/>
        <v>1791.6199999999985</v>
      </c>
      <c r="H52" s="225">
        <f aca="true" t="shared" si="37" ref="H52:I52">H50+H42+H34+H25</f>
        <v>1508012.02</v>
      </c>
      <c r="I52" s="225">
        <f t="shared" si="37"/>
        <v>1091737.44</v>
      </c>
      <c r="J52" s="225">
        <f aca="true" t="shared" si="38" ref="J52:M52">J50+J42+J34+J25</f>
        <v>1719.629999999996</v>
      </c>
      <c r="K52" s="225">
        <f t="shared" si="38"/>
        <v>162500.02</v>
      </c>
      <c r="L52" s="225">
        <f t="shared" si="38"/>
        <v>419550</v>
      </c>
      <c r="M52" s="225">
        <f t="shared" si="38"/>
        <v>161392.64500000002</v>
      </c>
      <c r="N52" s="225">
        <f aca="true" t="shared" si="39" ref="N52">N50+N42+N34+N25</f>
        <v>0</v>
      </c>
      <c r="O52" s="225">
        <f aca="true" t="shared" si="40" ref="O52:Q52">O50+O42+O34+O25</f>
        <v>25685802.125</v>
      </c>
      <c r="P52" s="225">
        <f t="shared" si="40"/>
        <v>26197500</v>
      </c>
      <c r="Q52" s="290">
        <f t="shared" si="40"/>
        <v>511697.8750000008</v>
      </c>
      <c r="R52" s="226"/>
    </row>
    <row r="53" spans="2:17" ht="13.5" thickTop="1">
      <c r="B53" s="7" t="s">
        <v>240</v>
      </c>
      <c r="C53" s="274"/>
      <c r="D53" s="265"/>
      <c r="H53" s="265"/>
      <c r="I53" s="265"/>
      <c r="J53" s="265"/>
      <c r="K53" s="265"/>
      <c r="L53" s="265"/>
      <c r="M53" s="265"/>
      <c r="N53" s="265"/>
      <c r="O53" s="265"/>
      <c r="P53" s="275"/>
      <c r="Q53" s="291"/>
    </row>
    <row r="54" spans="2:17" ht="25.35" customHeight="1">
      <c r="B54" s="529" t="s">
        <v>122</v>
      </c>
      <c r="C54" s="529"/>
      <c r="D54" s="529"/>
      <c r="E54" s="529"/>
      <c r="F54" s="529"/>
      <c r="G54" s="529"/>
      <c r="H54" s="265"/>
      <c r="I54" s="265"/>
      <c r="J54" s="265"/>
      <c r="K54" s="265"/>
      <c r="L54" s="265"/>
      <c r="M54" s="265"/>
      <c r="N54" s="265"/>
      <c r="O54" s="265"/>
      <c r="P54" s="275"/>
      <c r="Q54" s="292"/>
    </row>
    <row r="55" spans="2:17" ht="15">
      <c r="B55" s="7"/>
      <c r="C55" s="274"/>
      <c r="D55" s="265"/>
      <c r="H55" s="265"/>
      <c r="I55" s="265"/>
      <c r="J55" s="265"/>
      <c r="K55" s="265"/>
      <c r="L55" s="265"/>
      <c r="M55" s="265"/>
      <c r="N55" s="265"/>
      <c r="O55" s="265"/>
      <c r="P55" s="275"/>
      <c r="Q55" s="291"/>
    </row>
    <row r="56" spans="2:17" ht="15">
      <c r="B56" s="7"/>
      <c r="C56" s="274"/>
      <c r="D56" s="265"/>
      <c r="H56" s="265"/>
      <c r="I56" s="265"/>
      <c r="J56" s="265"/>
      <c r="K56" s="265"/>
      <c r="L56" s="265"/>
      <c r="M56" s="265"/>
      <c r="N56" s="265"/>
      <c r="O56" s="265"/>
      <c r="P56" s="275"/>
      <c r="Q56" s="292"/>
    </row>
    <row r="57" spans="2:17" ht="15">
      <c r="B57" s="7"/>
      <c r="C57" s="274"/>
      <c r="D57" s="265"/>
      <c r="H57" s="265"/>
      <c r="I57" s="265"/>
      <c r="J57" s="265"/>
      <c r="K57" s="265"/>
      <c r="L57" s="265"/>
      <c r="M57" s="265"/>
      <c r="N57" s="265"/>
      <c r="O57" s="265"/>
      <c r="P57" s="275"/>
      <c r="Q57" s="292"/>
    </row>
    <row r="58" spans="2:17" ht="15">
      <c r="B58" s="7"/>
      <c r="C58" s="274"/>
      <c r="D58" s="265"/>
      <c r="H58" s="265"/>
      <c r="I58" s="265"/>
      <c r="J58" s="265"/>
      <c r="K58" s="265"/>
      <c r="L58" s="265"/>
      <c r="M58" s="265"/>
      <c r="N58" s="265"/>
      <c r="O58" s="265"/>
      <c r="P58" s="275"/>
      <c r="Q58" s="292"/>
    </row>
    <row r="59" spans="2:17" ht="15">
      <c r="B59" s="7"/>
      <c r="C59" s="274"/>
      <c r="D59" s="265"/>
      <c r="H59" s="265"/>
      <c r="I59" s="265"/>
      <c r="J59" s="265"/>
      <c r="K59" s="265"/>
      <c r="L59" s="265"/>
      <c r="M59" s="265"/>
      <c r="N59" s="265"/>
      <c r="O59" s="265"/>
      <c r="P59" s="275"/>
      <c r="Q59" s="292"/>
    </row>
    <row r="60" spans="2:17" ht="15">
      <c r="B60" s="7"/>
      <c r="C60" s="274"/>
      <c r="D60" s="265"/>
      <c r="H60" s="265"/>
      <c r="I60" s="265"/>
      <c r="J60" s="265"/>
      <c r="K60" s="265"/>
      <c r="L60" s="265"/>
      <c r="M60" s="265"/>
      <c r="N60" s="265"/>
      <c r="O60" s="265"/>
      <c r="P60" s="275"/>
      <c r="Q60" s="292"/>
    </row>
    <row r="61" spans="3:17" ht="15">
      <c r="C61" s="274"/>
      <c r="D61" s="265"/>
      <c r="H61" s="265"/>
      <c r="I61" s="265"/>
      <c r="J61" s="265"/>
      <c r="K61" s="265"/>
      <c r="L61" s="265"/>
      <c r="M61" s="265"/>
      <c r="N61" s="265"/>
      <c r="O61" s="265"/>
      <c r="P61" s="275"/>
      <c r="Q61" s="292"/>
    </row>
    <row r="62" spans="3:17" ht="15">
      <c r="C62" s="274"/>
      <c r="D62" s="265"/>
      <c r="H62" s="265"/>
      <c r="I62" s="265"/>
      <c r="J62" s="265"/>
      <c r="K62" s="265"/>
      <c r="L62" s="265"/>
      <c r="M62" s="265"/>
      <c r="N62" s="265"/>
      <c r="O62" s="265"/>
      <c r="P62" s="275"/>
      <c r="Q62" s="292"/>
    </row>
    <row r="63" spans="3:17" ht="15">
      <c r="C63" s="274"/>
      <c r="D63" s="265"/>
      <c r="H63" s="265"/>
      <c r="I63" s="265"/>
      <c r="J63" s="265"/>
      <c r="K63" s="265"/>
      <c r="L63" s="265"/>
      <c r="M63" s="265"/>
      <c r="N63" s="265"/>
      <c r="O63" s="265"/>
      <c r="P63" s="275"/>
      <c r="Q63" s="292"/>
    </row>
    <row r="64" spans="3:17" ht="15">
      <c r="C64" s="274"/>
      <c r="D64" s="265"/>
      <c r="H64" s="265"/>
      <c r="I64" s="265"/>
      <c r="J64" s="265"/>
      <c r="K64" s="265"/>
      <c r="L64" s="265"/>
      <c r="M64" s="265"/>
      <c r="N64" s="265"/>
      <c r="O64" s="265"/>
      <c r="P64" s="275"/>
      <c r="Q64" s="292"/>
    </row>
    <row r="65" spans="3:17" ht="15">
      <c r="C65" s="274"/>
      <c r="D65" s="265"/>
      <c r="H65" s="265"/>
      <c r="I65" s="265"/>
      <c r="J65" s="265"/>
      <c r="K65" s="265"/>
      <c r="L65" s="265"/>
      <c r="M65" s="265"/>
      <c r="N65" s="265"/>
      <c r="O65" s="265"/>
      <c r="P65" s="275"/>
      <c r="Q65" s="292"/>
    </row>
    <row r="66" spans="3:17" ht="15">
      <c r="C66" s="274"/>
      <c r="D66" s="265"/>
      <c r="H66" s="265"/>
      <c r="I66" s="265"/>
      <c r="J66" s="265"/>
      <c r="K66" s="265"/>
      <c r="L66" s="265"/>
      <c r="M66" s="265"/>
      <c r="N66" s="265"/>
      <c r="O66" s="265"/>
      <c r="P66" s="275"/>
      <c r="Q66" s="292"/>
    </row>
    <row r="67" ht="15">
      <c r="Q67" s="292"/>
    </row>
    <row r="68" ht="15">
      <c r="Q68" s="292"/>
    </row>
    <row r="69" ht="15">
      <c r="Q69" s="292"/>
    </row>
    <row r="70" ht="15">
      <c r="Q70" s="292"/>
    </row>
    <row r="71" ht="15">
      <c r="Q71" s="292"/>
    </row>
    <row r="72" ht="15">
      <c r="Q72" s="292"/>
    </row>
    <row r="73" ht="15">
      <c r="Q73" s="292"/>
    </row>
    <row r="83" spans="8:15" ht="15">
      <c r="H83" s="69"/>
      <c r="I83" s="69"/>
      <c r="J83" s="69"/>
      <c r="K83" s="69"/>
      <c r="L83" s="69"/>
      <c r="M83" s="69"/>
      <c r="N83" s="69"/>
      <c r="O83" s="70"/>
    </row>
    <row r="84" ht="15">
      <c r="D84" s="71"/>
    </row>
  </sheetData>
  <mergeCells count="7">
    <mergeCell ref="B54:G54"/>
    <mergeCell ref="Q10:Q11"/>
    <mergeCell ref="B9:B10"/>
    <mergeCell ref="P10:P11"/>
    <mergeCell ref="O10:O11"/>
    <mergeCell ref="E10:G10"/>
    <mergeCell ref="E9:G9"/>
  </mergeCells>
  <printOptions horizontalCentered="1"/>
  <pageMargins left="0.7" right="0.7" top="0.75" bottom="0.75" header="0.3" footer="0.3"/>
  <pageSetup fitToHeight="1" fitToWidth="1" horizontalDpi="600" verticalDpi="600" orientation="landscape" scale="3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5"/>
  <sheetViews>
    <sheetView showGridLines="0" tabSelected="1" zoomScale="85" zoomScaleNormal="85" zoomScalePageLayoutView="85" workbookViewId="0" topLeftCell="B12">
      <selection activeCell="E39" sqref="E39"/>
    </sheetView>
  </sheetViews>
  <sheetFormatPr defaultColWidth="0" defaultRowHeight="15" outlineLevelRow="1" outlineLevelCol="1"/>
  <cols>
    <col min="1" max="1" width="8.57421875" style="1" hidden="1" customWidth="1" outlineLevel="1"/>
    <col min="2" max="2" width="49.421875" style="1" customWidth="1" collapsed="1"/>
    <col min="3" max="3" width="17.421875" style="67" customWidth="1"/>
    <col min="4" max="4" width="21.140625" style="1" customWidth="1"/>
    <col min="5" max="6" width="15.57421875" style="1" bestFit="1" customWidth="1"/>
    <col min="7" max="7" width="14.421875" style="265" customWidth="1"/>
    <col min="8" max="9" width="18.57421875" style="1" customWidth="1"/>
    <col min="10" max="14" width="15.00390625" style="1" customWidth="1"/>
    <col min="15" max="16" width="17.421875" style="1" customWidth="1"/>
    <col min="17" max="17" width="19.421875" style="6" customWidth="1"/>
    <col min="18" max="18" width="12.00390625" style="1" customWidth="1"/>
    <col min="19" max="19" width="17.421875" style="10" hidden="1" customWidth="1"/>
    <col min="20" max="20" width="22.421875" style="10" hidden="1" customWidth="1"/>
    <col min="21" max="36" width="11.421875" style="5" hidden="1" customWidth="1"/>
    <col min="37" max="16384" width="0" style="5" hidden="1" customWidth="1"/>
  </cols>
  <sheetData>
    <row r="1" spans="2:7" ht="13.5" hidden="1" outlineLevel="1" thickBot="1">
      <c r="B1" s="2" t="s">
        <v>18</v>
      </c>
      <c r="C1" s="3"/>
      <c r="D1" s="4"/>
      <c r="E1" s="5"/>
      <c r="F1" s="5"/>
      <c r="G1" s="256"/>
    </row>
    <row r="2" spans="2:21" ht="13.5" hidden="1" outlineLevel="1" thickBot="1">
      <c r="B2" s="8"/>
      <c r="C2" s="3"/>
      <c r="D2" s="4"/>
      <c r="E2" s="5"/>
      <c r="F2" s="5"/>
      <c r="G2" s="256"/>
      <c r="R2" s="9"/>
      <c r="U2" s="10"/>
    </row>
    <row r="3" spans="2:7" ht="12.75" customHeight="1" hidden="1" outlineLevel="1">
      <c r="B3" s="11" t="s">
        <v>1</v>
      </c>
      <c r="C3" s="12"/>
      <c r="D3" s="13" t="s">
        <v>63</v>
      </c>
      <c r="E3" s="77"/>
      <c r="F3" s="77"/>
      <c r="G3" s="257"/>
    </row>
    <row r="4" spans="2:7" ht="12.75" customHeight="1" hidden="1" outlineLevel="1">
      <c r="B4" s="14" t="s">
        <v>2</v>
      </c>
      <c r="C4" s="15"/>
      <c r="D4" s="16" t="s">
        <v>64</v>
      </c>
      <c r="E4" s="77"/>
      <c r="F4" s="77"/>
      <c r="G4" s="257"/>
    </row>
    <row r="5" spans="2:7" ht="12.75" customHeight="1" hidden="1" outlineLevel="1">
      <c r="B5" s="17" t="s">
        <v>3</v>
      </c>
      <c r="C5" s="15"/>
      <c r="D5" s="16" t="str">
        <f>'THP DR'!B7</f>
        <v>TR14GTM15001</v>
      </c>
      <c r="E5" s="77"/>
      <c r="F5" s="77"/>
      <c r="G5" s="257"/>
    </row>
    <row r="6" spans="2:21" ht="12.75" customHeight="1" hidden="1" outlineLevel="1">
      <c r="B6" s="14" t="s">
        <v>4</v>
      </c>
      <c r="C6" s="15"/>
      <c r="D6" s="331">
        <v>43619</v>
      </c>
      <c r="E6" s="81"/>
      <c r="F6" s="81"/>
      <c r="G6" s="257"/>
      <c r="R6" s="7"/>
      <c r="U6" s="10"/>
    </row>
    <row r="7" spans="2:18" ht="13.5" customHeight="1" hidden="1" outlineLevel="1" thickBot="1">
      <c r="B7" s="18" t="s">
        <v>5</v>
      </c>
      <c r="C7" s="19"/>
      <c r="D7" s="189">
        <v>14</v>
      </c>
      <c r="E7" s="309"/>
      <c r="F7" s="309"/>
      <c r="G7" s="257"/>
      <c r="R7" s="20"/>
    </row>
    <row r="8" spans="2:18" ht="12.75" customHeight="1" hidden="1" outlineLevel="1">
      <c r="B8" s="5"/>
      <c r="C8" s="21"/>
      <c r="D8" s="22"/>
      <c r="E8" s="22"/>
      <c r="F8" s="22"/>
      <c r="G8" s="258"/>
      <c r="R8" s="20"/>
    </row>
    <row r="9" spans="2:18" ht="12.75" customHeight="1" hidden="1" outlineLevel="1">
      <c r="B9" s="23"/>
      <c r="C9" s="23"/>
      <c r="D9" s="23"/>
      <c r="E9" s="23"/>
      <c r="F9" s="23"/>
      <c r="G9" s="259"/>
      <c r="Q9" s="24"/>
      <c r="R9" s="20"/>
    </row>
    <row r="10" spans="1:20" s="326" customFormat="1" ht="13.5" customHeight="1" hidden="1" outlineLevel="1">
      <c r="A10" s="25"/>
      <c r="B10" s="26"/>
      <c r="C10" s="27"/>
      <c r="D10" s="28"/>
      <c r="E10" s="28"/>
      <c r="F10" s="28"/>
      <c r="G10" s="260"/>
      <c r="H10" s="25"/>
      <c r="I10" s="25"/>
      <c r="J10" s="25"/>
      <c r="K10" s="25"/>
      <c r="L10" s="25"/>
      <c r="M10" s="25"/>
      <c r="N10" s="25"/>
      <c r="O10" s="25"/>
      <c r="P10" s="25"/>
      <c r="Q10" s="24"/>
      <c r="R10" s="20"/>
      <c r="S10" s="10"/>
      <c r="T10" s="10"/>
    </row>
    <row r="11" spans="1:20" ht="15.75" hidden="1" outlineLevel="1">
      <c r="A11" s="5"/>
      <c r="B11" s="531" t="s">
        <v>19</v>
      </c>
      <c r="C11" s="29" t="s">
        <v>7</v>
      </c>
      <c r="D11" s="30" t="s">
        <v>8</v>
      </c>
      <c r="E11" s="543" t="s">
        <v>9</v>
      </c>
      <c r="F11" s="544"/>
      <c r="G11" s="544"/>
      <c r="H11" s="230"/>
      <c r="I11" s="230"/>
      <c r="J11" s="230"/>
      <c r="K11" s="230"/>
      <c r="L11" s="230"/>
      <c r="M11" s="230"/>
      <c r="N11" s="230"/>
      <c r="O11" s="31" t="s">
        <v>10</v>
      </c>
      <c r="P11" s="31" t="s">
        <v>10</v>
      </c>
      <c r="Q11" s="31" t="s">
        <v>11</v>
      </c>
      <c r="R11" s="32"/>
      <c r="S11" s="5"/>
      <c r="T11" s="5"/>
    </row>
    <row r="12" spans="1:20" ht="87" customHeight="1" collapsed="1">
      <c r="A12" s="5"/>
      <c r="B12" s="531"/>
      <c r="C12" s="33" t="s">
        <v>207</v>
      </c>
      <c r="D12" s="34" t="s">
        <v>242</v>
      </c>
      <c r="E12" s="540" t="str">
        <f>"Grant Quarter #"&amp;$D$7</f>
        <v>Grant Quarter #14</v>
      </c>
      <c r="F12" s="541"/>
      <c r="G12" s="542"/>
      <c r="H12" s="324" t="s">
        <v>66</v>
      </c>
      <c r="I12" s="324" t="s">
        <v>202</v>
      </c>
      <c r="J12" s="324" t="s">
        <v>203</v>
      </c>
      <c r="K12" s="346" t="s">
        <v>256</v>
      </c>
      <c r="L12" s="346" t="s">
        <v>257</v>
      </c>
      <c r="M12" s="346" t="s">
        <v>282</v>
      </c>
      <c r="N12" s="385" t="s">
        <v>283</v>
      </c>
      <c r="O12" s="538" t="s">
        <v>20</v>
      </c>
      <c r="P12" s="539" t="s">
        <v>105</v>
      </c>
      <c r="Q12" s="537" t="s">
        <v>15</v>
      </c>
      <c r="R12" s="35"/>
      <c r="S12" s="5"/>
      <c r="T12" s="5"/>
    </row>
    <row r="13" spans="1:20" ht="25.5">
      <c r="A13" s="5"/>
      <c r="B13" s="38" t="s">
        <v>16</v>
      </c>
      <c r="C13" s="39" t="s">
        <v>271</v>
      </c>
      <c r="D13" s="40" t="s">
        <v>238</v>
      </c>
      <c r="E13" s="266" t="s">
        <v>272</v>
      </c>
      <c r="F13" s="266" t="s">
        <v>273</v>
      </c>
      <c r="G13" s="266" t="s">
        <v>274</v>
      </c>
      <c r="H13" s="324" t="s">
        <v>204</v>
      </c>
      <c r="I13" s="324" t="s">
        <v>205</v>
      </c>
      <c r="J13" s="324" t="s">
        <v>239</v>
      </c>
      <c r="K13" s="346" t="s">
        <v>253</v>
      </c>
      <c r="L13" s="346" t="s">
        <v>254</v>
      </c>
      <c r="M13" s="346" t="s">
        <v>255</v>
      </c>
      <c r="N13" s="385" t="s">
        <v>239</v>
      </c>
      <c r="O13" s="538"/>
      <c r="P13" s="539"/>
      <c r="Q13" s="537"/>
      <c r="R13" s="35"/>
      <c r="S13" s="5"/>
      <c r="T13" s="5"/>
    </row>
    <row r="14" spans="1:18" s="327" customFormat="1" ht="15">
      <c r="A14"/>
      <c r="B14" s="188" t="s">
        <v>86</v>
      </c>
      <c r="C14" s="188" t="s">
        <v>87</v>
      </c>
      <c r="D14" s="188" t="s">
        <v>88</v>
      </c>
      <c r="E14" s="261" t="s">
        <v>89</v>
      </c>
      <c r="F14" s="261" t="s">
        <v>90</v>
      </c>
      <c r="G14" s="255" t="s">
        <v>91</v>
      </c>
      <c r="H14" s="261" t="s">
        <v>92</v>
      </c>
      <c r="I14" s="261" t="s">
        <v>93</v>
      </c>
      <c r="J14" s="255" t="s">
        <v>94</v>
      </c>
      <c r="K14" s="261" t="s">
        <v>258</v>
      </c>
      <c r="L14" s="255" t="s">
        <v>259</v>
      </c>
      <c r="M14" s="261" t="s">
        <v>260</v>
      </c>
      <c r="N14" s="261" t="s">
        <v>279</v>
      </c>
      <c r="O14" s="188" t="s">
        <v>95</v>
      </c>
      <c r="P14" s="194" t="s">
        <v>96</v>
      </c>
      <c r="Q14" s="188" t="s">
        <v>97</v>
      </c>
      <c r="R14" s="35"/>
    </row>
    <row r="15" spans="1:20" ht="15">
      <c r="A15" s="5"/>
      <c r="B15" s="42"/>
      <c r="C15" s="43"/>
      <c r="D15" s="42"/>
      <c r="E15" s="262"/>
      <c r="F15" s="262"/>
      <c r="G15" s="262"/>
      <c r="H15" s="42"/>
      <c r="I15" s="42"/>
      <c r="J15" s="42"/>
      <c r="K15" s="42"/>
      <c r="L15" s="42"/>
      <c r="M15" s="42"/>
      <c r="N15" s="42"/>
      <c r="O15" s="42"/>
      <c r="P15" s="42"/>
      <c r="Q15" s="293"/>
      <c r="R15" s="35"/>
      <c r="S15" s="5"/>
      <c r="T15" s="5"/>
    </row>
    <row r="16" spans="1:20" ht="15">
      <c r="A16" s="5"/>
      <c r="B16" s="44" t="s">
        <v>68</v>
      </c>
      <c r="C16" s="45"/>
      <c r="D16" s="46"/>
      <c r="E16" s="263"/>
      <c r="F16" s="263"/>
      <c r="G16" s="263"/>
      <c r="H16" s="46"/>
      <c r="I16" s="46"/>
      <c r="J16" s="46"/>
      <c r="K16" s="46"/>
      <c r="L16" s="46"/>
      <c r="M16" s="46"/>
      <c r="N16" s="46"/>
      <c r="O16" s="47"/>
      <c r="P16" s="195"/>
      <c r="Q16" s="294"/>
      <c r="R16" s="35"/>
      <c r="S16" s="5"/>
      <c r="T16" s="5"/>
    </row>
    <row r="17" spans="1:18" s="205" customFormat="1" ht="15" outlineLevel="1">
      <c r="A17" s="204"/>
      <c r="B17" s="49" t="s">
        <v>69</v>
      </c>
      <c r="C17" s="196">
        <f>SUM(C18:C20)</f>
        <v>6519102.100000001</v>
      </c>
      <c r="D17" s="196">
        <f>SUM(D18:D20)</f>
        <v>925187.3</v>
      </c>
      <c r="E17" s="196">
        <f>SUM(E18:E20)</f>
        <v>649773.96</v>
      </c>
      <c r="F17" s="196">
        <f aca="true" t="shared" si="0" ref="F17:G17">SUM(F18:F20)</f>
        <v>0</v>
      </c>
      <c r="G17" s="196">
        <f t="shared" si="0"/>
        <v>560904.54</v>
      </c>
      <c r="H17" s="196">
        <f aca="true" t="shared" si="1" ref="H17">SUM(H18:H20)</f>
        <v>1210678.501689761</v>
      </c>
      <c r="I17" s="196">
        <f aca="true" t="shared" si="2" ref="I17:J17">SUM(I18:I20)</f>
        <v>1347174.2103088736</v>
      </c>
      <c r="J17" s="196">
        <f t="shared" si="2"/>
        <v>530991.9603088734</v>
      </c>
      <c r="K17" s="196">
        <f aca="true" t="shared" si="3" ref="K17:M17">SUM(K18:K20)</f>
        <v>207219.94</v>
      </c>
      <c r="L17" s="196">
        <f t="shared" si="3"/>
        <v>1243809.17</v>
      </c>
      <c r="M17" s="196">
        <f t="shared" si="3"/>
        <v>0.028893175296772503</v>
      </c>
      <c r="N17" s="196">
        <f aca="true" t="shared" si="4" ref="N17">SUM(N18:N20)</f>
        <v>0</v>
      </c>
      <c r="O17" s="196">
        <f>SUM(O18:O20)</f>
        <v>11984163.211200684</v>
      </c>
      <c r="P17" s="198">
        <f>'QFR - B'!H15</f>
        <v>12000000</v>
      </c>
      <c r="Q17" s="282">
        <f>P17-O17</f>
        <v>15836.788799315691</v>
      </c>
      <c r="R17" s="35"/>
    </row>
    <row r="18" spans="1:18" s="205" customFormat="1" ht="15" outlineLevel="1">
      <c r="A18" s="204"/>
      <c r="B18" s="200" t="s">
        <v>98</v>
      </c>
      <c r="C18" s="297">
        <v>4405504.2</v>
      </c>
      <c r="D18" s="297">
        <v>544209.34</v>
      </c>
      <c r="E18" s="297">
        <v>51829.46</v>
      </c>
      <c r="F18" s="297">
        <v>0</v>
      </c>
      <c r="G18" s="297">
        <v>518294.61</v>
      </c>
      <c r="H18" s="297">
        <f>SUMIF('Contract level'!$A:$A,"="&amp;'DFP-Com'!$A16,'Contract level'!AP:AP)</f>
        <v>570124.0716897609</v>
      </c>
      <c r="I18" s="297">
        <f>SUMIF('Contract level'!$A:$A,"="&amp;'DFP-Com'!$A16,'Contract level'!AQ:AQ)</f>
        <v>518294.61030887347</v>
      </c>
      <c r="J18" s="297">
        <f>SUMIF('Contract level'!$A:$A,"="&amp;'DFP-Com'!$A16,'Contract level'!AR:AR)</f>
        <v>518294.61030887347</v>
      </c>
      <c r="K18" s="297">
        <f>SUMIF('Contract level'!$A:$A,"="&amp;'DFP-Com'!$A16,'Contract level'!AS:AS)</f>
        <v>0</v>
      </c>
      <c r="L18" s="297">
        <f>SUMIF('Contract level'!$A:$A,"="&amp;'DFP-Com'!$A16,'Contract level'!AT:AT)</f>
        <v>1036589.23</v>
      </c>
      <c r="M18" s="297">
        <f>SUMIF('Contract level'!$A:$A,"="&amp;'DFP-Com'!$A16,'Contract level'!AU:AU)</f>
        <v>0.028893175296772503</v>
      </c>
      <c r="N18" s="297">
        <f>SUMIF('Contract level'!$A:$A,"="&amp;'DFP-Com'!$A16,'Contract level'!AV:AV)</f>
        <v>0</v>
      </c>
      <c r="O18" s="297">
        <f>SUM(H18:N18)+D18+C18</f>
        <v>7593016.091200683</v>
      </c>
      <c r="P18" s="203">
        <v>0</v>
      </c>
      <c r="Q18" s="283"/>
      <c r="R18" s="35"/>
    </row>
    <row r="19" spans="1:18" s="205" customFormat="1" ht="15" outlineLevel="1">
      <c r="A19" s="204"/>
      <c r="B19" s="200" t="s">
        <v>99</v>
      </c>
      <c r="C19" s="297">
        <v>2113068.44</v>
      </c>
      <c r="D19" s="202">
        <v>380977.96</v>
      </c>
      <c r="E19" s="297">
        <v>597944.5</v>
      </c>
      <c r="F19" s="297">
        <v>0</v>
      </c>
      <c r="G19" s="297">
        <v>42609.93</v>
      </c>
      <c r="H19" s="297">
        <f>SUMIF('Contract level'!$A:$A,"="&amp;'DFP-Com'!$A17,'Contract level'!AP:AP)</f>
        <v>640554.4299999999</v>
      </c>
      <c r="I19" s="297">
        <f>SUMIF('Contract level'!$A:$A,"="&amp;'DFP-Com'!$A17,'Contract level'!AQ:AQ)</f>
        <v>828879.6000000001</v>
      </c>
      <c r="J19" s="297">
        <f>SUMIF('Contract level'!$A:$A,"="&amp;'DFP-Com'!$A17,'Contract level'!AR:AR)</f>
        <v>12697.350000000004</v>
      </c>
      <c r="K19" s="297">
        <f>SUMIF('Contract level'!$A:$A,"="&amp;'DFP-Com'!$A17,'Contract level'!AS:AS)</f>
        <v>207219.94</v>
      </c>
      <c r="L19" s="297">
        <f>SUMIF('Contract level'!$A:$A,"="&amp;'DFP-Com'!$A17,'Contract level'!AT:AT)</f>
        <v>207219.94</v>
      </c>
      <c r="M19" s="297">
        <f>SUMIF('Contract level'!$A:$A,"="&amp;'DFP-Com'!$A17,'Contract level'!AU:AU)</f>
        <v>0</v>
      </c>
      <c r="N19" s="297">
        <f>SUMIF('Contract level'!$A:$A,"="&amp;'DFP-Com'!$A17,'Contract level'!AV:AV)</f>
        <v>0</v>
      </c>
      <c r="O19" s="297">
        <f>SUM(H19:N19)+D19+C19</f>
        <v>4390617.66</v>
      </c>
      <c r="P19" s="203">
        <v>0</v>
      </c>
      <c r="Q19" s="283"/>
      <c r="R19" s="35"/>
    </row>
    <row r="20" spans="1:18" s="205" customFormat="1" ht="15" outlineLevel="1">
      <c r="A20" s="204"/>
      <c r="B20" s="200" t="s">
        <v>106</v>
      </c>
      <c r="C20" s="297">
        <v>529.46</v>
      </c>
      <c r="D20" s="297">
        <v>0</v>
      </c>
      <c r="E20" s="297">
        <v>0</v>
      </c>
      <c r="F20" s="297"/>
      <c r="G20" s="297"/>
      <c r="H20" s="297">
        <f>SUMIF('Contract level'!$A:$A,"="&amp;'DFP-Com'!$A18,'Contract level'!AP:AP)</f>
        <v>0</v>
      </c>
      <c r="I20" s="297">
        <f>SUMIF('Contract level'!$A:$A,"="&amp;'DFP-Com'!$A18,'Contract level'!AQ:AQ)</f>
        <v>0</v>
      </c>
      <c r="J20" s="297">
        <f>SUMIF('Contract level'!$A:$A,"="&amp;'DFP-Com'!$A18,'Contract level'!AR:AR)</f>
        <v>0</v>
      </c>
      <c r="K20" s="297">
        <f>SUMIF('Contract level'!$A:$A,"="&amp;'DFP-Com'!$A18,'Contract level'!AS:AS)</f>
        <v>0</v>
      </c>
      <c r="L20" s="297">
        <f>SUMIF('Contract level'!$A:$A,"="&amp;'DFP-Com'!$A18,'Contract level'!AT:AT)</f>
        <v>0</v>
      </c>
      <c r="M20" s="297">
        <f>SUMIF('Contract level'!$A:$A,"="&amp;'DFP-Com'!$A18,'Contract level'!AU:AU)</f>
        <v>0</v>
      </c>
      <c r="N20" s="297">
        <f>SUMIF('Contract level'!$A:$A,"="&amp;'DFP-Com'!$A18,'Contract level'!AV:AV)</f>
        <v>0</v>
      </c>
      <c r="O20" s="297">
        <f>SUM(H20:N20)+D20+C20</f>
        <v>529.46</v>
      </c>
      <c r="P20" s="203">
        <v>0</v>
      </c>
      <c r="Q20" s="283"/>
      <c r="R20" s="35"/>
    </row>
    <row r="21" spans="1:18" s="205" customFormat="1" ht="25.5" outlineLevel="1">
      <c r="A21" s="204"/>
      <c r="B21" s="49" t="s">
        <v>70</v>
      </c>
      <c r="C21" s="196">
        <f>C22</f>
        <v>1360438.7</v>
      </c>
      <c r="D21" s="196">
        <f>D22</f>
        <v>480453.51</v>
      </c>
      <c r="E21" s="196">
        <f aca="true" t="shared" si="5" ref="E21:N21">E22</f>
        <v>488677.97</v>
      </c>
      <c r="F21" s="196">
        <f t="shared" si="5"/>
        <v>107615.98</v>
      </c>
      <c r="G21" s="196">
        <f t="shared" si="5"/>
        <v>48615.98</v>
      </c>
      <c r="H21" s="196">
        <f t="shared" si="5"/>
        <v>644909.9299999999</v>
      </c>
      <c r="I21" s="196">
        <f t="shared" si="5"/>
        <v>703876.7727317805</v>
      </c>
      <c r="J21" s="196">
        <f t="shared" si="5"/>
        <v>926112.0628243538</v>
      </c>
      <c r="K21" s="196">
        <f t="shared" si="5"/>
        <v>110890.565</v>
      </c>
      <c r="L21" s="196">
        <f t="shared" si="5"/>
        <v>40070.54444386564</v>
      </c>
      <c r="M21" s="196">
        <f t="shared" si="5"/>
        <v>9941.83</v>
      </c>
      <c r="N21" s="196">
        <f t="shared" si="5"/>
        <v>3369.4375</v>
      </c>
      <c r="O21" s="196">
        <f>O22</f>
        <v>4280063.3525</v>
      </c>
      <c r="P21" s="198">
        <f>'QFR - B'!H16</f>
        <v>4300000</v>
      </c>
      <c r="Q21" s="282">
        <f>P21-O21</f>
        <v>19936.647499999963</v>
      </c>
      <c r="R21" s="394"/>
    </row>
    <row r="22" spans="1:18" s="205" customFormat="1" ht="12.95" customHeight="1" outlineLevel="1">
      <c r="A22" s="204"/>
      <c r="B22" s="200" t="s">
        <v>107</v>
      </c>
      <c r="C22" s="297">
        <v>1360438.7</v>
      </c>
      <c r="D22" s="297">
        <v>480453.51</v>
      </c>
      <c r="E22" s="297">
        <v>488677.97</v>
      </c>
      <c r="F22" s="297">
        <v>107615.98</v>
      </c>
      <c r="G22" s="297">
        <v>48615.98</v>
      </c>
      <c r="H22" s="297">
        <f>SUMIF('Contract level'!$A:$A,"="&amp;'DFP-Com'!$A20,'Contract level'!AP:AP)</f>
        <v>644909.9299999999</v>
      </c>
      <c r="I22" s="297">
        <f>SUMIF('Contract level'!$A:$A,"="&amp;'DFP-Com'!$A20,'Contract level'!AQ:AQ)</f>
        <v>703876.7727317805</v>
      </c>
      <c r="J22" s="297">
        <f>SUMIF('Contract level'!$A:$A,"="&amp;'DFP-Com'!$A20,'Contract level'!AR:AR)</f>
        <v>926112.0628243538</v>
      </c>
      <c r="K22" s="297">
        <f>SUMIF('Contract level'!$A:$A,"="&amp;'DFP-Com'!$A20,'Contract level'!AS:AS)</f>
        <v>110890.565</v>
      </c>
      <c r="L22" s="297">
        <f>SUMIF('Contract level'!$A:$A,"="&amp;'DFP-Com'!$A20,'Contract level'!AT:AT)</f>
        <v>40070.54444386564</v>
      </c>
      <c r="M22" s="297">
        <f>SUMIF('Contract level'!$A:$A,"="&amp;'DFP-Com'!$A20,'Contract level'!AU:AU)</f>
        <v>9941.83</v>
      </c>
      <c r="N22" s="297">
        <f>SUMIF('Contract level'!$A:$A,"="&amp;'DFP-Com'!$A20,'Contract level'!AV:AV)</f>
        <v>3369.4375</v>
      </c>
      <c r="O22" s="297">
        <f>SUM(H22:N22)+D22+C22</f>
        <v>4280063.3525</v>
      </c>
      <c r="P22" s="203">
        <v>0</v>
      </c>
      <c r="Q22" s="283"/>
      <c r="R22" s="394"/>
    </row>
    <row r="23" spans="1:18" s="205" customFormat="1" ht="15" outlineLevel="1">
      <c r="A23" s="204"/>
      <c r="B23" s="49" t="s">
        <v>71</v>
      </c>
      <c r="C23" s="196">
        <f>SUM(C24:C26)</f>
        <v>2119824.04</v>
      </c>
      <c r="D23" s="196">
        <f>SUM(D24:D26)</f>
        <v>149443.413375</v>
      </c>
      <c r="E23" s="196">
        <f aca="true" t="shared" si="6" ref="E23:O23">SUM(E24:E26)</f>
        <v>6827.620000000001</v>
      </c>
      <c r="F23" s="196">
        <f t="shared" si="6"/>
        <v>6821.504</v>
      </c>
      <c r="G23" s="196">
        <f t="shared" si="6"/>
        <v>6951.98</v>
      </c>
      <c r="H23" s="196">
        <f aca="true" t="shared" si="7" ref="H23">SUM(H24:H26)</f>
        <v>20601.1</v>
      </c>
      <c r="I23" s="196">
        <f aca="true" t="shared" si="8" ref="I23:J23">SUM(I24:I26)</f>
        <v>330646.77</v>
      </c>
      <c r="J23" s="196">
        <f t="shared" si="8"/>
        <v>176972.505</v>
      </c>
      <c r="K23" s="196">
        <f aca="true" t="shared" si="9" ref="K23:M23">SUM(K24:K26)</f>
        <v>228801.965</v>
      </c>
      <c r="L23" s="196">
        <f t="shared" si="9"/>
        <v>21484.125</v>
      </c>
      <c r="M23" s="196">
        <f t="shared" si="9"/>
        <v>22638.408924999996</v>
      </c>
      <c r="N23" s="196">
        <f aca="true" t="shared" si="10" ref="N23">SUM(N24:N26)</f>
        <v>7878.325000000001</v>
      </c>
      <c r="O23" s="196">
        <f t="shared" si="6"/>
        <v>3078290.6522999997</v>
      </c>
      <c r="P23" s="198">
        <f>'QFR - B'!H17</f>
        <v>3046000</v>
      </c>
      <c r="Q23" s="282">
        <f>P23-O23</f>
        <v>-32290.652299999725</v>
      </c>
      <c r="R23" s="394"/>
    </row>
    <row r="24" spans="1:18" s="205" customFormat="1" ht="12.95" customHeight="1" outlineLevel="1">
      <c r="A24" s="204"/>
      <c r="B24" s="200" t="s">
        <v>100</v>
      </c>
      <c r="C24" s="297">
        <v>1969519.5</v>
      </c>
      <c r="D24" s="297">
        <v>129573.653375</v>
      </c>
      <c r="E24" s="297"/>
      <c r="F24" s="297"/>
      <c r="G24" s="297"/>
      <c r="H24" s="297">
        <f>SUMIF('Contract level'!$A:$A,"="&amp;'DFP-Com'!$A22,'Contract level'!AP:AP)</f>
        <v>0</v>
      </c>
      <c r="I24" s="297">
        <f>SUMIF('Contract level'!$A:$A,"="&amp;'DFP-Com'!$A22,'Contract level'!AQ:AQ)</f>
        <v>310976.76</v>
      </c>
      <c r="J24" s="297">
        <f>SUMIF('Contract level'!$A:$A,"="&amp;'DFP-Com'!$A22,'Contract level'!AR:AR)</f>
        <v>155488.38</v>
      </c>
      <c r="K24" s="297">
        <f>SUMIF('Contract level'!$A:$A,"="&amp;'DFP-Com'!$A22,'Contract level'!AS:AS)</f>
        <v>207317.84</v>
      </c>
      <c r="L24" s="297">
        <f>SUMIF('Contract level'!$A:$A,"="&amp;'DFP-Com'!$A22,'Contract level'!AT:AT)</f>
        <v>0</v>
      </c>
      <c r="M24" s="297">
        <f>SUMIF('Contract level'!$A:$A,"="&amp;'DFP-Com'!$A22,'Contract level'!AU:AU)</f>
        <v>0.04392499999355946</v>
      </c>
      <c r="N24" s="297">
        <f>SUMIF('Contract level'!$A:$A,"="&amp;'DFP-Com'!$A22,'Contract level'!AV:AV)</f>
        <v>0</v>
      </c>
      <c r="O24" s="297">
        <f>SUM(H24:N24)+D24+C24</f>
        <v>2772876.1773</v>
      </c>
      <c r="P24" s="203">
        <v>0</v>
      </c>
      <c r="Q24" s="283"/>
      <c r="R24" s="394"/>
    </row>
    <row r="25" spans="1:18" s="205" customFormat="1" ht="12.95" customHeight="1" outlineLevel="1">
      <c r="A25" s="204"/>
      <c r="B25" s="200" t="s">
        <v>116</v>
      </c>
      <c r="C25" s="297">
        <v>149887.93</v>
      </c>
      <c r="D25" s="297">
        <v>19869.76</v>
      </c>
      <c r="E25" s="297">
        <f>3910.78+2583.84+333</f>
        <v>6827.620000000001</v>
      </c>
      <c r="F25" s="297">
        <f>3910.78+2577.72+333+0.004</f>
        <v>6821.504</v>
      </c>
      <c r="G25" s="297">
        <f>3910.78+2707.2+334</f>
        <v>6951.98</v>
      </c>
      <c r="H25" s="297">
        <f>SUMIF('Contract level'!$A:$A,"="&amp;'DFP-Com'!$A23,'Contract level'!AP:AP)</f>
        <v>20601.1</v>
      </c>
      <c r="I25" s="297">
        <f>SUMIF('Contract level'!$A:$A,"="&amp;'DFP-Com'!$A23,'Contract level'!AQ:AQ)</f>
        <v>19670.010000000002</v>
      </c>
      <c r="J25" s="297">
        <f>SUMIF('Contract level'!$A:$A,"="&amp;'DFP-Com'!$A23,'Contract level'!AR:AR)</f>
        <v>21484.125</v>
      </c>
      <c r="K25" s="297">
        <f>SUMIF('Contract level'!$A:$A,"="&amp;'DFP-Com'!$A23,'Contract level'!AS:AS)</f>
        <v>21484.125</v>
      </c>
      <c r="L25" s="297">
        <f>SUMIF('Contract level'!$A:$A,"="&amp;'DFP-Com'!$A23,'Contract level'!AT:AT)</f>
        <v>21484.125</v>
      </c>
      <c r="M25" s="297">
        <f>SUMIF('Contract level'!$A:$A,"="&amp;'DFP-Com'!$A23,'Contract level'!AU:AU)</f>
        <v>22638.365</v>
      </c>
      <c r="N25" s="297">
        <f>SUMIF('Contract level'!$A:$A,"="&amp;'DFP-Com'!$A23,'Contract level'!AV:AV)</f>
        <v>7878.325000000001</v>
      </c>
      <c r="O25" s="297">
        <f>SUM(H25:N25)+D25+C25</f>
        <v>304997.865</v>
      </c>
      <c r="P25" s="203">
        <v>0</v>
      </c>
      <c r="Q25" s="283"/>
      <c r="R25" s="394"/>
    </row>
    <row r="26" spans="1:18" s="205" customFormat="1" ht="15" outlineLevel="1">
      <c r="A26" s="204"/>
      <c r="B26" s="200" t="s">
        <v>115</v>
      </c>
      <c r="C26" s="297">
        <v>416.61</v>
      </c>
      <c r="D26" s="297">
        <v>0</v>
      </c>
      <c r="E26" s="297">
        <v>0</v>
      </c>
      <c r="F26" s="297">
        <v>0</v>
      </c>
      <c r="G26" s="297">
        <v>0</v>
      </c>
      <c r="H26" s="297">
        <f>SUMIF('Contract level'!$A:$A,"="&amp;'DFP-Com'!$A24,'Contract level'!AP:AP)</f>
        <v>0</v>
      </c>
      <c r="I26" s="297">
        <f>SUMIF('Contract level'!$A:$A,"="&amp;'DFP-Com'!$A24,'Contract level'!AQ:AQ)</f>
        <v>0</v>
      </c>
      <c r="J26" s="297">
        <f>SUMIF('Contract level'!$A:$A,"="&amp;'DFP-Com'!$A24,'Contract level'!AR:AR)</f>
        <v>0</v>
      </c>
      <c r="K26" s="297">
        <f>SUMIF('Contract level'!$A:$A,"="&amp;'DFP-Com'!$A24,'Contract level'!AS:AS)</f>
        <v>0</v>
      </c>
      <c r="L26" s="297">
        <f>SUMIF('Contract level'!$A:$A,"="&amp;'DFP-Com'!$A24,'Contract level'!AT:AT)</f>
        <v>0</v>
      </c>
      <c r="M26" s="297">
        <f>SUMIF('Contract level'!$A:$A,"="&amp;'DFP-Com'!$A24,'Contract level'!AU:AU)</f>
        <v>0</v>
      </c>
      <c r="N26" s="297">
        <f>SUMIF('Contract level'!$A:$A,"="&amp;'DFP-Com'!$A24,'Contract level'!AV:AV)</f>
        <v>0</v>
      </c>
      <c r="O26" s="297">
        <f>SUM(H26:N26)+D26+C26</f>
        <v>416.61</v>
      </c>
      <c r="P26" s="203">
        <v>0</v>
      </c>
      <c r="Q26" s="283"/>
      <c r="R26" s="394"/>
    </row>
    <row r="27" spans="1:18" s="205" customFormat="1" ht="15">
      <c r="A27" s="204"/>
      <c r="B27" s="51" t="s">
        <v>61</v>
      </c>
      <c r="C27" s="197">
        <f>C23+C21+C17</f>
        <v>9999364.84</v>
      </c>
      <c r="D27" s="197">
        <f>D23+D21+D17</f>
        <v>1555084.223375</v>
      </c>
      <c r="E27" s="197">
        <f aca="true" t="shared" si="11" ref="E27:O27">E23+E21+E17</f>
        <v>1145279.5499999998</v>
      </c>
      <c r="F27" s="197">
        <f t="shared" si="11"/>
        <v>114437.484</v>
      </c>
      <c r="G27" s="197">
        <f t="shared" si="11"/>
        <v>616472.5</v>
      </c>
      <c r="H27" s="197">
        <f aca="true" t="shared" si="12" ref="H27">H23+H21+H17</f>
        <v>1876189.5316897607</v>
      </c>
      <c r="I27" s="197">
        <f aca="true" t="shared" si="13" ref="I27:J27">I23+I21+I17</f>
        <v>2381697.753040654</v>
      </c>
      <c r="J27" s="197">
        <f t="shared" si="13"/>
        <v>1634076.5281332275</v>
      </c>
      <c r="K27" s="197">
        <f aca="true" t="shared" si="14" ref="K27:M27">K23+K21+K17</f>
        <v>546912.47</v>
      </c>
      <c r="L27" s="197">
        <f t="shared" si="14"/>
        <v>1305363.8394438655</v>
      </c>
      <c r="M27" s="197">
        <f t="shared" si="14"/>
        <v>32580.267818175296</v>
      </c>
      <c r="N27" s="197">
        <f aca="true" t="shared" si="15" ref="N27">N23+N21+N17</f>
        <v>11247.7625</v>
      </c>
      <c r="O27" s="197">
        <f t="shared" si="11"/>
        <v>19342517.216000684</v>
      </c>
      <c r="P27" s="199">
        <f>P17+P21+P23</f>
        <v>19346000</v>
      </c>
      <c r="Q27" s="284">
        <f>Q17+Q21+Q23</f>
        <v>3482.7839993159287</v>
      </c>
      <c r="R27" s="394"/>
    </row>
    <row r="28" spans="1:20" ht="15">
      <c r="A28" s="48"/>
      <c r="B28" s="53"/>
      <c r="C28" s="54"/>
      <c r="D28" s="55"/>
      <c r="E28" s="216"/>
      <c r="F28" s="216"/>
      <c r="G28" s="216"/>
      <c r="H28" s="216"/>
      <c r="I28" s="216"/>
      <c r="J28" s="216"/>
      <c r="K28" s="216"/>
      <c r="L28" s="216"/>
      <c r="M28" s="216"/>
      <c r="N28" s="216"/>
      <c r="O28" s="216"/>
      <c r="P28" s="267"/>
      <c r="Q28" s="285"/>
      <c r="R28" s="395"/>
      <c r="S28" s="5"/>
      <c r="T28" s="5"/>
    </row>
    <row r="29" spans="1:20" ht="15">
      <c r="A29" s="48"/>
      <c r="B29" s="44" t="s">
        <v>74</v>
      </c>
      <c r="C29" s="56"/>
      <c r="D29" s="57"/>
      <c r="E29" s="217"/>
      <c r="F29" s="217"/>
      <c r="G29" s="217"/>
      <c r="H29" s="217"/>
      <c r="I29" s="217"/>
      <c r="J29" s="217"/>
      <c r="K29" s="217"/>
      <c r="L29" s="217"/>
      <c r="M29" s="217"/>
      <c r="N29" s="217"/>
      <c r="O29" s="217"/>
      <c r="P29" s="268"/>
      <c r="Q29" s="286"/>
      <c r="R29" s="395"/>
      <c r="S29" s="5"/>
      <c r="T29" s="5"/>
    </row>
    <row r="30" spans="1:20" ht="15" outlineLevel="1">
      <c r="A30" s="48"/>
      <c r="B30" s="49" t="s">
        <v>117</v>
      </c>
      <c r="C30" s="41">
        <f aca="true" t="shared" si="16" ref="C30:O30">SUM(C31:C31)</f>
        <v>391651.96</v>
      </c>
      <c r="D30" s="528">
        <f t="shared" si="16"/>
        <v>44754.08</v>
      </c>
      <c r="E30" s="219">
        <f t="shared" si="16"/>
        <v>20745.36</v>
      </c>
      <c r="F30" s="219">
        <f t="shared" si="16"/>
        <v>24376.22</v>
      </c>
      <c r="G30" s="219">
        <f t="shared" si="16"/>
        <v>20745.37</v>
      </c>
      <c r="H30" s="219">
        <f t="shared" si="16"/>
        <v>65866.95</v>
      </c>
      <c r="I30" s="219">
        <f t="shared" si="16"/>
        <v>60751.96521331945</v>
      </c>
      <c r="J30" s="219">
        <f t="shared" si="16"/>
        <v>61517.42190426639</v>
      </c>
      <c r="K30" s="219">
        <f t="shared" si="16"/>
        <v>64588.418782518216</v>
      </c>
      <c r="L30" s="219">
        <f t="shared" si="16"/>
        <v>45317.710343392304</v>
      </c>
      <c r="M30" s="219">
        <f t="shared" si="16"/>
        <v>10160.833756503642</v>
      </c>
      <c r="N30" s="219">
        <f t="shared" si="16"/>
        <v>0</v>
      </c>
      <c r="O30" s="219">
        <f t="shared" si="16"/>
        <v>744609.3400000001</v>
      </c>
      <c r="P30" s="198">
        <f>'QFR - B'!H20</f>
        <v>800000</v>
      </c>
      <c r="Q30" s="282">
        <f>P30-O30</f>
        <v>55390.659999999916</v>
      </c>
      <c r="R30" s="396"/>
      <c r="S30" s="5"/>
      <c r="T30" s="5"/>
    </row>
    <row r="31" spans="1:18" s="205" customFormat="1" ht="15" outlineLevel="1">
      <c r="A31" s="204"/>
      <c r="B31" s="200" t="s">
        <v>110</v>
      </c>
      <c r="C31" s="209">
        <v>391651.96</v>
      </c>
      <c r="D31" s="393">
        <v>44754.08</v>
      </c>
      <c r="E31" s="297">
        <v>20745.36</v>
      </c>
      <c r="F31" s="297">
        <v>24376.22</v>
      </c>
      <c r="G31" s="297">
        <v>20745.37</v>
      </c>
      <c r="H31" s="297">
        <f>SUMIF('Contract level'!$A:$A,"="&amp;'DFP-Com'!$A29,'Contract level'!AP:AP)</f>
        <v>65866.95</v>
      </c>
      <c r="I31" s="297">
        <f>SUMIF('Contract level'!$A:$A,"="&amp;'DFP-Com'!$A29,'Contract level'!AQ:AQ)</f>
        <v>60751.96521331945</v>
      </c>
      <c r="J31" s="297">
        <f>SUMIF('Contract level'!$A:$A,"="&amp;'DFP-Com'!$A29,'Contract level'!AR:AR)</f>
        <v>61517.42190426639</v>
      </c>
      <c r="K31" s="297">
        <f>SUMIF('Contract level'!$A:$A,"="&amp;'DFP-Com'!$A29,'Contract level'!AS:AS)</f>
        <v>64588.418782518216</v>
      </c>
      <c r="L31" s="297">
        <f>SUMIF('Contract level'!$A:$A,"="&amp;'DFP-Com'!$A29,'Contract level'!AT:AT)</f>
        <v>45317.710343392304</v>
      </c>
      <c r="M31" s="297">
        <f>SUMIF('Contract level'!$A:$A,"="&amp;'DFP-Com'!$A29,'Contract level'!AU:AU)</f>
        <v>10160.833756503642</v>
      </c>
      <c r="N31" s="297">
        <f>SUMIF('Contract level'!$A:$A,"="&amp;'DFP-Com'!$A29,'Contract level'!AV:AV)</f>
        <v>0</v>
      </c>
      <c r="O31" s="297">
        <f>SUM(H31:N31)+D31+C31</f>
        <v>744609.3400000001</v>
      </c>
      <c r="P31" s="203"/>
      <c r="Q31" s="283"/>
      <c r="R31" s="396"/>
    </row>
    <row r="32" spans="1:20" ht="15" outlineLevel="1">
      <c r="A32" s="48"/>
      <c r="B32" s="49" t="s">
        <v>78</v>
      </c>
      <c r="C32" s="345">
        <f>SUM(C33:C35)</f>
        <v>1128080.81</v>
      </c>
      <c r="D32" s="345">
        <f>SUM(D33:D35)</f>
        <v>412091.60000000003</v>
      </c>
      <c r="E32" s="196">
        <f aca="true" t="shared" si="17" ref="E32:G32">SUM(E33:E35)</f>
        <v>0</v>
      </c>
      <c r="F32" s="196">
        <f t="shared" si="17"/>
        <v>20000.004</v>
      </c>
      <c r="G32" s="196">
        <f t="shared" si="17"/>
        <v>0</v>
      </c>
      <c r="H32" s="196">
        <f aca="true" t="shared" si="18" ref="H32">SUM(H33:H35)</f>
        <v>20000</v>
      </c>
      <c r="I32" s="196">
        <f aca="true" t="shared" si="19" ref="I32:J32">SUM(I33:I35)</f>
        <v>77426.564</v>
      </c>
      <c r="J32" s="196">
        <f t="shared" si="19"/>
        <v>662821.466</v>
      </c>
      <c r="K32" s="196">
        <f aca="true" t="shared" si="20" ref="K32:M32">SUM(K33:K35)</f>
        <v>260000</v>
      </c>
      <c r="L32" s="196">
        <f t="shared" si="20"/>
        <v>509550</v>
      </c>
      <c r="M32" s="196">
        <f t="shared" si="20"/>
        <v>0</v>
      </c>
      <c r="N32" s="196">
        <f aca="true" t="shared" si="21" ref="N32">SUM(N33:N35)</f>
        <v>0</v>
      </c>
      <c r="O32" s="196">
        <f>SUM(O33:O35)</f>
        <v>3069970.44</v>
      </c>
      <c r="P32" s="198">
        <f>'QFR - B'!H21</f>
        <v>3560000</v>
      </c>
      <c r="Q32" s="282">
        <f>P32-O32</f>
        <v>490029.56000000006</v>
      </c>
      <c r="R32" s="396"/>
      <c r="S32" s="5"/>
      <c r="T32" s="5"/>
    </row>
    <row r="33" spans="1:18" s="205" customFormat="1" ht="15" outlineLevel="1">
      <c r="A33" s="204"/>
      <c r="B33" s="200" t="s">
        <v>111</v>
      </c>
      <c r="C33" s="393">
        <v>469299.64</v>
      </c>
      <c r="D33" s="209">
        <v>0</v>
      </c>
      <c r="E33" s="297"/>
      <c r="F33" s="297">
        <v>20000.004</v>
      </c>
      <c r="G33" s="297">
        <v>0</v>
      </c>
      <c r="H33" s="297">
        <f>SUMIF('Contract level'!$A:$A,"="&amp;'DFP-Com'!$A31,'Contract level'!AP:AP)</f>
        <v>20000</v>
      </c>
      <c r="I33" s="297">
        <f>SUMIF('Contract level'!$A:$A,"="&amp;'DFP-Com'!$A31,'Contract level'!AQ:AQ)</f>
        <v>12426.564</v>
      </c>
      <c r="J33" s="297">
        <f>SUMIF('Contract level'!$A:$A,"="&amp;'DFP-Com'!$A31,'Contract level'!AR:AR)</f>
        <v>12821.466000000015</v>
      </c>
      <c r="K33" s="297">
        <f>SUMIF('Contract level'!$A:$A,"="&amp;'DFP-Com'!$A31,'Contract level'!AS:AS)</f>
        <v>0</v>
      </c>
      <c r="L33" s="297">
        <f>SUMIF('Contract level'!$A:$A,"="&amp;'DFP-Com'!$A31,'Contract level'!AT:AT)</f>
        <v>184550</v>
      </c>
      <c r="M33" s="297">
        <f>SUMIF('Contract level'!$A:$A,"="&amp;'DFP-Com'!$A31,'Contract level'!AU:AU)</f>
        <v>0</v>
      </c>
      <c r="N33" s="297">
        <f>SUMIF('Contract level'!$A:$A,"="&amp;'DFP-Com'!$A31,'Contract level'!AV:AV)</f>
        <v>0</v>
      </c>
      <c r="O33" s="297">
        <f>SUM(H33:N33)+D33+C33</f>
        <v>699097.67</v>
      </c>
      <c r="P33" s="203"/>
      <c r="Q33" s="283"/>
      <c r="R33" s="396"/>
    </row>
    <row r="34" spans="1:18" s="205" customFormat="1" ht="15" outlineLevel="1">
      <c r="A34" s="204"/>
      <c r="B34" s="200" t="s">
        <v>112</v>
      </c>
      <c r="C34" s="393">
        <v>618137.4</v>
      </c>
      <c r="D34" s="393">
        <v>412091.60000000003</v>
      </c>
      <c r="E34" s="297">
        <v>0</v>
      </c>
      <c r="F34" s="297">
        <v>0</v>
      </c>
      <c r="G34" s="297"/>
      <c r="H34" s="297">
        <f>SUMIF('Contract level'!$A:$A,"="&amp;'DFP-Com'!$A32,'Contract level'!AP:AP)</f>
        <v>0</v>
      </c>
      <c r="I34" s="297">
        <f>SUMIF('Contract level'!$A:$A,"="&amp;'DFP-Com'!$A32,'Contract level'!AQ:AQ)</f>
        <v>65000</v>
      </c>
      <c r="J34" s="297">
        <f>SUMIF('Contract level'!$A:$A,"="&amp;'DFP-Com'!$A32,'Contract level'!AR:AR)</f>
        <v>650000</v>
      </c>
      <c r="K34" s="297">
        <f>SUMIF('Contract level'!$A:$A,"="&amp;'DFP-Com'!$A32,'Contract level'!AS:AS)</f>
        <v>260000</v>
      </c>
      <c r="L34" s="297">
        <f>SUMIF('Contract level'!$A:$A,"="&amp;'DFP-Com'!$A32,'Contract level'!AT:AT)</f>
        <v>325000</v>
      </c>
      <c r="M34" s="297">
        <f>SUMIF('Contract level'!$A:$A,"="&amp;'DFP-Com'!$A32,'Contract level'!AU:AU)</f>
        <v>0</v>
      </c>
      <c r="N34" s="297">
        <f>SUMIF('Contract level'!$A:$A,"="&amp;'DFP-Com'!$A32,'Contract level'!AV:AV)</f>
        <v>0</v>
      </c>
      <c r="O34" s="297">
        <f>SUM(H34:N34)+D34+C34</f>
        <v>2330229</v>
      </c>
      <c r="P34" s="203"/>
      <c r="Q34" s="283"/>
      <c r="R34" s="396"/>
    </row>
    <row r="35" spans="1:18" s="205" customFormat="1" ht="15" outlineLevel="1">
      <c r="A35" s="204"/>
      <c r="B35" s="200" t="s">
        <v>114</v>
      </c>
      <c r="C35" s="393">
        <v>40643.77</v>
      </c>
      <c r="D35" s="393">
        <v>0</v>
      </c>
      <c r="E35" s="297"/>
      <c r="F35" s="297">
        <v>0</v>
      </c>
      <c r="G35" s="297">
        <v>0</v>
      </c>
      <c r="H35" s="297">
        <f>SUMIF('Contract level'!$A:$A,"="&amp;'DFP-Com'!$A33,'Contract level'!AP:AP)</f>
        <v>0</v>
      </c>
      <c r="I35" s="297">
        <f>SUMIF('Contract level'!$A:$A,"="&amp;'DFP-Com'!$A33,'Contract level'!AQ:AQ)</f>
        <v>0</v>
      </c>
      <c r="J35" s="297">
        <f>SUMIF('Contract level'!$A:$A,"="&amp;'DFP-Com'!$A33,'Contract level'!AR:AR)</f>
        <v>0</v>
      </c>
      <c r="K35" s="297">
        <f>SUMIF('Contract level'!$A:$A,"="&amp;'DFP-Com'!$A33,'Contract level'!AS:AS)</f>
        <v>0</v>
      </c>
      <c r="L35" s="297">
        <f>SUMIF('Contract level'!$A:$A,"="&amp;'DFP-Com'!$A33,'Contract level'!AT:AT)</f>
        <v>0</v>
      </c>
      <c r="M35" s="297">
        <f>SUMIF('Contract level'!$A:$A,"="&amp;'DFP-Com'!$A33,'Contract level'!AU:AU)</f>
        <v>0</v>
      </c>
      <c r="N35" s="297">
        <f>SUMIF('Contract level'!$A:$A,"="&amp;'DFP-Com'!$A33,'Contract level'!AV:AV)</f>
        <v>0</v>
      </c>
      <c r="O35" s="297">
        <f>SUM(H35:N35)+D35+C35</f>
        <v>40643.77</v>
      </c>
      <c r="P35" s="203"/>
      <c r="Q35" s="283"/>
      <c r="R35" s="394"/>
    </row>
    <row r="36" spans="1:20" ht="15">
      <c r="A36" s="48"/>
      <c r="B36" s="58" t="s">
        <v>62</v>
      </c>
      <c r="C36" s="52">
        <f>C32+C30</f>
        <v>1519732.77</v>
      </c>
      <c r="D36" s="521">
        <f>D32+D30</f>
        <v>456845.68000000005</v>
      </c>
      <c r="E36" s="197">
        <f aca="true" t="shared" si="22" ref="E36:Q36">E32+E30</f>
        <v>20745.36</v>
      </c>
      <c r="F36" s="197">
        <f t="shared" si="22"/>
        <v>44376.224</v>
      </c>
      <c r="G36" s="197">
        <f t="shared" si="22"/>
        <v>20745.37</v>
      </c>
      <c r="H36" s="197">
        <f t="shared" si="22"/>
        <v>85866.95</v>
      </c>
      <c r="I36" s="197">
        <f aca="true" t="shared" si="23" ref="I36:J36">I32+I30</f>
        <v>138178.52921331945</v>
      </c>
      <c r="J36" s="197">
        <f t="shared" si="23"/>
        <v>724338.8879042664</v>
      </c>
      <c r="K36" s="197">
        <f aca="true" t="shared" si="24" ref="K36:M36">K32+K30</f>
        <v>324588.41878251825</v>
      </c>
      <c r="L36" s="197">
        <f t="shared" si="24"/>
        <v>554867.7103433923</v>
      </c>
      <c r="M36" s="197">
        <f t="shared" si="24"/>
        <v>10160.833756503642</v>
      </c>
      <c r="N36" s="197">
        <f aca="true" t="shared" si="25" ref="N36">N32+N30</f>
        <v>0</v>
      </c>
      <c r="O36" s="197">
        <f>O32+O30</f>
        <v>3814579.7800000003</v>
      </c>
      <c r="P36" s="197">
        <f t="shared" si="22"/>
        <v>4360000</v>
      </c>
      <c r="Q36" s="288">
        <f t="shared" si="22"/>
        <v>545420.22</v>
      </c>
      <c r="R36" s="396"/>
      <c r="S36" s="5"/>
      <c r="T36" s="5"/>
    </row>
    <row r="37" spans="1:20" ht="15">
      <c r="A37" s="48"/>
      <c r="B37" s="53"/>
      <c r="C37" s="54"/>
      <c r="D37" s="55"/>
      <c r="E37" s="216"/>
      <c r="F37" s="216"/>
      <c r="G37" s="216"/>
      <c r="H37" s="216"/>
      <c r="I37" s="216"/>
      <c r="J37" s="216"/>
      <c r="K37" s="216"/>
      <c r="L37" s="216"/>
      <c r="M37" s="216"/>
      <c r="N37" s="216"/>
      <c r="O37" s="216"/>
      <c r="P37" s="267"/>
      <c r="Q37" s="285"/>
      <c r="R37" s="395"/>
      <c r="S37" s="5"/>
      <c r="T37" s="5"/>
    </row>
    <row r="38" spans="1:18" s="10" customFormat="1" ht="15">
      <c r="A38" s="59"/>
      <c r="B38" s="44" t="s">
        <v>82</v>
      </c>
      <c r="C38" s="60"/>
      <c r="D38" s="61"/>
      <c r="E38" s="264"/>
      <c r="F38" s="264"/>
      <c r="G38" s="264"/>
      <c r="H38" s="264"/>
      <c r="I38" s="264"/>
      <c r="J38" s="264"/>
      <c r="K38" s="264"/>
      <c r="L38" s="264"/>
      <c r="M38" s="264"/>
      <c r="N38" s="264"/>
      <c r="O38" s="217"/>
      <c r="P38" s="268"/>
      <c r="Q38" s="286"/>
      <c r="R38" s="395"/>
    </row>
    <row r="39" spans="1:18" s="10" customFormat="1" ht="15" outlineLevel="1">
      <c r="A39" s="59"/>
      <c r="B39" s="64" t="s">
        <v>83</v>
      </c>
      <c r="C39" s="50">
        <f aca="true" t="shared" si="26" ref="C39:E39">SUM(C40:C43)</f>
        <v>336176.35</v>
      </c>
      <c r="D39" s="50">
        <f t="shared" si="26"/>
        <v>16000</v>
      </c>
      <c r="E39" s="196">
        <f t="shared" si="26"/>
        <v>42064.47</v>
      </c>
      <c r="F39" s="196">
        <f aca="true" t="shared" si="27" ref="F39:O39">SUM(F40:F43)</f>
        <v>20661.136666666665</v>
      </c>
      <c r="G39" s="196">
        <f t="shared" si="27"/>
        <v>10281.136666666667</v>
      </c>
      <c r="H39" s="196">
        <f t="shared" si="27"/>
        <v>73006.74333333335</v>
      </c>
      <c r="I39" s="196">
        <f t="shared" si="27"/>
        <v>146345.81</v>
      </c>
      <c r="J39" s="196">
        <f t="shared" si="27"/>
        <v>206950.07666666666</v>
      </c>
      <c r="K39" s="196">
        <f t="shared" si="27"/>
        <v>178943.41</v>
      </c>
      <c r="L39" s="196">
        <f t="shared" si="27"/>
        <v>257943.41</v>
      </c>
      <c r="M39" s="196">
        <f t="shared" si="27"/>
        <v>157947.76</v>
      </c>
      <c r="N39" s="196">
        <f aca="true" t="shared" si="28" ref="N39">SUM(N40:N43)</f>
        <v>0</v>
      </c>
      <c r="O39" s="219">
        <f t="shared" si="27"/>
        <v>1373313.56</v>
      </c>
      <c r="P39" s="198">
        <f>'QFR - B'!H24</f>
        <v>1431000</v>
      </c>
      <c r="Q39" s="282">
        <f>P39-O39</f>
        <v>57686.439999999944</v>
      </c>
      <c r="R39" s="395"/>
    </row>
    <row r="40" spans="1:18" s="212" customFormat="1" ht="15" outlineLevel="1">
      <c r="A40" s="210"/>
      <c r="B40" s="211" t="s">
        <v>101</v>
      </c>
      <c r="C40" s="208">
        <v>315526.94</v>
      </c>
      <c r="D40" s="208">
        <v>0</v>
      </c>
      <c r="E40" s="296">
        <v>32314.47</v>
      </c>
      <c r="F40" s="297">
        <v>17911.136666666665</v>
      </c>
      <c r="G40" s="297">
        <v>6781.136666666667</v>
      </c>
      <c r="H40" s="297">
        <f>SUMIF('Contract level'!$A:$A,"="&amp;'DFP-Com'!$A38,'Contract level'!AP:AP)</f>
        <v>57006.74333333334</v>
      </c>
      <c r="I40" s="297">
        <f>SUMIF('Contract level'!$A:$A,"="&amp;'DFP-Com'!$A38,'Contract level'!AQ:AQ)</f>
        <v>40345.81</v>
      </c>
      <c r="J40" s="297">
        <f>SUMIF('Contract level'!$A:$A,"="&amp;'DFP-Com'!$A38,'Contract level'!AR:AR)</f>
        <v>20950.076666666668</v>
      </c>
      <c r="K40" s="297">
        <f>SUMIF('Contract level'!$A:$A,"="&amp;'DFP-Com'!$A38,'Contract level'!AS:AS)</f>
        <v>16943.41</v>
      </c>
      <c r="L40" s="297">
        <f>SUMIF('Contract level'!$A:$A,"="&amp;'DFP-Com'!$A38,'Contract level'!AT:AT)</f>
        <v>241943.41</v>
      </c>
      <c r="M40" s="297">
        <f>SUMIF('Contract level'!$A:$A,"="&amp;'DFP-Com'!$A38,'Contract level'!AU:AU)</f>
        <v>72947.76</v>
      </c>
      <c r="N40" s="297">
        <f>SUMIF('Contract level'!$A:$A,"="&amp;'DFP-Com'!$A38,'Contract level'!AV:AV)</f>
        <v>0</v>
      </c>
      <c r="O40" s="297">
        <f>SUM(H40:N40)+D40+C40</f>
        <v>765664.15</v>
      </c>
      <c r="P40" s="269"/>
      <c r="Q40" s="287"/>
      <c r="R40" s="394"/>
    </row>
    <row r="41" spans="1:18" s="212" customFormat="1" ht="15" outlineLevel="1">
      <c r="A41" s="210"/>
      <c r="B41" s="211" t="s">
        <v>102</v>
      </c>
      <c r="C41" s="208">
        <v>0</v>
      </c>
      <c r="D41" s="208">
        <v>0</v>
      </c>
      <c r="E41" s="296"/>
      <c r="F41" s="296"/>
      <c r="G41" s="296"/>
      <c r="H41" s="297">
        <f>SUMIF('Contract level'!$A:$A,"="&amp;'DFP-Com'!$A39,'Contract level'!AP:AP)</f>
        <v>0</v>
      </c>
      <c r="I41" s="297">
        <f>SUMIF('Contract level'!$A:$A,"="&amp;'DFP-Com'!$A39,'Contract level'!AQ:AQ)</f>
        <v>0</v>
      </c>
      <c r="J41" s="297">
        <f>SUMIF('Contract level'!$A:$A,"="&amp;'DFP-Com'!$A39,'Contract level'!AR:AR)</f>
        <v>0</v>
      </c>
      <c r="K41" s="297">
        <f>SUMIF('Contract level'!$A:$A,"="&amp;'DFP-Com'!$A39,'Contract level'!AS:AS)</f>
        <v>0</v>
      </c>
      <c r="L41" s="297">
        <f>SUMIF('Contract level'!$A:$A,"="&amp;'DFP-Com'!$A39,'Contract level'!AT:AT)</f>
        <v>0</v>
      </c>
      <c r="M41" s="297">
        <f>SUMIF('Contract level'!$A:$A,"="&amp;'DFP-Com'!$A39,'Contract level'!AU:AU)</f>
        <v>0</v>
      </c>
      <c r="N41" s="297">
        <f>SUMIF('Contract level'!$A:$A,"="&amp;'DFP-Com'!$A39,'Contract level'!AV:AV)</f>
        <v>0</v>
      </c>
      <c r="O41" s="297">
        <f>SUM(H41:N41)+D41+C41</f>
        <v>0</v>
      </c>
      <c r="P41" s="269"/>
      <c r="Q41" s="287"/>
      <c r="R41" s="394"/>
    </row>
    <row r="42" spans="1:18" s="212" customFormat="1" ht="15" outlineLevel="1">
      <c r="A42" s="210"/>
      <c r="B42" s="211" t="s">
        <v>103</v>
      </c>
      <c r="C42" s="208">
        <v>0</v>
      </c>
      <c r="D42" s="208">
        <v>0</v>
      </c>
      <c r="E42" s="296"/>
      <c r="F42" s="296"/>
      <c r="G42" s="296"/>
      <c r="H42" s="297">
        <f>SUMIF('Contract level'!$A:$A,"="&amp;'DFP-Com'!$A40,'Contract level'!AP:AP)</f>
        <v>0</v>
      </c>
      <c r="I42" s="297">
        <f>SUMIF('Contract level'!$A:$A,"="&amp;'DFP-Com'!$A40,'Contract level'!AQ:AQ)</f>
        <v>0</v>
      </c>
      <c r="J42" s="297">
        <f>SUMIF('Contract level'!$A:$A,"="&amp;'DFP-Com'!$A40,'Contract level'!AR:AR)</f>
        <v>0</v>
      </c>
      <c r="K42" s="297">
        <f>SUMIF('Contract level'!$A:$A,"="&amp;'DFP-Com'!$A40,'Contract level'!AS:AS)</f>
        <v>0</v>
      </c>
      <c r="L42" s="297">
        <f>SUMIF('Contract level'!$A:$A,"="&amp;'DFP-Com'!$A40,'Contract level'!AT:AT)</f>
        <v>0</v>
      </c>
      <c r="M42" s="297">
        <f>SUMIF('Contract level'!$A:$A,"="&amp;'DFP-Com'!$A40,'Contract level'!AU:AU)</f>
        <v>0</v>
      </c>
      <c r="N42" s="297">
        <f>SUMIF('Contract level'!$A:$A,"="&amp;'DFP-Com'!$A40,'Contract level'!AV:AV)</f>
        <v>0</v>
      </c>
      <c r="O42" s="297">
        <f>SUM(H42:N42)+D42+C42</f>
        <v>0</v>
      </c>
      <c r="P42" s="269"/>
      <c r="Q42" s="287"/>
      <c r="R42" s="394"/>
    </row>
    <row r="43" spans="1:18" s="212" customFormat="1" ht="15" outlineLevel="1">
      <c r="A43" s="210"/>
      <c r="B43" s="211" t="s">
        <v>113</v>
      </c>
      <c r="C43" s="208">
        <v>20649.41</v>
      </c>
      <c r="D43" s="208">
        <v>16000</v>
      </c>
      <c r="E43" s="296">
        <v>9750</v>
      </c>
      <c r="F43" s="296">
        <v>2750</v>
      </c>
      <c r="G43" s="296">
        <v>3500</v>
      </c>
      <c r="H43" s="297">
        <f>SUMIF('Contract level'!$A:$A,"="&amp;'DFP-Com'!$A41,'Contract level'!AP:AP)</f>
        <v>16000</v>
      </c>
      <c r="I43" s="297">
        <f>SUMIF('Contract level'!$A:$A,"="&amp;'DFP-Com'!$A41,'Contract level'!AQ:AQ)</f>
        <v>106000</v>
      </c>
      <c r="J43" s="297">
        <f>SUMIF('Contract level'!$A:$A,"="&amp;'DFP-Com'!$A41,'Contract level'!AR:AR)</f>
        <v>186000</v>
      </c>
      <c r="K43" s="297">
        <f>SUMIF('Contract level'!$A:$A,"="&amp;'DFP-Com'!$A41,'Contract level'!AS:AS)</f>
        <v>162000</v>
      </c>
      <c r="L43" s="297">
        <f>SUMIF('Contract level'!$A:$A,"="&amp;'DFP-Com'!$A41,'Contract level'!AT:AT)</f>
        <v>16000</v>
      </c>
      <c r="M43" s="297">
        <f>SUMIF('Contract level'!$A:$A,"="&amp;'DFP-Com'!$A41,'Contract level'!AU:AU)</f>
        <v>85000</v>
      </c>
      <c r="N43" s="297">
        <f>SUMIF('Contract level'!$A:$A,"="&amp;'DFP-Com'!$A41,'Contract level'!AV:AV)</f>
        <v>0</v>
      </c>
      <c r="O43" s="297">
        <f>SUM(H43:N43)+D43+C43</f>
        <v>607649.41</v>
      </c>
      <c r="P43" s="269"/>
      <c r="Q43" s="287"/>
      <c r="R43" s="394"/>
    </row>
    <row r="44" spans="1:20" ht="15">
      <c r="A44" s="48"/>
      <c r="B44" s="58" t="s">
        <v>17</v>
      </c>
      <c r="C44" s="52">
        <f>C39</f>
        <v>336176.35</v>
      </c>
      <c r="D44" s="52">
        <f>D39</f>
        <v>16000</v>
      </c>
      <c r="E44" s="197">
        <f aca="true" t="shared" si="29" ref="E44:Q44">E39</f>
        <v>42064.47</v>
      </c>
      <c r="F44" s="197">
        <f t="shared" si="29"/>
        <v>20661.136666666665</v>
      </c>
      <c r="G44" s="197">
        <f t="shared" si="29"/>
        <v>10281.136666666667</v>
      </c>
      <c r="H44" s="197">
        <f aca="true" t="shared" si="30" ref="H44">H39</f>
        <v>73006.74333333335</v>
      </c>
      <c r="I44" s="197">
        <f aca="true" t="shared" si="31" ref="I44:J44">I39</f>
        <v>146345.81</v>
      </c>
      <c r="J44" s="197">
        <f t="shared" si="31"/>
        <v>206950.07666666666</v>
      </c>
      <c r="K44" s="197">
        <f aca="true" t="shared" si="32" ref="K44:M44">K39</f>
        <v>178943.41</v>
      </c>
      <c r="L44" s="197">
        <f t="shared" si="32"/>
        <v>257943.41</v>
      </c>
      <c r="M44" s="197">
        <f t="shared" si="32"/>
        <v>157947.76</v>
      </c>
      <c r="N44" s="197">
        <f aca="true" t="shared" si="33" ref="N44">N39</f>
        <v>0</v>
      </c>
      <c r="O44" s="197">
        <f t="shared" si="29"/>
        <v>1373313.56</v>
      </c>
      <c r="P44" s="270">
        <f t="shared" si="29"/>
        <v>1431000</v>
      </c>
      <c r="Q44" s="288">
        <f t="shared" si="29"/>
        <v>57686.439999999944</v>
      </c>
      <c r="R44" s="395"/>
      <c r="S44" s="5"/>
      <c r="T44" s="5"/>
    </row>
    <row r="45" spans="1:20" ht="15">
      <c r="A45" s="48"/>
      <c r="B45" s="53"/>
      <c r="C45" s="54"/>
      <c r="D45" s="55"/>
      <c r="E45" s="216"/>
      <c r="F45" s="216"/>
      <c r="G45" s="216"/>
      <c r="H45" s="216"/>
      <c r="I45" s="216"/>
      <c r="J45" s="216"/>
      <c r="K45" s="216"/>
      <c r="L45" s="216"/>
      <c r="M45" s="216"/>
      <c r="N45" s="216"/>
      <c r="O45" s="216"/>
      <c r="P45" s="267"/>
      <c r="Q45" s="285"/>
      <c r="R45" s="395"/>
      <c r="S45" s="5"/>
      <c r="T45" s="5"/>
    </row>
    <row r="46" spans="1:18" s="10" customFormat="1" ht="15">
      <c r="A46" s="59"/>
      <c r="B46" s="44" t="s">
        <v>76</v>
      </c>
      <c r="C46" s="60"/>
      <c r="D46" s="61"/>
      <c r="E46" s="264"/>
      <c r="F46" s="264"/>
      <c r="G46" s="264"/>
      <c r="H46" s="264"/>
      <c r="I46" s="264"/>
      <c r="J46" s="264"/>
      <c r="K46" s="264"/>
      <c r="L46" s="264"/>
      <c r="M46" s="264"/>
      <c r="N46" s="264"/>
      <c r="O46" s="217"/>
      <c r="P46" s="268"/>
      <c r="Q46" s="286"/>
      <c r="R46" s="395"/>
    </row>
    <row r="47" spans="1:20" ht="15" outlineLevel="1">
      <c r="A47" s="48"/>
      <c r="B47" s="65" t="s">
        <v>85</v>
      </c>
      <c r="C47" s="345">
        <f aca="true" t="shared" si="34" ref="C47:G47">SUM(C48:C51)</f>
        <v>542069.89</v>
      </c>
      <c r="D47" s="345">
        <f t="shared" si="34"/>
        <v>67313.03</v>
      </c>
      <c r="E47" s="196">
        <f t="shared" si="34"/>
        <v>44106.78</v>
      </c>
      <c r="F47" s="196">
        <f t="shared" si="34"/>
        <v>28906.78</v>
      </c>
      <c r="G47" s="196">
        <f t="shared" si="34"/>
        <v>46214.45</v>
      </c>
      <c r="H47" s="196">
        <f aca="true" t="shared" si="35" ref="H47">SUM(H48:H51)</f>
        <v>119228.01000000001</v>
      </c>
      <c r="I47" s="196">
        <f aca="true" t="shared" si="36" ref="I47:J47">SUM(I48:I51)</f>
        <v>88303.00000000001</v>
      </c>
      <c r="J47" s="196">
        <f t="shared" si="36"/>
        <v>79358.76</v>
      </c>
      <c r="K47" s="196">
        <f aca="true" t="shared" si="37" ref="K47:M47">SUM(K48:K51)</f>
        <v>65695.37999999999</v>
      </c>
      <c r="L47" s="196">
        <f t="shared" si="37"/>
        <v>90695.37999999999</v>
      </c>
      <c r="M47" s="196">
        <f t="shared" si="37"/>
        <v>69546.82500000001</v>
      </c>
      <c r="N47" s="196">
        <f aca="true" t="shared" si="38" ref="N47">SUM(N48:N51)</f>
        <v>33181.3225</v>
      </c>
      <c r="O47" s="219">
        <f>SUM(O48:O51)</f>
        <v>1155391.5975</v>
      </c>
      <c r="P47" s="198">
        <f>'QFR - B'!H27</f>
        <v>1060500</v>
      </c>
      <c r="Q47" s="282">
        <f>P47-O47</f>
        <v>-94891.59749999992</v>
      </c>
      <c r="R47" s="395"/>
      <c r="S47" s="5"/>
      <c r="T47" s="5"/>
    </row>
    <row r="48" spans="1:18" s="205" customFormat="1" ht="12.75" customHeight="1" outlineLevel="1">
      <c r="A48" s="204"/>
      <c r="B48" s="215" t="s">
        <v>123</v>
      </c>
      <c r="C48" s="369">
        <v>430876.31</v>
      </c>
      <c r="D48" s="369">
        <v>53264</v>
      </c>
      <c r="E48" s="296">
        <v>20201.42</v>
      </c>
      <c r="F48" s="296">
        <v>20201.42</v>
      </c>
      <c r="G48" s="296">
        <v>20009.09</v>
      </c>
      <c r="H48" s="202">
        <f>SUMIF('Contract level'!$A:$A,"="&amp;'DFP-Com'!$A46,'Contract level'!AP:AP)</f>
        <v>60411.93000000001</v>
      </c>
      <c r="I48" s="297">
        <f>SUMIF('Contract level'!$A:$A,"="&amp;'DFP-Com'!$A46,'Contract level'!AQ:AQ)</f>
        <v>62186.920000000006</v>
      </c>
      <c r="J48" s="297">
        <f>SUMIF('Contract level'!$A:$A,"="&amp;'DFP-Com'!$A46,'Contract level'!AR:AR)</f>
        <v>63766.799999999996</v>
      </c>
      <c r="K48" s="297">
        <f>SUMIF('Contract level'!$A:$A,"="&amp;'DFP-Com'!$A46,'Contract level'!AS:AS)</f>
        <v>63766.799999999996</v>
      </c>
      <c r="L48" s="297">
        <f>SUMIF('Contract level'!$A:$A,"="&amp;'DFP-Com'!$A46,'Contract level'!AT:AT)</f>
        <v>63766.799999999996</v>
      </c>
      <c r="M48" s="297">
        <f>SUMIF('Contract level'!$A:$A,"="&amp;'DFP-Com'!$A46,'Contract level'!AU:AU)</f>
        <v>67618.24500000001</v>
      </c>
      <c r="N48" s="297">
        <f>SUMIF('Contract level'!$A:$A,"="&amp;'DFP-Com'!$A46,'Contract level'!AV:AV)</f>
        <v>23181.322500000002</v>
      </c>
      <c r="O48" s="202">
        <f>SUM(H48:N48)+D48+C48</f>
        <v>888839.1275</v>
      </c>
      <c r="P48" s="269"/>
      <c r="Q48" s="283"/>
      <c r="R48" s="394"/>
    </row>
    <row r="49" spans="1:18" s="205" customFormat="1" ht="15" outlineLevel="1">
      <c r="A49" s="204"/>
      <c r="B49" s="215" t="s">
        <v>124</v>
      </c>
      <c r="C49" s="369">
        <v>28419.07</v>
      </c>
      <c r="D49" s="369">
        <v>3189.2</v>
      </c>
      <c r="E49" s="296">
        <v>5000</v>
      </c>
      <c r="F49" s="296">
        <v>5000</v>
      </c>
      <c r="G49" s="296">
        <v>2500</v>
      </c>
      <c r="H49" s="202">
        <f>SUMIF('Contract level'!$A:$A,"="&amp;'DFP-Com'!$A47,'Contract level'!AP:AP)</f>
        <v>12500</v>
      </c>
      <c r="I49" s="297">
        <f>SUMIF('Contract level'!$A:$A,"="&amp;'DFP-Com'!$A47,'Contract level'!AQ:AQ)</f>
        <v>1000</v>
      </c>
      <c r="J49" s="297">
        <f>SUMIF('Contract level'!$A:$A,"="&amp;'DFP-Com'!$A47,'Contract level'!AR:AR)</f>
        <v>391.7299999999959</v>
      </c>
      <c r="K49" s="297">
        <f>SUMIF('Contract level'!$A:$A,"="&amp;'DFP-Com'!$A47,'Contract level'!AS:AS)</f>
        <v>0</v>
      </c>
      <c r="L49" s="297">
        <f>SUMIF('Contract level'!$A:$A,"="&amp;'DFP-Com'!$A47,'Contract level'!AT:AT)</f>
        <v>0</v>
      </c>
      <c r="M49" s="297">
        <f>SUMIF('Contract level'!$A:$A,"="&amp;'DFP-Com'!$A47,'Contract level'!AU:AU)</f>
        <v>0</v>
      </c>
      <c r="N49" s="297">
        <f>SUMIF('Contract level'!$A:$A,"="&amp;'DFP-Com'!$A47,'Contract level'!AV:AV)</f>
        <v>0</v>
      </c>
      <c r="O49" s="297">
        <f>SUM(H49:N49)+D49+C49</f>
        <v>45500</v>
      </c>
      <c r="P49" s="269"/>
      <c r="Q49" s="287"/>
      <c r="R49" s="394"/>
    </row>
    <row r="50" spans="1:18" s="205" customFormat="1" ht="15" outlineLevel="1">
      <c r="A50" s="204"/>
      <c r="B50" s="215" t="s">
        <v>125</v>
      </c>
      <c r="C50" s="369">
        <v>43000</v>
      </c>
      <c r="D50" s="369">
        <v>0</v>
      </c>
      <c r="E50" s="296">
        <v>12000</v>
      </c>
      <c r="F50" s="296"/>
      <c r="G50" s="296">
        <v>18000</v>
      </c>
      <c r="H50" s="202">
        <f>SUMIF('Contract level'!$A:$A,"="&amp;'DFP-Com'!$A48,'Contract level'!AP:AP)</f>
        <v>30000</v>
      </c>
      <c r="I50" s="297">
        <f>SUMIF('Contract level'!$A:$A,"="&amp;'DFP-Com'!$A48,'Contract level'!AQ:AQ)</f>
        <v>12000</v>
      </c>
      <c r="J50" s="297">
        <f>SUMIF('Contract level'!$A:$A,"="&amp;'DFP-Com'!$A48,'Contract level'!AR:AR)</f>
        <v>0</v>
      </c>
      <c r="K50" s="297">
        <f>SUMIF('Contract level'!$A:$A,"="&amp;'DFP-Com'!$A48,'Contract level'!AS:AS)</f>
        <v>0</v>
      </c>
      <c r="L50" s="297">
        <f>SUMIF('Contract level'!$A:$A,"="&amp;'DFP-Com'!$A48,'Contract level'!AT:AT)</f>
        <v>25000</v>
      </c>
      <c r="M50" s="297">
        <f>SUMIF('Contract level'!$A:$A,"="&amp;'DFP-Com'!$A48,'Contract level'!AU:AU)</f>
        <v>0</v>
      </c>
      <c r="N50" s="297">
        <f>SUMIF('Contract level'!$A:$A,"="&amp;'DFP-Com'!$A48,'Contract level'!AV:AV)</f>
        <v>10000</v>
      </c>
      <c r="O50" s="297">
        <f>SUM(H50:N50)+D50+C50</f>
        <v>120000</v>
      </c>
      <c r="P50" s="269"/>
      <c r="Q50" s="287"/>
      <c r="R50" s="394"/>
    </row>
    <row r="51" spans="1:18" s="205" customFormat="1" ht="15" outlineLevel="1">
      <c r="A51" s="204"/>
      <c r="B51" s="215" t="s">
        <v>126</v>
      </c>
      <c r="C51" s="369">
        <v>39774.51</v>
      </c>
      <c r="D51" s="369">
        <v>10859.83</v>
      </c>
      <c r="E51" s="296">
        <f>642.86+3062.5+3200</f>
        <v>6905.360000000001</v>
      </c>
      <c r="F51" s="296">
        <f>642.86+3062.5</f>
        <v>3705.36</v>
      </c>
      <c r="G51" s="296">
        <f>642.86+2000+3062.5</f>
        <v>5705.360000000001</v>
      </c>
      <c r="H51" s="202">
        <f>SUMIF('Contract level'!$A:$A,"="&amp;'DFP-Com'!$A49,'Contract level'!AP:AP)</f>
        <v>16316.08</v>
      </c>
      <c r="I51" s="297">
        <f>SUMIF('Contract level'!$A:$A,"="&amp;'DFP-Com'!$A49,'Contract level'!AQ:AQ)</f>
        <v>13116.08</v>
      </c>
      <c r="J51" s="297">
        <f>SUMIF('Contract level'!$A:$A,"="&amp;'DFP-Com'!$A49,'Contract level'!AR:AR)</f>
        <v>15200.229999999998</v>
      </c>
      <c r="K51" s="297">
        <f>SUMIF('Contract level'!$A:$A,"="&amp;'DFP-Com'!$A49,'Contract level'!AS:AS)</f>
        <v>1928.58</v>
      </c>
      <c r="L51" s="297">
        <f>SUMIF('Contract level'!$A:$A,"="&amp;'DFP-Com'!$A49,'Contract level'!AT:AT)</f>
        <v>1928.58</v>
      </c>
      <c r="M51" s="297">
        <f>SUMIF('Contract level'!$A:$A,"="&amp;'DFP-Com'!$A49,'Contract level'!AU:AU)</f>
        <v>1928.58</v>
      </c>
      <c r="N51" s="297">
        <f>SUMIF('Contract level'!$A:$A,"="&amp;'DFP-Com'!$A49,'Contract level'!AV:AV)</f>
        <v>0</v>
      </c>
      <c r="O51" s="297">
        <f>SUM(H51:N51)+D51+C51</f>
        <v>101052.47</v>
      </c>
      <c r="P51" s="269"/>
      <c r="Q51" s="287"/>
      <c r="R51" s="394"/>
    </row>
    <row r="52" spans="2:18" s="10" customFormat="1" ht="15">
      <c r="B52" s="66" t="s">
        <v>84</v>
      </c>
      <c r="C52" s="521">
        <f aca="true" t="shared" si="39" ref="C52:Q52">C47</f>
        <v>542069.89</v>
      </c>
      <c r="D52" s="521">
        <f t="shared" si="39"/>
        <v>67313.03</v>
      </c>
      <c r="E52" s="197">
        <f t="shared" si="39"/>
        <v>44106.78</v>
      </c>
      <c r="F52" s="197">
        <f t="shared" si="39"/>
        <v>28906.78</v>
      </c>
      <c r="G52" s="197">
        <f t="shared" si="39"/>
        <v>46214.45</v>
      </c>
      <c r="H52" s="197">
        <f aca="true" t="shared" si="40" ref="H52">H47</f>
        <v>119228.01000000001</v>
      </c>
      <c r="I52" s="197">
        <f aca="true" t="shared" si="41" ref="I52:J52">I47</f>
        <v>88303.00000000001</v>
      </c>
      <c r="J52" s="197">
        <f t="shared" si="41"/>
        <v>79358.76</v>
      </c>
      <c r="K52" s="197">
        <f aca="true" t="shared" si="42" ref="K52:M52">K47</f>
        <v>65695.37999999999</v>
      </c>
      <c r="L52" s="197">
        <f t="shared" si="42"/>
        <v>90695.37999999999</v>
      </c>
      <c r="M52" s="197">
        <f t="shared" si="42"/>
        <v>69546.82500000001</v>
      </c>
      <c r="N52" s="197">
        <f aca="true" t="shared" si="43" ref="N52">N47</f>
        <v>33181.3225</v>
      </c>
      <c r="O52" s="197">
        <f t="shared" si="39"/>
        <v>1155391.5975</v>
      </c>
      <c r="P52" s="270">
        <f t="shared" si="39"/>
        <v>1060500</v>
      </c>
      <c r="Q52" s="288">
        <f t="shared" si="39"/>
        <v>-94891.59749999992</v>
      </c>
      <c r="R52" s="396"/>
    </row>
    <row r="53" spans="1:20" ht="15">
      <c r="A53" s="5"/>
      <c r="B53" s="53"/>
      <c r="C53" s="54"/>
      <c r="D53" s="55"/>
      <c r="E53" s="216"/>
      <c r="F53" s="216"/>
      <c r="G53" s="216"/>
      <c r="H53" s="216"/>
      <c r="I53" s="216"/>
      <c r="J53" s="216"/>
      <c r="K53" s="216"/>
      <c r="L53" s="216"/>
      <c r="M53" s="216"/>
      <c r="N53" s="216"/>
      <c r="O53" s="218"/>
      <c r="P53" s="267"/>
      <c r="Q53" s="289"/>
      <c r="R53" s="395"/>
      <c r="S53" s="5"/>
      <c r="T53" s="5"/>
    </row>
    <row r="54" spans="2:18" s="223" customFormat="1" ht="17.25" thickBot="1">
      <c r="B54" s="228" t="s">
        <v>119</v>
      </c>
      <c r="C54" s="224">
        <f aca="true" t="shared" si="44" ref="C54:Q54">C52+C44+C36+C27</f>
        <v>12397343.85</v>
      </c>
      <c r="D54" s="328">
        <f t="shared" si="44"/>
        <v>2095242.933375</v>
      </c>
      <c r="E54" s="225">
        <f t="shared" si="44"/>
        <v>1252196.16</v>
      </c>
      <c r="F54" s="225">
        <f t="shared" si="44"/>
        <v>208381.62466666667</v>
      </c>
      <c r="G54" s="225">
        <f>G52+G44+G36+G27</f>
        <v>693713.4566666667</v>
      </c>
      <c r="H54" s="225">
        <f aca="true" t="shared" si="45" ref="H54">H52+H44+H36+H27</f>
        <v>2154291.2350230943</v>
      </c>
      <c r="I54" s="225">
        <f aca="true" t="shared" si="46" ref="I54">I52+I44+I36+I27</f>
        <v>2754525.0922539737</v>
      </c>
      <c r="J54" s="225">
        <f aca="true" t="shared" si="47" ref="J54:M54">J52+J44+J36+J27</f>
        <v>2644724.2527041603</v>
      </c>
      <c r="K54" s="225">
        <f t="shared" si="47"/>
        <v>1116139.6787825183</v>
      </c>
      <c r="L54" s="225">
        <f t="shared" si="47"/>
        <v>2208870.339787258</v>
      </c>
      <c r="M54" s="225">
        <f t="shared" si="47"/>
        <v>270235.686574679</v>
      </c>
      <c r="N54" s="225">
        <f aca="true" t="shared" si="48" ref="N54">N52+N44+N36+N27</f>
        <v>44429.08500000001</v>
      </c>
      <c r="O54" s="225">
        <f t="shared" si="44"/>
        <v>25685802.153500684</v>
      </c>
      <c r="P54" s="225">
        <f t="shared" si="44"/>
        <v>26197500</v>
      </c>
      <c r="Q54" s="290">
        <f t="shared" si="44"/>
        <v>511697.8464993159</v>
      </c>
      <c r="R54" s="396"/>
    </row>
    <row r="55" spans="2:19" ht="13.5" thickTop="1">
      <c r="B55" s="7" t="s">
        <v>121</v>
      </c>
      <c r="R55" s="397"/>
      <c r="S55" s="212"/>
    </row>
    <row r="56" spans="2:18" ht="15">
      <c r="B56" s="68" t="s">
        <v>122</v>
      </c>
      <c r="Q56" s="517">
        <f>+'DFP-Com'!Q45-'DFP-CASH'!Q47</f>
        <v>0</v>
      </c>
      <c r="R56" s="397"/>
    </row>
    <row r="57" spans="2:19" ht="15">
      <c r="B57" s="7"/>
      <c r="R57" s="397"/>
      <c r="S57" s="212"/>
    </row>
    <row r="58" spans="2:18" ht="15">
      <c r="B58" s="7"/>
      <c r="R58" s="190"/>
    </row>
    <row r="59" spans="2:18" ht="15">
      <c r="B59" s="7"/>
      <c r="H59" s="517"/>
      <c r="R59" s="190"/>
    </row>
    <row r="60" spans="2:18" ht="15">
      <c r="B60" s="7"/>
      <c r="H60" s="517"/>
      <c r="R60" s="190"/>
    </row>
    <row r="61" spans="2:18" ht="15">
      <c r="B61" s="7"/>
      <c r="R61" s="190"/>
    </row>
    <row r="62" spans="2:18" ht="15">
      <c r="B62" s="7"/>
      <c r="R62" s="190"/>
    </row>
    <row r="63" spans="2:18" ht="15">
      <c r="B63" s="7"/>
      <c r="R63" s="190"/>
    </row>
    <row r="64" spans="2:18" ht="15">
      <c r="B64" s="7"/>
      <c r="R64" s="190"/>
    </row>
    <row r="65" spans="2:18" ht="15">
      <c r="B65" s="7"/>
      <c r="R65" s="190"/>
    </row>
    <row r="66" spans="2:18" ht="15">
      <c r="B66" s="7"/>
      <c r="R66" s="190"/>
    </row>
    <row r="67" spans="2:18" ht="15">
      <c r="B67" s="7"/>
      <c r="R67" s="190"/>
    </row>
    <row r="68" spans="2:18" ht="15">
      <c r="B68" s="7"/>
      <c r="R68" s="190"/>
    </row>
    <row r="69" spans="2:18" ht="15">
      <c r="B69" s="7"/>
      <c r="R69" s="190"/>
    </row>
    <row r="70" spans="4:18" ht="15">
      <c r="D70" s="517"/>
      <c r="R70" s="190"/>
    </row>
    <row r="71" ht="15">
      <c r="R71" s="190"/>
    </row>
    <row r="72" ht="15">
      <c r="R72" s="190"/>
    </row>
    <row r="73" ht="15">
      <c r="R73" s="190"/>
    </row>
    <row r="74" ht="15">
      <c r="R74" s="190"/>
    </row>
    <row r="75" ht="15">
      <c r="R75" s="190"/>
    </row>
    <row r="76" ht="15">
      <c r="R76" s="190"/>
    </row>
    <row r="77" ht="15">
      <c r="R77" s="190"/>
    </row>
    <row r="78" ht="15">
      <c r="R78" s="190"/>
    </row>
    <row r="79" ht="15">
      <c r="R79" s="190"/>
    </row>
    <row r="80" ht="15">
      <c r="R80" s="190"/>
    </row>
    <row r="81" ht="15">
      <c r="R81" s="190"/>
    </row>
    <row r="82" ht="15">
      <c r="R82" s="190"/>
    </row>
    <row r="83" ht="15">
      <c r="R83" s="190"/>
    </row>
    <row r="84" ht="15">
      <c r="R84" s="190"/>
    </row>
    <row r="85" ht="15">
      <c r="R85" s="190"/>
    </row>
  </sheetData>
  <mergeCells count="6">
    <mergeCell ref="Q12:Q13"/>
    <mergeCell ref="B11:B12"/>
    <mergeCell ref="O12:O13"/>
    <mergeCell ref="P12:P13"/>
    <mergeCell ref="E12:G12"/>
    <mergeCell ref="E11:G11"/>
  </mergeCells>
  <printOptions/>
  <pageMargins left="0.7086614173228347" right="0.7086614173228347" top="0.7480314960629921" bottom="0.7480314960629921" header="0.31496062992125984" footer="0.31496062992125984"/>
  <pageSetup fitToHeight="1" fitToWidth="1" horizontalDpi="600" verticalDpi="600" orientation="landscape" scale="40" r:id="rId1"/>
  <ignoredErrors>
    <ignoredError sqref="O23"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8"/>
  <sheetViews>
    <sheetView showGridLines="0" zoomScale="74" zoomScaleNormal="74" zoomScalePageLayoutView="85" workbookViewId="0" topLeftCell="A1">
      <pane ySplit="13" topLeftCell="A14" activePane="bottomLeft" state="frozen"/>
      <selection pane="bottomLeft" activeCell="B10" sqref="B10"/>
    </sheetView>
  </sheetViews>
  <sheetFormatPr defaultColWidth="9.140625" defaultRowHeight="15"/>
  <cols>
    <col min="1" max="1" width="2.421875" style="0" customWidth="1"/>
    <col min="2" max="2" width="29.421875" style="0" customWidth="1"/>
    <col min="3" max="3" width="18.421875" style="0" customWidth="1"/>
    <col min="4" max="4" width="22.421875" style="0" customWidth="1"/>
    <col min="5" max="5" width="19.00390625" style="0" customWidth="1"/>
    <col min="6" max="6" width="18.140625" style="0" customWidth="1"/>
    <col min="7" max="7" width="18.8515625" style="0" customWidth="1"/>
    <col min="8" max="8" width="9.140625" style="0" customWidth="1"/>
    <col min="9" max="9" width="13.00390625" style="0" bestFit="1" customWidth="1"/>
  </cols>
  <sheetData>
    <row r="1" spans="2:7" ht="15">
      <c r="B1" s="72" t="s">
        <v>21</v>
      </c>
      <c r="C1" s="73"/>
      <c r="D1" s="73"/>
      <c r="E1" s="73"/>
      <c r="F1" s="73"/>
      <c r="G1" s="74"/>
    </row>
    <row r="2" spans="2:7" ht="15">
      <c r="B2" s="75"/>
      <c r="C2" s="76" t="s">
        <v>1</v>
      </c>
      <c r="D2" s="149" t="s">
        <v>63</v>
      </c>
      <c r="E2" s="78"/>
      <c r="F2" s="79"/>
      <c r="G2" s="80"/>
    </row>
    <row r="3" spans="2:7" ht="15">
      <c r="B3" s="75"/>
      <c r="C3" s="76" t="s">
        <v>2</v>
      </c>
      <c r="D3" s="176" t="s">
        <v>64</v>
      </c>
      <c r="E3" s="78"/>
      <c r="F3" s="79"/>
      <c r="G3" s="80"/>
    </row>
    <row r="4" spans="2:7" ht="15">
      <c r="B4" s="75"/>
      <c r="C4" s="76" t="s">
        <v>3</v>
      </c>
      <c r="D4" s="176" t="str">
        <f>'THP DR'!B7</f>
        <v>TR14GTM15001</v>
      </c>
      <c r="E4" s="78"/>
      <c r="F4" s="79"/>
      <c r="G4" s="80"/>
    </row>
    <row r="5" spans="2:7" ht="15">
      <c r="B5" s="75"/>
      <c r="C5" s="76" t="s">
        <v>4</v>
      </c>
      <c r="D5" s="177">
        <v>43713</v>
      </c>
      <c r="E5" s="78"/>
      <c r="F5" s="79"/>
      <c r="G5" s="80"/>
    </row>
    <row r="6" spans="2:7" ht="15.75" thickBot="1">
      <c r="B6" s="82"/>
      <c r="C6" s="83"/>
      <c r="D6" s="84"/>
      <c r="E6" s="83"/>
      <c r="F6" s="84"/>
      <c r="G6" s="85"/>
    </row>
    <row r="7" spans="2:8" ht="15">
      <c r="B7" s="86" t="s">
        <v>22</v>
      </c>
      <c r="C7" s="87"/>
      <c r="D7" s="87"/>
      <c r="E7" s="87"/>
      <c r="F7" s="87"/>
      <c r="G7" s="88"/>
      <c r="H7" s="89"/>
    </row>
    <row r="8" spans="2:8" ht="15">
      <c r="B8" s="90" t="str">
        <f>"Disbursement Period:"&amp;TEXT('THP DR'!B11,"dd-mmm-yy")&amp;" to "&amp;TEXT('THP DR'!B12,"dd-mmm-yy")</f>
        <v>Disbursement Period:01-oct-19 to 31-dic-19</v>
      </c>
      <c r="C8" s="91"/>
      <c r="D8" s="91"/>
      <c r="E8" s="91"/>
      <c r="F8" s="91"/>
      <c r="G8" s="92"/>
      <c r="H8" s="89"/>
    </row>
    <row r="9" spans="2:8" s="98" customFormat="1" ht="12.75">
      <c r="B9" s="93" t="s">
        <v>23</v>
      </c>
      <c r="C9" s="94"/>
      <c r="D9" s="94"/>
      <c r="E9" s="95"/>
      <c r="F9" s="95"/>
      <c r="G9" s="96"/>
      <c r="H9" s="97"/>
    </row>
    <row r="10" spans="2:8" ht="15.75" thickBot="1">
      <c r="B10" s="99" t="s">
        <v>208</v>
      </c>
      <c r="C10" s="100"/>
      <c r="D10" s="100"/>
      <c r="E10" s="100"/>
      <c r="F10" s="100"/>
      <c r="G10" s="101"/>
      <c r="H10" s="89"/>
    </row>
    <row r="11" spans="2:8" ht="52.5" customHeight="1" thickBot="1">
      <c r="B11" s="102"/>
      <c r="C11" s="103" t="s">
        <v>24</v>
      </c>
      <c r="D11" s="104" t="s">
        <v>25</v>
      </c>
      <c r="E11" s="545" t="s">
        <v>26</v>
      </c>
      <c r="F11" s="546"/>
      <c r="G11" s="105" t="s">
        <v>27</v>
      </c>
      <c r="H11" s="89"/>
    </row>
    <row r="12" spans="2:8" ht="23.25">
      <c r="B12" s="106" t="s">
        <v>73</v>
      </c>
      <c r="C12" s="107"/>
      <c r="D12" s="108" t="s">
        <v>28</v>
      </c>
      <c r="E12" s="109" t="s">
        <v>29</v>
      </c>
      <c r="F12" s="110" t="s">
        <v>30</v>
      </c>
      <c r="G12" s="111" t="s">
        <v>31</v>
      </c>
      <c r="H12" s="89"/>
    </row>
    <row r="13" spans="2:8" s="98" customFormat="1" ht="13.5" thickBot="1">
      <c r="B13" s="112" t="s">
        <v>81</v>
      </c>
      <c r="C13" s="113">
        <v>1</v>
      </c>
      <c r="D13" s="113">
        <v>2</v>
      </c>
      <c r="E13" s="113">
        <v>3</v>
      </c>
      <c r="F13" s="113">
        <v>4</v>
      </c>
      <c r="G13" s="114">
        <v>5</v>
      </c>
      <c r="H13" s="97"/>
    </row>
    <row r="14" spans="2:8" s="98" customFormat="1" ht="15">
      <c r="B14" s="547"/>
      <c r="C14" s="548"/>
      <c r="D14" s="548"/>
      <c r="E14" s="548"/>
      <c r="F14" s="548"/>
      <c r="G14" s="549"/>
      <c r="H14" s="97"/>
    </row>
    <row r="15" spans="2:9" s="98" customFormat="1" ht="26.45" customHeight="1">
      <c r="B15" s="155" t="s">
        <v>68</v>
      </c>
      <c r="C15" s="178">
        <f>SUM(C16:C18)</f>
        <v>19700000</v>
      </c>
      <c r="D15" s="182">
        <f>SUM(D16:D18)</f>
        <v>19346000</v>
      </c>
      <c r="E15" s="178">
        <f>SUM(E16:E18)</f>
        <v>0</v>
      </c>
      <c r="F15" s="178">
        <f>SUM(F16:F18)</f>
        <v>0</v>
      </c>
      <c r="G15" s="182">
        <f aca="true" t="shared" si="0" ref="G15:G18">+D15+E15-F15</f>
        <v>19346000</v>
      </c>
      <c r="H15" s="97"/>
      <c r="I15" s="244"/>
    </row>
    <row r="16" spans="2:9" s="98" customFormat="1" ht="25.5">
      <c r="B16" s="169" t="s">
        <v>69</v>
      </c>
      <c r="C16" s="168">
        <v>12000000</v>
      </c>
      <c r="D16" s="183">
        <f>'QFR - B'!H15</f>
        <v>12000000</v>
      </c>
      <c r="E16" s="179"/>
      <c r="F16" s="179">
        <v>0</v>
      </c>
      <c r="G16" s="183">
        <f t="shared" si="0"/>
        <v>12000000</v>
      </c>
      <c r="H16" s="97"/>
      <c r="I16" s="244" t="s">
        <v>104</v>
      </c>
    </row>
    <row r="17" spans="2:7" ht="45" customHeight="1">
      <c r="B17" s="169" t="s">
        <v>70</v>
      </c>
      <c r="C17" s="168">
        <v>4700000</v>
      </c>
      <c r="D17" s="183">
        <f>'QFR - B'!H16</f>
        <v>4300000</v>
      </c>
      <c r="E17" s="179">
        <v>0</v>
      </c>
      <c r="F17" s="179"/>
      <c r="G17" s="183">
        <f t="shared" si="0"/>
        <v>4300000</v>
      </c>
    </row>
    <row r="18" spans="2:7" ht="25.5">
      <c r="B18" s="169" t="s">
        <v>71</v>
      </c>
      <c r="C18" s="168">
        <v>3000000</v>
      </c>
      <c r="D18" s="183">
        <f>'QFR - B'!H17</f>
        <v>3046000</v>
      </c>
      <c r="E18" s="179">
        <v>0</v>
      </c>
      <c r="F18" s="179"/>
      <c r="G18" s="183">
        <f t="shared" si="0"/>
        <v>3046000</v>
      </c>
    </row>
    <row r="19" spans="2:7" ht="15">
      <c r="B19" s="170"/>
      <c r="C19" s="168"/>
      <c r="D19" s="183"/>
      <c r="E19" s="179"/>
      <c r="F19" s="179"/>
      <c r="G19" s="183"/>
    </row>
    <row r="20" spans="2:9" ht="25.5">
      <c r="B20" s="171" t="s">
        <v>74</v>
      </c>
      <c r="C20" s="159">
        <f>SUM(C21:C22)</f>
        <v>4000000</v>
      </c>
      <c r="D20" s="184">
        <f>SUM(D21:D22)</f>
        <v>4360000</v>
      </c>
      <c r="E20" s="159">
        <f>SUM(E21:E22)</f>
        <v>0</v>
      </c>
      <c r="F20" s="159">
        <f>SUM(F21:F22)</f>
        <v>0</v>
      </c>
      <c r="G20" s="184">
        <f>+D20+E20-F20</f>
        <v>4360000</v>
      </c>
      <c r="I20" s="250"/>
    </row>
    <row r="21" spans="2:7" ht="25.5">
      <c r="B21" s="169" t="s">
        <v>77</v>
      </c>
      <c r="C21" s="168">
        <v>0</v>
      </c>
      <c r="D21" s="183">
        <f>'QFR - B'!H20</f>
        <v>800000</v>
      </c>
      <c r="E21" s="179"/>
      <c r="F21" s="179"/>
      <c r="G21" s="183">
        <f>+D21+E21-F21</f>
        <v>800000</v>
      </c>
    </row>
    <row r="22" spans="2:7" ht="25.5">
      <c r="B22" s="169" t="s">
        <v>78</v>
      </c>
      <c r="C22" s="168">
        <v>4000000</v>
      </c>
      <c r="D22" s="183">
        <f>'QFR - B'!H21</f>
        <v>3560000</v>
      </c>
      <c r="E22" s="179"/>
      <c r="F22" s="179"/>
      <c r="G22" s="183">
        <f>+D22+E22-F22</f>
        <v>3560000</v>
      </c>
    </row>
    <row r="23" spans="2:7" ht="15">
      <c r="B23" s="170"/>
      <c r="C23" s="168"/>
      <c r="D23" s="185"/>
      <c r="E23" s="179"/>
      <c r="F23" s="179"/>
      <c r="G23" s="185"/>
    </row>
    <row r="24" spans="2:9" ht="26.45" customHeight="1">
      <c r="B24" s="156" t="s">
        <v>75</v>
      </c>
      <c r="C24" s="159">
        <f>SUM(C25)</f>
        <v>1700000</v>
      </c>
      <c r="D24" s="184">
        <f aca="true" t="shared" si="1" ref="D24:G24">SUM(D25)</f>
        <v>1431000</v>
      </c>
      <c r="E24" s="159">
        <f t="shared" si="1"/>
        <v>0</v>
      </c>
      <c r="F24" s="159">
        <f t="shared" si="1"/>
        <v>0</v>
      </c>
      <c r="G24" s="184">
        <f t="shared" si="1"/>
        <v>1431000</v>
      </c>
      <c r="I24" s="250"/>
    </row>
    <row r="25" spans="2:7" ht="26.45" customHeight="1">
      <c r="B25" s="175" t="s">
        <v>79</v>
      </c>
      <c r="C25" s="168">
        <v>1700000</v>
      </c>
      <c r="D25" s="183">
        <f>'QFR - B'!H24</f>
        <v>1431000</v>
      </c>
      <c r="E25" s="179"/>
      <c r="F25" s="179">
        <v>0</v>
      </c>
      <c r="G25" s="183">
        <f>+D25+E25-F25</f>
        <v>1431000</v>
      </c>
    </row>
    <row r="26" spans="2:7" ht="15">
      <c r="B26" s="170"/>
      <c r="C26" s="168"/>
      <c r="D26" s="185"/>
      <c r="E26" s="179"/>
      <c r="F26" s="179"/>
      <c r="G26" s="185"/>
    </row>
    <row r="27" spans="2:9" ht="26.45" customHeight="1">
      <c r="B27" s="156" t="s">
        <v>76</v>
      </c>
      <c r="C27" s="159">
        <f>SUM(C28)</f>
        <v>800000</v>
      </c>
      <c r="D27" s="184">
        <f aca="true" t="shared" si="2" ref="D27:G27">SUM(D28)</f>
        <v>1060500</v>
      </c>
      <c r="E27" s="159">
        <f t="shared" si="2"/>
        <v>0</v>
      </c>
      <c r="F27" s="159">
        <f t="shared" si="2"/>
        <v>0</v>
      </c>
      <c r="G27" s="184">
        <f t="shared" si="2"/>
        <v>1060500</v>
      </c>
      <c r="I27" s="250"/>
    </row>
    <row r="28" spans="2:7" ht="26.45" customHeight="1">
      <c r="B28" s="175" t="s">
        <v>80</v>
      </c>
      <c r="C28" s="168">
        <v>800000</v>
      </c>
      <c r="D28" s="183">
        <f>'QFR - B'!H27</f>
        <v>1060500</v>
      </c>
      <c r="E28" s="179"/>
      <c r="F28" s="179">
        <v>0</v>
      </c>
      <c r="G28" s="183">
        <f>+D28+E28-F28</f>
        <v>1060500</v>
      </c>
    </row>
    <row r="29" spans="2:7" ht="15.75" thickBot="1">
      <c r="B29" s="173"/>
      <c r="C29" s="180"/>
      <c r="D29" s="186"/>
      <c r="E29" s="180"/>
      <c r="F29" s="180"/>
      <c r="G29" s="186"/>
    </row>
    <row r="30" spans="2:9" ht="26.45" customHeight="1" thickBot="1">
      <c r="B30" s="174" t="s">
        <v>32</v>
      </c>
      <c r="C30" s="181">
        <f>+C15+C20+C24+C27</f>
        <v>26200000</v>
      </c>
      <c r="D30" s="181">
        <f>+D15+D20+D24+D27</f>
        <v>26197500</v>
      </c>
      <c r="E30" s="181">
        <f>+E15+E20+E24+E27</f>
        <v>0</v>
      </c>
      <c r="F30" s="181">
        <f>+F15+F20+F24+F27</f>
        <v>0</v>
      </c>
      <c r="G30" s="187">
        <f>+G15+G20+G24+G27</f>
        <v>26197500</v>
      </c>
      <c r="I30" s="251"/>
    </row>
    <row r="31" ht="15">
      <c r="B31" t="s">
        <v>241</v>
      </c>
    </row>
    <row r="33" spans="2:7" ht="15">
      <c r="B33" s="220" t="s">
        <v>109</v>
      </c>
      <c r="C33" s="221"/>
      <c r="D33" s="221"/>
      <c r="E33" s="221"/>
      <c r="F33" s="221"/>
      <c r="G33" s="222"/>
    </row>
    <row r="34" spans="2:7" ht="25.5">
      <c r="B34" s="171" t="s">
        <v>74</v>
      </c>
      <c r="C34" s="159">
        <f>SUM(C35)</f>
        <v>1800000</v>
      </c>
      <c r="D34" s="159">
        <f>SUM(D35)</f>
        <v>1800000</v>
      </c>
      <c r="E34" s="159">
        <f>E35</f>
        <v>0</v>
      </c>
      <c r="F34" s="159">
        <f>F35</f>
        <v>0</v>
      </c>
      <c r="G34" s="184">
        <f>+D34+E34-F34</f>
        <v>1800000</v>
      </c>
    </row>
    <row r="35" spans="2:7" ht="25.5">
      <c r="B35" s="169" t="s">
        <v>108</v>
      </c>
      <c r="C35" s="168">
        <v>1800000</v>
      </c>
      <c r="D35" s="183">
        <f>'[1]QFR - B'!G34</f>
        <v>1800000</v>
      </c>
      <c r="E35" s="333"/>
      <c r="F35" s="333"/>
      <c r="G35" s="183">
        <f>D35+E35-F35</f>
        <v>1800000</v>
      </c>
    </row>
    <row r="36" spans="2:7" ht="26.25">
      <c r="B36" s="156" t="s">
        <v>76</v>
      </c>
      <c r="C36" s="159">
        <f>SUM(C37)</f>
        <v>0</v>
      </c>
      <c r="D36" s="184">
        <f aca="true" t="shared" si="3" ref="D36:G36">SUM(D37)</f>
        <v>2500</v>
      </c>
      <c r="E36" s="159">
        <f t="shared" si="3"/>
        <v>0</v>
      </c>
      <c r="F36" s="159">
        <f t="shared" si="3"/>
        <v>0</v>
      </c>
      <c r="G36" s="184">
        <f t="shared" si="3"/>
        <v>2500</v>
      </c>
    </row>
    <row r="37" spans="2:7" ht="15">
      <c r="B37" s="175" t="s">
        <v>80</v>
      </c>
      <c r="C37" s="168">
        <v>0</v>
      </c>
      <c r="D37" s="183">
        <v>2500</v>
      </c>
      <c r="E37" s="179">
        <v>0</v>
      </c>
      <c r="F37" s="333"/>
      <c r="G37" s="183">
        <f>+D37+E37-F37</f>
        <v>2500</v>
      </c>
    </row>
    <row r="38" spans="2:7" ht="15.75" thickBot="1">
      <c r="B38" s="174" t="s">
        <v>32</v>
      </c>
      <c r="C38" s="181">
        <f>C34+C36</f>
        <v>1800000</v>
      </c>
      <c r="D38" s="181">
        <f>D34+D36</f>
        <v>1802500</v>
      </c>
      <c r="E38" s="181">
        <f>E34+E36</f>
        <v>0</v>
      </c>
      <c r="F38" s="181">
        <f>F34+F36</f>
        <v>0</v>
      </c>
      <c r="G38" s="181">
        <f>G34+G36</f>
        <v>1802500</v>
      </c>
    </row>
  </sheetData>
  <mergeCells count="2">
    <mergeCell ref="E11:F11"/>
    <mergeCell ref="B14:G14"/>
  </mergeCells>
  <conditionalFormatting sqref="D30:G30">
    <cfRule type="cellIs" priority="5" dxfId="0" operator="equal" stopIfTrue="1">
      <formula>0</formula>
    </cfRule>
  </conditionalFormatting>
  <conditionalFormatting sqref="C30">
    <cfRule type="cellIs" priority="4" dxfId="0" operator="equal" stopIfTrue="1">
      <formula>0</formula>
    </cfRule>
  </conditionalFormatting>
  <conditionalFormatting sqref="C38:G38">
    <cfRule type="cellIs" priority="1" dxfId="0" operator="equal" stopIfTrue="1">
      <formula>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scale="59" r:id="rId1"/>
  <headerFooter>
    <oddHeader>&amp;C&amp;"-,Negrita"SCHEDULE 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showGridLines="0" zoomScalePageLayoutView="90" workbookViewId="0" topLeftCell="A1">
      <selection activeCell="D9" sqref="D9"/>
    </sheetView>
  </sheetViews>
  <sheetFormatPr defaultColWidth="9.140625" defaultRowHeight="15"/>
  <cols>
    <col min="1" max="1" width="3.421875" style="0" customWidth="1"/>
    <col min="2" max="2" width="33.8515625" style="0" customWidth="1"/>
    <col min="3" max="3" width="16.421875" style="0" customWidth="1"/>
    <col min="4" max="4" width="21.00390625" style="0" bestFit="1" customWidth="1"/>
    <col min="5" max="6" width="16.421875" style="0" customWidth="1"/>
    <col min="7" max="7" width="16.421875" style="295" customWidth="1"/>
    <col min="8" max="8" width="16.421875" style="0" customWidth="1"/>
    <col min="9" max="9" width="10.140625" style="0" bestFit="1" customWidth="1"/>
  </cols>
  <sheetData>
    <row r="1" spans="2:8" ht="15">
      <c r="B1" s="72" t="s">
        <v>21</v>
      </c>
      <c r="C1" s="73"/>
      <c r="D1" s="73"/>
      <c r="E1" s="73"/>
      <c r="F1" s="73"/>
      <c r="G1" s="73"/>
      <c r="H1" s="74"/>
    </row>
    <row r="2" spans="2:8" ht="15">
      <c r="B2" s="75"/>
      <c r="C2" s="76" t="s">
        <v>1</v>
      </c>
      <c r="D2" s="149" t="s">
        <v>63</v>
      </c>
      <c r="E2" s="77"/>
      <c r="F2" s="77"/>
      <c r="G2" s="77"/>
      <c r="H2" s="80"/>
    </row>
    <row r="3" spans="2:8" ht="15">
      <c r="B3" s="75"/>
      <c r="C3" s="76" t="s">
        <v>2</v>
      </c>
      <c r="D3" s="149" t="s">
        <v>64</v>
      </c>
      <c r="E3" s="77"/>
      <c r="F3" s="77"/>
      <c r="G3" s="77"/>
      <c r="H3" s="80"/>
    </row>
    <row r="4" spans="2:8" ht="15">
      <c r="B4" s="75"/>
      <c r="C4" s="76" t="s">
        <v>3</v>
      </c>
      <c r="D4" s="149" t="str">
        <f>'THP DR'!B7</f>
        <v>TR14GTM15001</v>
      </c>
      <c r="E4" s="77"/>
      <c r="F4" s="77"/>
      <c r="G4" s="77"/>
      <c r="H4" s="80"/>
    </row>
    <row r="5" spans="2:8" ht="15">
      <c r="B5" s="75"/>
      <c r="C5" s="76" t="s">
        <v>4</v>
      </c>
      <c r="D5" s="150">
        <v>43713</v>
      </c>
      <c r="E5" s="81"/>
      <c r="F5" s="81"/>
      <c r="G5" s="81"/>
      <c r="H5" s="80"/>
    </row>
    <row r="6" spans="2:8" ht="5.1" customHeight="1" thickBot="1">
      <c r="B6" s="82"/>
      <c r="C6" s="83"/>
      <c r="D6" s="83"/>
      <c r="E6" s="83"/>
      <c r="F6" s="83"/>
      <c r="G6" s="83"/>
      <c r="H6" s="85"/>
    </row>
    <row r="7" spans="2:8" ht="15">
      <c r="B7" s="86" t="s">
        <v>33</v>
      </c>
      <c r="C7" s="115"/>
      <c r="D7" s="115"/>
      <c r="E7" s="115"/>
      <c r="F7" s="115"/>
      <c r="G7" s="115"/>
      <c r="H7" s="116"/>
    </row>
    <row r="8" spans="1:8" ht="15">
      <c r="A8" s="98"/>
      <c r="B8" s="90" t="str">
        <f>'QFR - A'!B8</f>
        <v>Disbursement Period:01-oct-19 to 31-dic-19</v>
      </c>
      <c r="C8" s="91"/>
      <c r="D8" s="91"/>
      <c r="E8" s="91"/>
      <c r="F8" s="91"/>
      <c r="G8" s="91"/>
      <c r="H8" s="92"/>
    </row>
    <row r="9" spans="2:8" ht="15">
      <c r="B9" s="151" t="s">
        <v>34</v>
      </c>
      <c r="C9" s="94"/>
      <c r="D9" s="94"/>
      <c r="E9" s="94"/>
      <c r="F9" s="94"/>
      <c r="G9" s="94"/>
      <c r="H9" s="96"/>
    </row>
    <row r="10" spans="2:8" ht="15.75" thickBot="1">
      <c r="B10" s="151" t="str">
        <f>'QFR - A'!B10</f>
        <v>Out of Cycle Report:  Yes [ ] | No [ x ]</v>
      </c>
      <c r="C10" s="94"/>
      <c r="D10" s="94"/>
      <c r="E10" s="94"/>
      <c r="F10" s="94"/>
      <c r="G10" s="94"/>
      <c r="H10" s="96"/>
    </row>
    <row r="11" spans="2:8" ht="15" customHeight="1">
      <c r="B11" s="153"/>
      <c r="C11" s="550" t="s">
        <v>24</v>
      </c>
      <c r="D11" s="550" t="s">
        <v>215</v>
      </c>
      <c r="E11" s="550" t="s">
        <v>245</v>
      </c>
      <c r="F11" s="550" t="s">
        <v>265</v>
      </c>
      <c r="G11" s="550" t="s">
        <v>266</v>
      </c>
      <c r="H11" s="550" t="s">
        <v>67</v>
      </c>
    </row>
    <row r="12" spans="2:8" ht="42" customHeight="1" thickBot="1">
      <c r="B12" s="152" t="s">
        <v>73</v>
      </c>
      <c r="C12" s="551"/>
      <c r="D12" s="551"/>
      <c r="E12" s="551"/>
      <c r="F12" s="551"/>
      <c r="G12" s="551"/>
      <c r="H12" s="551"/>
    </row>
    <row r="13" spans="1:8" ht="15" customHeight="1">
      <c r="A13" s="98"/>
      <c r="B13" s="154" t="s">
        <v>72</v>
      </c>
      <c r="C13" s="157">
        <v>1</v>
      </c>
      <c r="D13" s="157">
        <f>C13+1</f>
        <v>2</v>
      </c>
      <c r="E13" s="157">
        <v>3</v>
      </c>
      <c r="F13" s="157">
        <v>4</v>
      </c>
      <c r="G13" s="373"/>
      <c r="H13" s="164">
        <v>5</v>
      </c>
    </row>
    <row r="14" spans="2:8" ht="26.1" customHeight="1">
      <c r="B14" s="155" t="s">
        <v>68</v>
      </c>
      <c r="C14" s="158">
        <f>SUM(C15:C17)</f>
        <v>19700000</v>
      </c>
      <c r="D14" s="276">
        <f>SUM(D15:D17)</f>
        <v>-400000</v>
      </c>
      <c r="E14" s="276">
        <f>SUM(E15:E17)</f>
        <v>0</v>
      </c>
      <c r="F14" s="276">
        <f>SUM(F15:F17)</f>
        <v>46000</v>
      </c>
      <c r="G14" s="276">
        <f>SUM(G15:G17)</f>
        <v>0</v>
      </c>
      <c r="H14" s="160">
        <f>C14+D14+E14+F14</f>
        <v>19346000</v>
      </c>
    </row>
    <row r="15" spans="2:8" ht="26.45" customHeight="1">
      <c r="B15" s="169" t="s">
        <v>69</v>
      </c>
      <c r="C15" s="161">
        <v>12000000</v>
      </c>
      <c r="D15" s="277">
        <v>0</v>
      </c>
      <c r="E15" s="278">
        <v>0</v>
      </c>
      <c r="F15" s="278">
        <v>0</v>
      </c>
      <c r="G15" s="374"/>
      <c r="H15" s="162">
        <f>C15+D15+E15+F15</f>
        <v>12000000</v>
      </c>
    </row>
    <row r="16" spans="2:8" ht="26.45" customHeight="1">
      <c r="B16" s="169" t="s">
        <v>70</v>
      </c>
      <c r="C16" s="161">
        <v>4700000</v>
      </c>
      <c r="D16" s="277">
        <v>-400000</v>
      </c>
      <c r="E16" s="278">
        <v>0</v>
      </c>
      <c r="F16" s="278">
        <v>0</v>
      </c>
      <c r="G16" s="374"/>
      <c r="H16" s="162">
        <f>C16+D16+E16+F16</f>
        <v>4300000</v>
      </c>
    </row>
    <row r="17" spans="2:8" ht="25.5">
      <c r="B17" s="169" t="s">
        <v>71</v>
      </c>
      <c r="C17" s="161">
        <v>3000000</v>
      </c>
      <c r="D17" s="277">
        <v>0</v>
      </c>
      <c r="E17" s="278">
        <v>0</v>
      </c>
      <c r="F17" s="278">
        <v>46000</v>
      </c>
      <c r="G17" s="374"/>
      <c r="H17" s="162">
        <f>C17+D17+E17+F17</f>
        <v>3046000</v>
      </c>
    </row>
    <row r="18" spans="2:8" ht="15">
      <c r="B18" s="170"/>
      <c r="C18" s="161"/>
      <c r="D18" s="277"/>
      <c r="E18" s="278"/>
      <c r="F18" s="278"/>
      <c r="G18" s="374"/>
      <c r="H18" s="162"/>
    </row>
    <row r="19" spans="2:8" ht="25.5">
      <c r="B19" s="171" t="s">
        <v>74</v>
      </c>
      <c r="C19" s="158">
        <f aca="true" t="shared" si="0" ref="C19:H19">SUM(C20:C21)</f>
        <v>4000000</v>
      </c>
      <c r="D19" s="276">
        <f t="shared" si="0"/>
        <v>400000</v>
      </c>
      <c r="E19" s="276">
        <f t="shared" si="0"/>
        <v>0</v>
      </c>
      <c r="F19" s="276">
        <f t="shared" si="0"/>
        <v>0</v>
      </c>
      <c r="G19" s="276">
        <f t="shared" si="0"/>
        <v>-40000</v>
      </c>
      <c r="H19" s="160">
        <f t="shared" si="0"/>
        <v>4360000</v>
      </c>
    </row>
    <row r="20" spans="2:8" ht="25.5">
      <c r="B20" s="169" t="s">
        <v>77</v>
      </c>
      <c r="C20" s="161">
        <v>0</v>
      </c>
      <c r="D20" s="277">
        <v>800000</v>
      </c>
      <c r="E20" s="278">
        <v>0</v>
      </c>
      <c r="F20" s="278">
        <v>0</v>
      </c>
      <c r="G20" s="374"/>
      <c r="H20" s="162">
        <f>C20+D20+E20+F20</f>
        <v>800000</v>
      </c>
    </row>
    <row r="21" spans="2:8" ht="25.5">
      <c r="B21" s="169" t="s">
        <v>78</v>
      </c>
      <c r="C21" s="161">
        <v>4000000</v>
      </c>
      <c r="D21" s="277">
        <v>-400000</v>
      </c>
      <c r="E21" s="278">
        <v>0</v>
      </c>
      <c r="F21" s="278">
        <v>0</v>
      </c>
      <c r="G21" s="374">
        <v>-40000</v>
      </c>
      <c r="H21" s="162">
        <f>C21+D21+E21+F21+G21</f>
        <v>3560000</v>
      </c>
    </row>
    <row r="22" spans="2:8" ht="15">
      <c r="B22" s="170"/>
      <c r="C22" s="161"/>
      <c r="D22" s="277"/>
      <c r="E22" s="278"/>
      <c r="F22" s="278"/>
      <c r="G22" s="374"/>
      <c r="H22" s="163"/>
    </row>
    <row r="23" spans="2:8" ht="26.45" customHeight="1">
      <c r="B23" s="156" t="s">
        <v>75</v>
      </c>
      <c r="C23" s="158">
        <f>SUM(C24)</f>
        <v>1700000</v>
      </c>
      <c r="D23" s="276">
        <f>SUM(D24)</f>
        <v>0</v>
      </c>
      <c r="E23" s="276">
        <f>E24</f>
        <v>0</v>
      </c>
      <c r="F23" s="276">
        <f>F24</f>
        <v>-269000</v>
      </c>
      <c r="G23" s="276">
        <f>G24</f>
        <v>0</v>
      </c>
      <c r="H23" s="160">
        <f aca="true" t="shared" si="1" ref="H23">SUM(H24)</f>
        <v>1431000</v>
      </c>
    </row>
    <row r="24" spans="2:8" ht="24" customHeight="1">
      <c r="B24" s="175" t="s">
        <v>79</v>
      </c>
      <c r="C24" s="161">
        <v>1700000</v>
      </c>
      <c r="D24" s="277">
        <v>0</v>
      </c>
      <c r="E24" s="278">
        <v>0</v>
      </c>
      <c r="F24" s="278">
        <v>-269000</v>
      </c>
      <c r="G24" s="374"/>
      <c r="H24" s="162">
        <f>C24+D24+E24+F24</f>
        <v>1431000</v>
      </c>
    </row>
    <row r="25" spans="2:8" ht="15">
      <c r="B25" s="170"/>
      <c r="C25" s="161"/>
      <c r="D25" s="277"/>
      <c r="E25" s="278"/>
      <c r="F25" s="278"/>
      <c r="G25" s="374"/>
      <c r="H25" s="163"/>
    </row>
    <row r="26" spans="2:8" ht="26.45" customHeight="1">
      <c r="B26" s="172" t="s">
        <v>76</v>
      </c>
      <c r="C26" s="158">
        <f>SUM(C27)</f>
        <v>800000</v>
      </c>
      <c r="D26" s="276">
        <f>SUM(D27)</f>
        <v>0</v>
      </c>
      <c r="E26" s="276">
        <f>E27</f>
        <v>-2500</v>
      </c>
      <c r="F26" s="276">
        <f>F27</f>
        <v>223000</v>
      </c>
      <c r="G26" s="276">
        <f>G27</f>
        <v>40000</v>
      </c>
      <c r="H26" s="160">
        <f aca="true" t="shared" si="2" ref="H26">SUM(H27)</f>
        <v>1060500</v>
      </c>
    </row>
    <row r="27" spans="2:9" ht="24" customHeight="1">
      <c r="B27" s="175" t="s">
        <v>80</v>
      </c>
      <c r="C27" s="161">
        <v>800000</v>
      </c>
      <c r="D27" s="277">
        <v>0</v>
      </c>
      <c r="E27" s="278">
        <v>-2500</v>
      </c>
      <c r="F27" s="278">
        <v>223000</v>
      </c>
      <c r="G27" s="374">
        <v>40000</v>
      </c>
      <c r="H27" s="162">
        <f>C27+D27+E27+F27+G27</f>
        <v>1060500</v>
      </c>
      <c r="I27" s="241"/>
    </row>
    <row r="28" spans="2:8" ht="15.75" thickBot="1">
      <c r="B28" s="173"/>
      <c r="C28" s="165"/>
      <c r="D28" s="279"/>
      <c r="E28" s="280"/>
      <c r="F28" s="280"/>
      <c r="G28" s="375"/>
      <c r="H28" s="166"/>
    </row>
    <row r="29" spans="2:8" ht="26.1" customHeight="1" thickBot="1">
      <c r="B29" s="174" t="s">
        <v>32</v>
      </c>
      <c r="C29" s="167">
        <f>C14+C19+C23+C26</f>
        <v>26200000</v>
      </c>
      <c r="D29" s="281">
        <f aca="true" t="shared" si="3" ref="D29:G29">D14+D19+D23+D26</f>
        <v>0</v>
      </c>
      <c r="E29" s="281">
        <f t="shared" si="3"/>
        <v>-2500</v>
      </c>
      <c r="F29" s="281">
        <f t="shared" si="3"/>
        <v>0</v>
      </c>
      <c r="G29" s="281">
        <f t="shared" si="3"/>
        <v>0</v>
      </c>
      <c r="H29" s="167">
        <f>H26+H23+H19+H14</f>
        <v>26197500</v>
      </c>
    </row>
    <row r="30" ht="15">
      <c r="B30" t="s">
        <v>241</v>
      </c>
    </row>
    <row r="32" spans="2:8" ht="15">
      <c r="B32" s="220" t="s">
        <v>109</v>
      </c>
      <c r="C32" s="221"/>
      <c r="D32" s="221"/>
      <c r="E32" s="221"/>
      <c r="F32" s="221"/>
      <c r="G32" s="221"/>
      <c r="H32" s="222"/>
    </row>
    <row r="33" spans="2:8" ht="25.5">
      <c r="B33" s="171" t="s">
        <v>74</v>
      </c>
      <c r="C33" s="159">
        <f>SUM(C34)</f>
        <v>1800000</v>
      </c>
      <c r="D33" s="159">
        <f aca="true" t="shared" si="4" ref="D33:H35">SUM(D34)</f>
        <v>0</v>
      </c>
      <c r="E33" s="159">
        <f t="shared" si="4"/>
        <v>0</v>
      </c>
      <c r="F33" s="159">
        <f t="shared" si="4"/>
        <v>0</v>
      </c>
      <c r="G33" s="159"/>
      <c r="H33" s="159">
        <f t="shared" si="4"/>
        <v>1800000</v>
      </c>
    </row>
    <row r="34" spans="2:8" ht="25.5">
      <c r="B34" s="169" t="s">
        <v>108</v>
      </c>
      <c r="C34" s="168">
        <v>1800000</v>
      </c>
      <c r="D34" s="183"/>
      <c r="E34" s="183">
        <v>0</v>
      </c>
      <c r="F34" s="183"/>
      <c r="G34" s="183"/>
      <c r="H34" s="162">
        <f>C34+D34+E34+F34</f>
        <v>1800000</v>
      </c>
    </row>
    <row r="35" spans="2:8" s="295" customFormat="1" ht="15">
      <c r="B35" s="172" t="s">
        <v>76</v>
      </c>
      <c r="C35" s="159">
        <f>SUM(C36)</f>
        <v>0</v>
      </c>
      <c r="D35" s="159">
        <f t="shared" si="4"/>
        <v>0</v>
      </c>
      <c r="E35" s="159">
        <f t="shared" si="4"/>
        <v>2500</v>
      </c>
      <c r="F35" s="159">
        <f t="shared" si="4"/>
        <v>0</v>
      </c>
      <c r="G35" s="159"/>
      <c r="H35" s="159">
        <f t="shared" si="4"/>
        <v>2500</v>
      </c>
    </row>
    <row r="36" spans="2:8" s="295" customFormat="1" ht="15">
      <c r="B36" s="175" t="s">
        <v>80</v>
      </c>
      <c r="C36" s="335"/>
      <c r="D36" s="336"/>
      <c r="E36" s="183">
        <v>2500</v>
      </c>
      <c r="F36" s="183"/>
      <c r="G36" s="183"/>
      <c r="H36" s="162">
        <f>C36+D36+E36+F36</f>
        <v>2500</v>
      </c>
    </row>
    <row r="37" spans="2:8" ht="26.45" customHeight="1" thickBot="1">
      <c r="B37" s="174" t="s">
        <v>32</v>
      </c>
      <c r="C37" s="181">
        <f>C34</f>
        <v>1800000</v>
      </c>
      <c r="D37" s="181">
        <f>D34</f>
        <v>0</v>
      </c>
      <c r="E37" s="181">
        <f>E34+E36</f>
        <v>2500</v>
      </c>
      <c r="F37" s="181">
        <f aca="true" t="shared" si="5" ref="F37">F34</f>
        <v>0</v>
      </c>
      <c r="G37" s="181"/>
      <c r="H37" s="181">
        <f>+H35+H33</f>
        <v>1802500</v>
      </c>
    </row>
    <row r="38" ht="15">
      <c r="H38" s="241"/>
    </row>
  </sheetData>
  <mergeCells count="6">
    <mergeCell ref="E11:E12"/>
    <mergeCell ref="C11:C12"/>
    <mergeCell ref="H11:H12"/>
    <mergeCell ref="D11:D12"/>
    <mergeCell ref="F11:F12"/>
    <mergeCell ref="G11:G12"/>
  </mergeCells>
  <conditionalFormatting sqref="D37:H37">
    <cfRule type="cellIs" priority="2" dxfId="0" operator="equal" stopIfTrue="1">
      <formula>0</formula>
    </cfRule>
  </conditionalFormatting>
  <conditionalFormatting sqref="C37">
    <cfRule type="cellIs" priority="1" dxfId="0" operator="equal" stopIfTrue="1">
      <formula>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scale="72" r:id="rId1"/>
  <headerFooter>
    <oddHeader>&amp;C&amp;"-,Negrita"SHEDULE B</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5"/>
  <sheetViews>
    <sheetView showGridLines="0" zoomScale="115" zoomScaleNormal="115" workbookViewId="0" topLeftCell="A7">
      <selection activeCell="B11" sqref="B11"/>
    </sheetView>
  </sheetViews>
  <sheetFormatPr defaultColWidth="11.421875" defaultRowHeight="15"/>
  <cols>
    <col min="1" max="1" width="73.421875" style="119" customWidth="1"/>
    <col min="2" max="2" width="38.421875" style="148" customWidth="1"/>
    <col min="3" max="256" width="9.140625" style="119" customWidth="1"/>
    <col min="257" max="257" width="73.421875" style="119" customWidth="1"/>
    <col min="258" max="258" width="24.421875" style="119" customWidth="1"/>
    <col min="259" max="512" width="9.140625" style="119" customWidth="1"/>
    <col min="513" max="513" width="73.421875" style="119" customWidth="1"/>
    <col min="514" max="514" width="24.421875" style="119" customWidth="1"/>
    <col min="515" max="768" width="9.140625" style="119" customWidth="1"/>
    <col min="769" max="769" width="73.421875" style="119" customWidth="1"/>
    <col min="770" max="770" width="24.421875" style="119" customWidth="1"/>
    <col min="771" max="1024" width="9.140625" style="119" customWidth="1"/>
    <col min="1025" max="1025" width="73.421875" style="119" customWidth="1"/>
    <col min="1026" max="1026" width="24.421875" style="119" customWidth="1"/>
    <col min="1027" max="1280" width="9.140625" style="119" customWidth="1"/>
    <col min="1281" max="1281" width="73.421875" style="119" customWidth="1"/>
    <col min="1282" max="1282" width="24.421875" style="119" customWidth="1"/>
    <col min="1283" max="1536" width="9.140625" style="119" customWidth="1"/>
    <col min="1537" max="1537" width="73.421875" style="119" customWidth="1"/>
    <col min="1538" max="1538" width="24.421875" style="119" customWidth="1"/>
    <col min="1539" max="1792" width="9.140625" style="119" customWidth="1"/>
    <col min="1793" max="1793" width="73.421875" style="119" customWidth="1"/>
    <col min="1794" max="1794" width="24.421875" style="119" customWidth="1"/>
    <col min="1795" max="2048" width="9.140625" style="119" customWidth="1"/>
    <col min="2049" max="2049" width="73.421875" style="119" customWidth="1"/>
    <col min="2050" max="2050" width="24.421875" style="119" customWidth="1"/>
    <col min="2051" max="2304" width="9.140625" style="119" customWidth="1"/>
    <col min="2305" max="2305" width="73.421875" style="119" customWidth="1"/>
    <col min="2306" max="2306" width="24.421875" style="119" customWidth="1"/>
    <col min="2307" max="2560" width="9.140625" style="119" customWidth="1"/>
    <col min="2561" max="2561" width="73.421875" style="119" customWidth="1"/>
    <col min="2562" max="2562" width="24.421875" style="119" customWidth="1"/>
    <col min="2563" max="2816" width="9.140625" style="119" customWidth="1"/>
    <col min="2817" max="2817" width="73.421875" style="119" customWidth="1"/>
    <col min="2818" max="2818" width="24.421875" style="119" customWidth="1"/>
    <col min="2819" max="3072" width="9.140625" style="119" customWidth="1"/>
    <col min="3073" max="3073" width="73.421875" style="119" customWidth="1"/>
    <col min="3074" max="3074" width="24.421875" style="119" customWidth="1"/>
    <col min="3075" max="3328" width="9.140625" style="119" customWidth="1"/>
    <col min="3329" max="3329" width="73.421875" style="119" customWidth="1"/>
    <col min="3330" max="3330" width="24.421875" style="119" customWidth="1"/>
    <col min="3331" max="3584" width="9.140625" style="119" customWidth="1"/>
    <col min="3585" max="3585" width="73.421875" style="119" customWidth="1"/>
    <col min="3586" max="3586" width="24.421875" style="119" customWidth="1"/>
    <col min="3587" max="3840" width="9.140625" style="119" customWidth="1"/>
    <col min="3841" max="3841" width="73.421875" style="119" customWidth="1"/>
    <col min="3842" max="3842" width="24.421875" style="119" customWidth="1"/>
    <col min="3843" max="4096" width="9.140625" style="119" customWidth="1"/>
    <col min="4097" max="4097" width="73.421875" style="119" customWidth="1"/>
    <col min="4098" max="4098" width="24.421875" style="119" customWidth="1"/>
    <col min="4099" max="4352" width="9.140625" style="119" customWidth="1"/>
    <col min="4353" max="4353" width="73.421875" style="119" customWidth="1"/>
    <col min="4354" max="4354" width="24.421875" style="119" customWidth="1"/>
    <col min="4355" max="4608" width="9.140625" style="119" customWidth="1"/>
    <col min="4609" max="4609" width="73.421875" style="119" customWidth="1"/>
    <col min="4610" max="4610" width="24.421875" style="119" customWidth="1"/>
    <col min="4611" max="4864" width="9.140625" style="119" customWidth="1"/>
    <col min="4865" max="4865" width="73.421875" style="119" customWidth="1"/>
    <col min="4866" max="4866" width="24.421875" style="119" customWidth="1"/>
    <col min="4867" max="5120" width="9.140625" style="119" customWidth="1"/>
    <col min="5121" max="5121" width="73.421875" style="119" customWidth="1"/>
    <col min="5122" max="5122" width="24.421875" style="119" customWidth="1"/>
    <col min="5123" max="5376" width="9.140625" style="119" customWidth="1"/>
    <col min="5377" max="5377" width="73.421875" style="119" customWidth="1"/>
    <col min="5378" max="5378" width="24.421875" style="119" customWidth="1"/>
    <col min="5379" max="5632" width="9.140625" style="119" customWidth="1"/>
    <col min="5633" max="5633" width="73.421875" style="119" customWidth="1"/>
    <col min="5634" max="5634" width="24.421875" style="119" customWidth="1"/>
    <col min="5635" max="5888" width="9.140625" style="119" customWidth="1"/>
    <col min="5889" max="5889" width="73.421875" style="119" customWidth="1"/>
    <col min="5890" max="5890" width="24.421875" style="119" customWidth="1"/>
    <col min="5891" max="6144" width="9.140625" style="119" customWidth="1"/>
    <col min="6145" max="6145" width="73.421875" style="119" customWidth="1"/>
    <col min="6146" max="6146" width="24.421875" style="119" customWidth="1"/>
    <col min="6147" max="6400" width="9.140625" style="119" customWidth="1"/>
    <col min="6401" max="6401" width="73.421875" style="119" customWidth="1"/>
    <col min="6402" max="6402" width="24.421875" style="119" customWidth="1"/>
    <col min="6403" max="6656" width="9.140625" style="119" customWidth="1"/>
    <col min="6657" max="6657" width="73.421875" style="119" customWidth="1"/>
    <col min="6658" max="6658" width="24.421875" style="119" customWidth="1"/>
    <col min="6659" max="6912" width="9.140625" style="119" customWidth="1"/>
    <col min="6913" max="6913" width="73.421875" style="119" customWidth="1"/>
    <col min="6914" max="6914" width="24.421875" style="119" customWidth="1"/>
    <col min="6915" max="7168" width="9.140625" style="119" customWidth="1"/>
    <col min="7169" max="7169" width="73.421875" style="119" customWidth="1"/>
    <col min="7170" max="7170" width="24.421875" style="119" customWidth="1"/>
    <col min="7171" max="7424" width="9.140625" style="119" customWidth="1"/>
    <col min="7425" max="7425" width="73.421875" style="119" customWidth="1"/>
    <col min="7426" max="7426" width="24.421875" style="119" customWidth="1"/>
    <col min="7427" max="7680" width="9.140625" style="119" customWidth="1"/>
    <col min="7681" max="7681" width="73.421875" style="119" customWidth="1"/>
    <col min="7682" max="7682" width="24.421875" style="119" customWidth="1"/>
    <col min="7683" max="7936" width="9.140625" style="119" customWidth="1"/>
    <col min="7937" max="7937" width="73.421875" style="119" customWidth="1"/>
    <col min="7938" max="7938" width="24.421875" style="119" customWidth="1"/>
    <col min="7939" max="8192" width="9.140625" style="119" customWidth="1"/>
    <col min="8193" max="8193" width="73.421875" style="119" customWidth="1"/>
    <col min="8194" max="8194" width="24.421875" style="119" customWidth="1"/>
    <col min="8195" max="8448" width="9.140625" style="119" customWidth="1"/>
    <col min="8449" max="8449" width="73.421875" style="119" customWidth="1"/>
    <col min="8450" max="8450" width="24.421875" style="119" customWidth="1"/>
    <col min="8451" max="8704" width="9.140625" style="119" customWidth="1"/>
    <col min="8705" max="8705" width="73.421875" style="119" customWidth="1"/>
    <col min="8706" max="8706" width="24.421875" style="119" customWidth="1"/>
    <col min="8707" max="8960" width="9.140625" style="119" customWidth="1"/>
    <col min="8961" max="8961" width="73.421875" style="119" customWidth="1"/>
    <col min="8962" max="8962" width="24.421875" style="119" customWidth="1"/>
    <col min="8963" max="9216" width="9.140625" style="119" customWidth="1"/>
    <col min="9217" max="9217" width="73.421875" style="119" customWidth="1"/>
    <col min="9218" max="9218" width="24.421875" style="119" customWidth="1"/>
    <col min="9219" max="9472" width="9.140625" style="119" customWidth="1"/>
    <col min="9473" max="9473" width="73.421875" style="119" customWidth="1"/>
    <col min="9474" max="9474" width="24.421875" style="119" customWidth="1"/>
    <col min="9475" max="9728" width="9.140625" style="119" customWidth="1"/>
    <col min="9729" max="9729" width="73.421875" style="119" customWidth="1"/>
    <col min="9730" max="9730" width="24.421875" style="119" customWidth="1"/>
    <col min="9731" max="9984" width="9.140625" style="119" customWidth="1"/>
    <col min="9985" max="9985" width="73.421875" style="119" customWidth="1"/>
    <col min="9986" max="9986" width="24.421875" style="119" customWidth="1"/>
    <col min="9987" max="10240" width="9.140625" style="119" customWidth="1"/>
    <col min="10241" max="10241" width="73.421875" style="119" customWidth="1"/>
    <col min="10242" max="10242" width="24.421875" style="119" customWidth="1"/>
    <col min="10243" max="10496" width="9.140625" style="119" customWidth="1"/>
    <col min="10497" max="10497" width="73.421875" style="119" customWidth="1"/>
    <col min="10498" max="10498" width="24.421875" style="119" customWidth="1"/>
    <col min="10499" max="10752" width="9.140625" style="119" customWidth="1"/>
    <col min="10753" max="10753" width="73.421875" style="119" customWidth="1"/>
    <col min="10754" max="10754" width="24.421875" style="119" customWidth="1"/>
    <col min="10755" max="11008" width="9.140625" style="119" customWidth="1"/>
    <col min="11009" max="11009" width="73.421875" style="119" customWidth="1"/>
    <col min="11010" max="11010" width="24.421875" style="119" customWidth="1"/>
    <col min="11011" max="11264" width="9.140625" style="119" customWidth="1"/>
    <col min="11265" max="11265" width="73.421875" style="119" customWidth="1"/>
    <col min="11266" max="11266" width="24.421875" style="119" customWidth="1"/>
    <col min="11267" max="11520" width="9.140625" style="119" customWidth="1"/>
    <col min="11521" max="11521" width="73.421875" style="119" customWidth="1"/>
    <col min="11522" max="11522" width="24.421875" style="119" customWidth="1"/>
    <col min="11523" max="11776" width="9.140625" style="119" customWidth="1"/>
    <col min="11777" max="11777" width="73.421875" style="119" customWidth="1"/>
    <col min="11778" max="11778" width="24.421875" style="119" customWidth="1"/>
    <col min="11779" max="12032" width="9.140625" style="119" customWidth="1"/>
    <col min="12033" max="12033" width="73.421875" style="119" customWidth="1"/>
    <col min="12034" max="12034" width="24.421875" style="119" customWidth="1"/>
    <col min="12035" max="12288" width="9.140625" style="119" customWidth="1"/>
    <col min="12289" max="12289" width="73.421875" style="119" customWidth="1"/>
    <col min="12290" max="12290" width="24.421875" style="119" customWidth="1"/>
    <col min="12291" max="12544" width="9.140625" style="119" customWidth="1"/>
    <col min="12545" max="12545" width="73.421875" style="119" customWidth="1"/>
    <col min="12546" max="12546" width="24.421875" style="119" customWidth="1"/>
    <col min="12547" max="12800" width="9.140625" style="119" customWidth="1"/>
    <col min="12801" max="12801" width="73.421875" style="119" customWidth="1"/>
    <col min="12802" max="12802" width="24.421875" style="119" customWidth="1"/>
    <col min="12803" max="13056" width="9.140625" style="119" customWidth="1"/>
    <col min="13057" max="13057" width="73.421875" style="119" customWidth="1"/>
    <col min="13058" max="13058" width="24.421875" style="119" customWidth="1"/>
    <col min="13059" max="13312" width="9.140625" style="119" customWidth="1"/>
    <col min="13313" max="13313" width="73.421875" style="119" customWidth="1"/>
    <col min="13314" max="13314" width="24.421875" style="119" customWidth="1"/>
    <col min="13315" max="13568" width="9.140625" style="119" customWidth="1"/>
    <col min="13569" max="13569" width="73.421875" style="119" customWidth="1"/>
    <col min="13570" max="13570" width="24.421875" style="119" customWidth="1"/>
    <col min="13571" max="13824" width="9.140625" style="119" customWidth="1"/>
    <col min="13825" max="13825" width="73.421875" style="119" customWidth="1"/>
    <col min="13826" max="13826" width="24.421875" style="119" customWidth="1"/>
    <col min="13827" max="14080" width="9.140625" style="119" customWidth="1"/>
    <col min="14081" max="14081" width="73.421875" style="119" customWidth="1"/>
    <col min="14082" max="14082" width="24.421875" style="119" customWidth="1"/>
    <col min="14083" max="14336" width="9.140625" style="119" customWidth="1"/>
    <col min="14337" max="14337" width="73.421875" style="119" customWidth="1"/>
    <col min="14338" max="14338" width="24.421875" style="119" customWidth="1"/>
    <col min="14339" max="14592" width="9.140625" style="119" customWidth="1"/>
    <col min="14593" max="14593" width="73.421875" style="119" customWidth="1"/>
    <col min="14594" max="14594" width="24.421875" style="119" customWidth="1"/>
    <col min="14595" max="14848" width="9.140625" style="119" customWidth="1"/>
    <col min="14849" max="14849" width="73.421875" style="119" customWidth="1"/>
    <col min="14850" max="14850" width="24.421875" style="119" customWidth="1"/>
    <col min="14851" max="15104" width="9.140625" style="119" customWidth="1"/>
    <col min="15105" max="15105" width="73.421875" style="119" customWidth="1"/>
    <col min="15106" max="15106" width="24.421875" style="119" customWidth="1"/>
    <col min="15107" max="15360" width="9.140625" style="119" customWidth="1"/>
    <col min="15361" max="15361" width="73.421875" style="119" customWidth="1"/>
    <col min="15362" max="15362" width="24.421875" style="119" customWidth="1"/>
    <col min="15363" max="15616" width="9.140625" style="119" customWidth="1"/>
    <col min="15617" max="15617" width="73.421875" style="119" customWidth="1"/>
    <col min="15618" max="15618" width="24.421875" style="119" customWidth="1"/>
    <col min="15619" max="15872" width="9.140625" style="119" customWidth="1"/>
    <col min="15873" max="15873" width="73.421875" style="119" customWidth="1"/>
    <col min="15874" max="15874" width="24.421875" style="119" customWidth="1"/>
    <col min="15875" max="16128" width="9.140625" style="119" customWidth="1"/>
    <col min="16129" max="16129" width="73.421875" style="119" customWidth="1"/>
    <col min="16130" max="16130" width="24.421875" style="119" customWidth="1"/>
    <col min="16131" max="16384" width="9.140625" style="119" customWidth="1"/>
  </cols>
  <sheetData>
    <row r="1" spans="1:2" ht="15.75">
      <c r="A1" s="117" t="s">
        <v>35</v>
      </c>
      <c r="B1" s="118"/>
    </row>
    <row r="2" spans="1:2" ht="15.75">
      <c r="A2" s="120"/>
      <c r="B2" s="121"/>
    </row>
    <row r="3" spans="1:2" ht="16.5" thickBot="1">
      <c r="A3" s="556" t="s">
        <v>36</v>
      </c>
      <c r="B3" s="557"/>
    </row>
    <row r="4" spans="1:2" ht="15">
      <c r="A4" s="122" t="s">
        <v>37</v>
      </c>
      <c r="B4" s="123" t="s">
        <v>63</v>
      </c>
    </row>
    <row r="5" spans="1:3" ht="30" customHeight="1">
      <c r="A5" s="124" t="s">
        <v>38</v>
      </c>
      <c r="B5" s="125" t="s">
        <v>247</v>
      </c>
      <c r="C5" s="126"/>
    </row>
    <row r="6" spans="1:2" ht="15">
      <c r="A6" s="127" t="s">
        <v>39</v>
      </c>
      <c r="B6" s="128" t="s">
        <v>248</v>
      </c>
    </row>
    <row r="7" spans="1:2" ht="15">
      <c r="A7" s="129" t="s">
        <v>40</v>
      </c>
      <c r="B7" s="128" t="s">
        <v>65</v>
      </c>
    </row>
    <row r="8" spans="1:2" ht="15">
      <c r="A8" s="124" t="s">
        <v>41</v>
      </c>
      <c r="B8" s="130" t="s">
        <v>64</v>
      </c>
    </row>
    <row r="9" spans="1:2" ht="15">
      <c r="A9" s="124" t="s">
        <v>42</v>
      </c>
      <c r="B9" s="128" t="s">
        <v>214</v>
      </c>
    </row>
    <row r="10" spans="1:2" ht="15">
      <c r="A10" s="124" t="s">
        <v>43</v>
      </c>
      <c r="B10" s="131">
        <v>43719</v>
      </c>
    </row>
    <row r="11" spans="1:2" ht="15">
      <c r="A11" s="124" t="s">
        <v>44</v>
      </c>
      <c r="B11" s="131">
        <v>43739</v>
      </c>
    </row>
    <row r="12" spans="1:2" ht="15">
      <c r="A12" s="124" t="s">
        <v>45</v>
      </c>
      <c r="B12" s="131">
        <v>43830</v>
      </c>
    </row>
    <row r="13" spans="1:2" ht="15">
      <c r="A13" s="124" t="s">
        <v>46</v>
      </c>
      <c r="B13" s="128">
        <v>14</v>
      </c>
    </row>
    <row r="14" spans="1:2" ht="15">
      <c r="A14" s="132" t="s">
        <v>47</v>
      </c>
      <c r="B14" s="128" t="s">
        <v>48</v>
      </c>
    </row>
    <row r="15" spans="1:2" ht="25.5">
      <c r="A15" s="133" t="s">
        <v>49</v>
      </c>
      <c r="B15" s="128"/>
    </row>
    <row r="16" spans="1:6" ht="32.25" customHeight="1">
      <c r="A16" s="558" t="s">
        <v>120</v>
      </c>
      <c r="B16" s="559"/>
      <c r="C16" s="229"/>
      <c r="D16" s="229"/>
      <c r="E16" s="229"/>
      <c r="F16" s="229"/>
    </row>
    <row r="17" spans="1:2" ht="18.75" customHeight="1">
      <c r="A17" s="124" t="s">
        <v>50</v>
      </c>
      <c r="B17" s="325">
        <v>2154291.2433333336</v>
      </c>
    </row>
    <row r="18" spans="1:2" ht="20.25" customHeight="1">
      <c r="A18" s="124" t="s">
        <v>51</v>
      </c>
      <c r="B18" s="134"/>
    </row>
    <row r="19" spans="1:2" ht="18.75" customHeight="1">
      <c r="A19" s="124" t="s">
        <v>52</v>
      </c>
      <c r="B19" s="135"/>
    </row>
    <row r="20" spans="1:2" ht="18.75" customHeight="1">
      <c r="A20" s="124" t="s">
        <v>53</v>
      </c>
      <c r="B20" s="134">
        <v>0</v>
      </c>
    </row>
    <row r="21" spans="1:2" ht="18.75" customHeight="1">
      <c r="A21" s="124" t="s">
        <v>54</v>
      </c>
      <c r="B21" s="325">
        <f>B17+B18+B19-B20</f>
        <v>2154291.2433333336</v>
      </c>
    </row>
    <row r="22" spans="1:2" ht="37.5" customHeight="1">
      <c r="A22" s="124" t="s">
        <v>55</v>
      </c>
      <c r="B22" s="330" t="s">
        <v>284</v>
      </c>
    </row>
    <row r="23" spans="1:2" ht="39.95" customHeight="1">
      <c r="A23" s="560" t="s">
        <v>56</v>
      </c>
      <c r="B23" s="560"/>
    </row>
    <row r="24" spans="1:2" ht="58.5" customHeight="1">
      <c r="A24" s="560" t="s">
        <v>57</v>
      </c>
      <c r="B24" s="560"/>
    </row>
    <row r="25" spans="1:2" ht="33" customHeight="1">
      <c r="A25" s="560" t="s">
        <v>58</v>
      </c>
      <c r="B25" s="561"/>
    </row>
    <row r="26" spans="1:2" ht="50.1" customHeight="1">
      <c r="A26" s="560" t="s">
        <v>235</v>
      </c>
      <c r="B26" s="560"/>
    </row>
    <row r="27" spans="1:2" ht="20.1" customHeight="1">
      <c r="A27" s="136"/>
      <c r="B27" s="137"/>
    </row>
    <row r="28" spans="1:2" ht="20.1" customHeight="1">
      <c r="A28" s="552" t="s">
        <v>270</v>
      </c>
      <c r="B28" s="553"/>
    </row>
    <row r="29" spans="1:2" ht="42.6" customHeight="1">
      <c r="A29" s="138" t="s">
        <v>59</v>
      </c>
      <c r="B29" s="139"/>
    </row>
    <row r="30" spans="1:2" ht="20.1" customHeight="1">
      <c r="A30" s="138" t="s">
        <v>268</v>
      </c>
      <c r="B30" s="139"/>
    </row>
    <row r="31" spans="1:2" ht="20.1" customHeight="1">
      <c r="A31" s="320" t="s">
        <v>285</v>
      </c>
      <c r="B31" s="139"/>
    </row>
    <row r="32" spans="1:2" ht="20.1" customHeight="1">
      <c r="A32" s="140"/>
      <c r="B32" s="141"/>
    </row>
    <row r="33" spans="1:2" ht="20.1" customHeight="1">
      <c r="A33" s="554" t="s">
        <v>269</v>
      </c>
      <c r="B33" s="555"/>
    </row>
    <row r="34" spans="1:2" ht="20.1" customHeight="1">
      <c r="A34" s="138" t="s">
        <v>59</v>
      </c>
      <c r="B34" s="139"/>
    </row>
    <row r="35" spans="1:2" ht="20.1" customHeight="1">
      <c r="A35" s="329" t="s">
        <v>267</v>
      </c>
      <c r="B35" s="139"/>
    </row>
    <row r="36" spans="1:2" ht="20.1" customHeight="1">
      <c r="A36" s="138" t="s">
        <v>286</v>
      </c>
      <c r="B36" s="139"/>
    </row>
    <row r="37" spans="1:2" ht="20.1" customHeight="1">
      <c r="A37" s="140"/>
      <c r="B37" s="141"/>
    </row>
    <row r="38" spans="1:2" ht="3.6" customHeight="1">
      <c r="A38" s="136"/>
      <c r="B38" s="137"/>
    </row>
    <row r="39" spans="1:2" ht="14.45" customHeight="1">
      <c r="A39" s="552"/>
      <c r="B39" s="553"/>
    </row>
    <row r="40" spans="1:2" ht="20.1" customHeight="1">
      <c r="A40" s="140" t="s">
        <v>59</v>
      </c>
      <c r="B40" s="139"/>
    </row>
    <row r="41" spans="1:2" ht="20.1" customHeight="1" thickBot="1">
      <c r="A41" s="142" t="s">
        <v>60</v>
      </c>
      <c r="B41" s="139"/>
    </row>
    <row r="42" spans="1:2" ht="20.1" customHeight="1">
      <c r="A42" s="138" t="s">
        <v>222</v>
      </c>
      <c r="B42" s="139"/>
    </row>
    <row r="43" spans="1:2" ht="14.45" customHeight="1">
      <c r="A43" s="143"/>
      <c r="B43" s="141"/>
    </row>
    <row r="44" spans="1:2" ht="15">
      <c r="A44" s="144"/>
      <c r="B44" s="145"/>
    </row>
    <row r="45" spans="1:2" ht="15">
      <c r="A45" s="146"/>
      <c r="B45" s="147"/>
    </row>
  </sheetData>
  <mergeCells count="9">
    <mergeCell ref="A28:B28"/>
    <mergeCell ref="A33:B33"/>
    <mergeCell ref="A39:B39"/>
    <mergeCell ref="A3:B3"/>
    <mergeCell ref="A16:B16"/>
    <mergeCell ref="A23:B23"/>
    <mergeCell ref="A24:B24"/>
    <mergeCell ref="A25:B25"/>
    <mergeCell ref="A26:B26"/>
  </mergeCells>
  <printOptions horizontalCentered="1"/>
  <pageMargins left="0.4330708661417323" right="0.3937007874015748" top="0.5118110236220472" bottom="0.4330708661417323" header="0.2755905511811024" footer="0.2755905511811024"/>
  <pageSetup fitToHeight="1" fitToWidth="1" horizontalDpi="600" verticalDpi="600" orientation="portrait" scale="82"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T169"/>
  <sheetViews>
    <sheetView showGridLines="0" workbookViewId="0" topLeftCell="A1">
      <pane xSplit="4" ySplit="3" topLeftCell="E4" activePane="bottomRight" state="frozen"/>
      <selection pane="topRight" activeCell="E1" sqref="E1"/>
      <selection pane="bottomLeft" activeCell="A4" sqref="A4"/>
      <selection pane="bottomRight" activeCell="B163" sqref="B4:C163"/>
    </sheetView>
  </sheetViews>
  <sheetFormatPr defaultColWidth="8.8515625" defaultRowHeight="15" outlineLevelRow="1"/>
  <cols>
    <col min="1" max="1" width="6.7109375" style="0" customWidth="1"/>
    <col min="2" max="2" width="7.00390625" style="0" customWidth="1"/>
    <col min="3" max="3" width="37.7109375" style="0" customWidth="1"/>
    <col min="4" max="4" width="18.421875" style="0" customWidth="1"/>
    <col min="5" max="5" width="5.57421875" style="0" customWidth="1"/>
    <col min="6" max="6" width="11.421875" style="0" customWidth="1"/>
    <col min="7" max="7" width="10.8515625" style="0" customWidth="1"/>
    <col min="8" max="8" width="11.28125" style="312" customWidth="1"/>
    <col min="9" max="9" width="12.7109375" style="0" customWidth="1"/>
    <col min="10" max="11" width="13.140625" style="0" customWidth="1"/>
    <col min="12" max="12" width="10.421875" style="0" customWidth="1"/>
    <col min="13" max="13" width="10.57421875" style="0" customWidth="1"/>
    <col min="14" max="14" width="13.7109375" style="0" customWidth="1"/>
    <col min="15" max="15" width="12.7109375" style="0" customWidth="1"/>
    <col min="16" max="16" width="11.421875" style="0" customWidth="1"/>
    <col min="17" max="17" width="11.7109375" style="0" customWidth="1"/>
    <col min="18" max="18" width="11.57421875" style="0" customWidth="1"/>
    <col min="19" max="19" width="11.421875" style="0" customWidth="1"/>
    <col min="20" max="20" width="13.00390625" style="0" customWidth="1"/>
    <col min="21" max="21" width="11.8515625" style="295" customWidth="1"/>
    <col min="22" max="22" width="12.7109375" style="295" customWidth="1"/>
    <col min="23" max="23" width="13.28125" style="295" customWidth="1"/>
    <col min="24" max="24" width="12.57421875" style="295" customWidth="1"/>
    <col min="25" max="25" width="10.8515625" style="295" customWidth="1"/>
    <col min="26" max="26" width="15.421875" style="0" customWidth="1"/>
    <col min="27" max="28" width="14.00390625" style="0" customWidth="1"/>
    <col min="29" max="29" width="11.00390625" style="0" customWidth="1"/>
    <col min="30" max="31" width="10.8515625" style="0" customWidth="1"/>
    <col min="32" max="32" width="11.57421875" style="0" customWidth="1"/>
    <col min="33" max="33" width="11.8515625" style="0" customWidth="1"/>
    <col min="34" max="34" width="13.8515625" style="0" customWidth="1"/>
    <col min="35" max="35" width="13.7109375" style="0" customWidth="1"/>
    <col min="36" max="36" width="13.00390625" style="0" customWidth="1"/>
    <col min="37" max="37" width="16.57421875" style="0" customWidth="1"/>
    <col min="38" max="38" width="16.7109375" style="0" customWidth="1"/>
    <col min="39" max="39" width="13.7109375" style="0" customWidth="1"/>
    <col min="40" max="40" width="16.7109375" style="0" customWidth="1"/>
    <col min="41" max="41" width="17.421875" style="0" customWidth="1"/>
    <col min="42" max="42" width="18.8515625" style="0" customWidth="1"/>
    <col min="43" max="43" width="13.8515625" style="0" customWidth="1"/>
    <col min="44" max="44" width="15.8515625" style="0" customWidth="1"/>
    <col min="45" max="45" width="17.28125" style="295" customWidth="1"/>
    <col min="46" max="46" width="16.00390625" style="295" customWidth="1"/>
    <col min="47" max="47" width="15.28125" style="295" customWidth="1"/>
    <col min="48" max="48" width="16.421875" style="295" customWidth="1"/>
    <col min="49" max="49" width="12.140625" style="295" customWidth="1"/>
    <col min="50" max="51" width="11.421875" style="0" customWidth="1"/>
    <col min="52" max="52" width="11.8515625" style="0" customWidth="1"/>
    <col min="53" max="53" width="14.57421875" style="0" customWidth="1"/>
    <col min="54" max="54" width="15.00390625" style="0" customWidth="1"/>
    <col min="55" max="55" width="13.421875" style="0" customWidth="1"/>
    <col min="56" max="56" width="15.421875" style="0" customWidth="1"/>
    <col min="57" max="57" width="13.421875" style="0" customWidth="1"/>
    <col min="58" max="58" width="14.140625" style="0" customWidth="1"/>
    <col min="59" max="59" width="14.00390625" style="0" customWidth="1"/>
    <col min="60" max="60" width="14.140625" style="0" bestFit="1" customWidth="1"/>
    <col min="61" max="61" width="16.7109375" style="0" customWidth="1"/>
    <col min="62" max="62" width="15.421875" style="0" customWidth="1"/>
    <col min="63" max="63" width="17.00390625" style="0" customWidth="1"/>
    <col min="64" max="65" width="13.140625" style="0" bestFit="1" customWidth="1"/>
    <col min="66" max="69" width="14.421875" style="295" customWidth="1"/>
    <col min="70" max="70" width="14.140625" style="0" customWidth="1"/>
    <col min="71" max="71" width="10.57421875" style="0" bestFit="1" customWidth="1"/>
    <col min="72" max="72" width="14.140625" style="0" bestFit="1" customWidth="1"/>
  </cols>
  <sheetData>
    <row r="1" spans="3:64" ht="15">
      <c r="C1" s="371" t="s">
        <v>264</v>
      </c>
      <c r="D1" s="234">
        <f>SUM(D2:D140)</f>
        <v>25674975.240000006</v>
      </c>
      <c r="F1" t="s">
        <v>151</v>
      </c>
      <c r="X1" s="295" t="s">
        <v>251</v>
      </c>
      <c r="Z1" t="s">
        <v>165</v>
      </c>
      <c r="AC1" s="238" t="s">
        <v>193</v>
      </c>
      <c r="AD1" s="238"/>
      <c r="AE1" s="238"/>
      <c r="AF1" s="238"/>
      <c r="AG1" s="238"/>
      <c r="AH1" s="238"/>
      <c r="AI1" s="238"/>
      <c r="AJ1" s="238"/>
      <c r="AK1" s="238"/>
      <c r="AL1" s="238"/>
      <c r="AM1" s="238"/>
      <c r="AN1" s="238"/>
      <c r="AO1" s="238"/>
      <c r="AP1" s="238"/>
      <c r="AQ1" s="238"/>
      <c r="AR1" s="239"/>
      <c r="AS1" s="238"/>
      <c r="AT1" s="239"/>
      <c r="AU1" s="238" t="s">
        <v>251</v>
      </c>
      <c r="AV1" s="238"/>
      <c r="AW1" s="239"/>
      <c r="AX1" s="238" t="s">
        <v>194</v>
      </c>
      <c r="AY1" s="238"/>
      <c r="AZ1" s="238"/>
      <c r="BA1" s="238"/>
      <c r="BB1" s="238"/>
      <c r="BC1" s="238"/>
      <c r="BD1" s="238"/>
      <c r="BE1" s="238"/>
      <c r="BF1" s="238"/>
      <c r="BG1" s="238"/>
      <c r="BH1" s="238"/>
      <c r="BI1" s="238"/>
      <c r="BJ1" s="238"/>
      <c r="BK1" s="238"/>
      <c r="BL1" s="238"/>
    </row>
    <row r="2" spans="1:70" ht="15">
      <c r="A2" t="s">
        <v>127</v>
      </c>
      <c r="C2" t="s">
        <v>147</v>
      </c>
      <c r="D2" t="s">
        <v>149</v>
      </c>
      <c r="F2" s="339">
        <v>42552</v>
      </c>
      <c r="G2" s="339">
        <v>42644</v>
      </c>
      <c r="H2" s="340">
        <v>42736</v>
      </c>
      <c r="I2" s="339">
        <v>42826</v>
      </c>
      <c r="J2" s="339">
        <v>42917</v>
      </c>
      <c r="K2" s="339">
        <v>43009</v>
      </c>
      <c r="L2" s="339">
        <v>43101</v>
      </c>
      <c r="M2" s="339">
        <v>43191</v>
      </c>
      <c r="N2" s="339">
        <v>43282</v>
      </c>
      <c r="O2" s="339">
        <v>43374</v>
      </c>
      <c r="P2" s="339">
        <v>43466</v>
      </c>
      <c r="Q2" s="339">
        <v>43556</v>
      </c>
      <c r="R2" s="339">
        <v>43647</v>
      </c>
      <c r="S2" s="339">
        <v>43739</v>
      </c>
      <c r="T2" s="339">
        <v>43831</v>
      </c>
      <c r="U2" s="339">
        <v>43922</v>
      </c>
      <c r="V2" s="339">
        <v>44013</v>
      </c>
      <c r="W2" s="339">
        <v>44105</v>
      </c>
      <c r="X2" s="339">
        <v>44197</v>
      </c>
      <c r="Y2" s="339" t="s">
        <v>277</v>
      </c>
      <c r="Z2" s="348"/>
      <c r="AA2" s="348"/>
      <c r="AB2" s="348"/>
      <c r="AC2" s="349">
        <v>42552</v>
      </c>
      <c r="AD2" s="349">
        <v>42644</v>
      </c>
      <c r="AE2" s="349">
        <v>42736</v>
      </c>
      <c r="AF2" s="349">
        <v>42826</v>
      </c>
      <c r="AG2" s="349">
        <v>42917</v>
      </c>
      <c r="AH2" s="349">
        <v>43009</v>
      </c>
      <c r="AI2" s="349">
        <v>43101</v>
      </c>
      <c r="AJ2" s="349">
        <v>43191</v>
      </c>
      <c r="AK2" s="349">
        <v>43282</v>
      </c>
      <c r="AL2" s="349">
        <v>43374</v>
      </c>
      <c r="AM2" s="349">
        <v>43466</v>
      </c>
      <c r="AN2" s="349">
        <v>43556</v>
      </c>
      <c r="AO2" s="349">
        <v>43647</v>
      </c>
      <c r="AP2" s="349">
        <v>43739</v>
      </c>
      <c r="AQ2" s="349">
        <v>43831</v>
      </c>
      <c r="AR2" s="349">
        <v>43922</v>
      </c>
      <c r="AS2" s="349">
        <v>44013</v>
      </c>
      <c r="AT2" s="349">
        <v>44105</v>
      </c>
      <c r="AU2" s="349">
        <v>44197</v>
      </c>
      <c r="AV2" s="349" t="s">
        <v>277</v>
      </c>
      <c r="AW2" s="349"/>
      <c r="AX2" s="349">
        <v>42552</v>
      </c>
      <c r="AY2" s="349">
        <v>42644</v>
      </c>
      <c r="AZ2" s="349">
        <v>42736</v>
      </c>
      <c r="BA2" s="349">
        <v>42826</v>
      </c>
      <c r="BB2" s="349">
        <v>42917</v>
      </c>
      <c r="BC2" s="349">
        <v>43009</v>
      </c>
      <c r="BD2" s="349">
        <v>43101</v>
      </c>
      <c r="BE2" s="349">
        <v>43191</v>
      </c>
      <c r="BF2" s="349">
        <v>43282</v>
      </c>
      <c r="BG2" s="349">
        <v>43374</v>
      </c>
      <c r="BH2" s="349">
        <v>43466</v>
      </c>
      <c r="BI2" s="349">
        <v>43556</v>
      </c>
      <c r="BJ2" s="349">
        <v>43647</v>
      </c>
      <c r="BK2" s="349">
        <v>43739</v>
      </c>
      <c r="BL2" s="349">
        <v>43831</v>
      </c>
      <c r="BM2" s="349">
        <v>43922</v>
      </c>
      <c r="BN2" s="349">
        <v>44013</v>
      </c>
      <c r="BO2" s="349">
        <v>44105</v>
      </c>
      <c r="BP2" s="349">
        <v>44197</v>
      </c>
      <c r="BQ2" s="349">
        <v>44198</v>
      </c>
      <c r="BR2" t="s">
        <v>201</v>
      </c>
    </row>
    <row r="3" spans="1:69" ht="15">
      <c r="A3" s="295" t="s">
        <v>127</v>
      </c>
      <c r="C3" s="295" t="s">
        <v>147</v>
      </c>
      <c r="E3" t="s">
        <v>150</v>
      </c>
      <c r="F3" s="348" t="s">
        <v>148</v>
      </c>
      <c r="G3" s="348" t="s">
        <v>152</v>
      </c>
      <c r="H3" s="350" t="s">
        <v>153</v>
      </c>
      <c r="I3" s="348" t="s">
        <v>154</v>
      </c>
      <c r="J3" s="348" t="s">
        <v>155</v>
      </c>
      <c r="K3" s="351" t="s">
        <v>156</v>
      </c>
      <c r="L3" s="348" t="s">
        <v>157</v>
      </c>
      <c r="M3" s="348" t="s">
        <v>158</v>
      </c>
      <c r="N3" s="348" t="s">
        <v>159</v>
      </c>
      <c r="O3" s="348" t="s">
        <v>160</v>
      </c>
      <c r="P3" s="348" t="s">
        <v>161</v>
      </c>
      <c r="Q3" s="348" t="s">
        <v>162</v>
      </c>
      <c r="R3" s="348" t="s">
        <v>163</v>
      </c>
      <c r="S3" s="348" t="s">
        <v>164</v>
      </c>
      <c r="T3" s="348" t="s">
        <v>166</v>
      </c>
      <c r="U3" s="352" t="s">
        <v>246</v>
      </c>
      <c r="V3" s="348" t="s">
        <v>249</v>
      </c>
      <c r="W3" s="348" t="s">
        <v>250</v>
      </c>
      <c r="X3" s="360">
        <v>19</v>
      </c>
      <c r="Y3" s="360">
        <v>20</v>
      </c>
      <c r="Z3" s="348"/>
      <c r="AA3" s="348"/>
      <c r="AB3" s="348"/>
      <c r="AC3" s="353" t="s">
        <v>148</v>
      </c>
      <c r="AD3" s="353" t="s">
        <v>152</v>
      </c>
      <c r="AE3" s="353" t="s">
        <v>153</v>
      </c>
      <c r="AF3" s="353" t="s">
        <v>154</v>
      </c>
      <c r="AG3" s="353" t="s">
        <v>155</v>
      </c>
      <c r="AH3" s="353" t="s">
        <v>156</v>
      </c>
      <c r="AI3" s="353" t="s">
        <v>157</v>
      </c>
      <c r="AJ3" s="353" t="s">
        <v>158</v>
      </c>
      <c r="AK3" s="353" t="s">
        <v>159</v>
      </c>
      <c r="AL3" s="353" t="s">
        <v>160</v>
      </c>
      <c r="AM3" s="353" t="s">
        <v>161</v>
      </c>
      <c r="AN3" s="353" t="s">
        <v>162</v>
      </c>
      <c r="AO3" s="353" t="s">
        <v>163</v>
      </c>
      <c r="AP3" s="353" t="s">
        <v>164</v>
      </c>
      <c r="AQ3" s="353" t="s">
        <v>166</v>
      </c>
      <c r="AR3" s="353" t="s">
        <v>246</v>
      </c>
      <c r="AS3" s="353" t="s">
        <v>249</v>
      </c>
      <c r="AT3" s="353" t="s">
        <v>250</v>
      </c>
      <c r="AU3" s="353" t="s">
        <v>252</v>
      </c>
      <c r="AV3" s="392">
        <v>20</v>
      </c>
      <c r="AW3" s="354"/>
      <c r="AX3" s="341" t="s">
        <v>148</v>
      </c>
      <c r="AY3" s="341" t="s">
        <v>152</v>
      </c>
      <c r="AZ3" s="341" t="s">
        <v>153</v>
      </c>
      <c r="BA3" s="341" t="s">
        <v>154</v>
      </c>
      <c r="BB3" s="341" t="s">
        <v>155</v>
      </c>
      <c r="BC3" s="341" t="s">
        <v>156</v>
      </c>
      <c r="BD3" s="341" t="s">
        <v>157</v>
      </c>
      <c r="BE3" s="341" t="s">
        <v>158</v>
      </c>
      <c r="BF3" s="341" t="s">
        <v>159</v>
      </c>
      <c r="BG3" s="341" t="s">
        <v>160</v>
      </c>
      <c r="BH3" s="341" t="s">
        <v>161</v>
      </c>
      <c r="BI3" s="341" t="s">
        <v>162</v>
      </c>
      <c r="BJ3" s="341" t="s">
        <v>163</v>
      </c>
      <c r="BK3" s="341" t="s">
        <v>164</v>
      </c>
      <c r="BL3" s="341" t="s">
        <v>166</v>
      </c>
      <c r="BM3" s="342" t="s">
        <v>246</v>
      </c>
      <c r="BN3" s="342" t="s">
        <v>249</v>
      </c>
      <c r="BO3" s="342" t="s">
        <v>250</v>
      </c>
      <c r="BP3" s="342" t="s">
        <v>252</v>
      </c>
      <c r="BQ3" s="342" t="s">
        <v>278</v>
      </c>
    </row>
    <row r="4" spans="1:72" ht="15" customHeight="1">
      <c r="A4" s="433" t="s">
        <v>128</v>
      </c>
      <c r="B4" s="434"/>
      <c r="C4" s="435"/>
      <c r="D4" s="436">
        <v>7593016.09</v>
      </c>
      <c r="E4" s="437" t="s">
        <v>199</v>
      </c>
      <c r="F4" s="438"/>
      <c r="G4" s="438"/>
      <c r="H4" s="438"/>
      <c r="I4" s="438">
        <v>0</v>
      </c>
      <c r="J4" s="438">
        <v>0.0955631400486075</v>
      </c>
      <c r="K4" s="438">
        <v>0.08191126195809234</v>
      </c>
      <c r="L4" s="439">
        <v>0.07508532357133461</v>
      </c>
      <c r="M4" s="438"/>
      <c r="N4" s="438">
        <v>0.0682593851845769</v>
      </c>
      <c r="O4" s="438">
        <v>0</v>
      </c>
      <c r="P4" s="438">
        <v>0.09556313990373753</v>
      </c>
      <c r="Q4" s="438">
        <v>0.16382252508831444</v>
      </c>
      <c r="R4" s="438">
        <v>0.0716723545095658</v>
      </c>
      <c r="S4" s="438">
        <v>0.07508532379387607</v>
      </c>
      <c r="T4" s="438">
        <v>0.06825938522525553</v>
      </c>
      <c r="U4" s="438">
        <v>0.06825938522525553</v>
      </c>
      <c r="V4" s="438">
        <v>0</v>
      </c>
      <c r="W4" s="438">
        <v>0.1365187716861535</v>
      </c>
      <c r="X4" s="440">
        <f>1-(W4+V4+U4+T4+S4+R4+Q4+P4+O4+N4+M4+L4+K4+J4+I4)</f>
        <v>3.805230353037814E-09</v>
      </c>
      <c r="Y4" s="440"/>
      <c r="Z4" s="439">
        <f>SUM(F4:X4)</f>
        <v>1.0000000000000002</v>
      </c>
      <c r="AA4" s="435"/>
      <c r="AB4" s="435"/>
      <c r="AC4" s="441">
        <f aca="true" t="shared" si="0" ref="AC4:AC100">F4*$D4</f>
        <v>0</v>
      </c>
      <c r="AD4" s="441">
        <f aca="true" t="shared" si="1" ref="AD4:AD100">G4*$D4</f>
        <v>0</v>
      </c>
      <c r="AE4" s="441">
        <f aca="true" t="shared" si="2" ref="AE4:AE100">H4*$D4</f>
        <v>0</v>
      </c>
      <c r="AF4" s="441">
        <f aca="true" t="shared" si="3" ref="AF4:AF100">I4*$D4</f>
        <v>0</v>
      </c>
      <c r="AG4" s="442">
        <f>J4*$D4</f>
        <v>725612.4600000001</v>
      </c>
      <c r="AH4" s="442">
        <f>K4*$D4</f>
        <v>621953.53</v>
      </c>
      <c r="AI4" s="442">
        <f aca="true" t="shared" si="4" ref="AI4:AI5">L4*$D4</f>
        <v>570124.07</v>
      </c>
      <c r="AJ4" s="442">
        <f aca="true" t="shared" si="5" ref="AJ4:AJ5">M4*$D4</f>
        <v>0</v>
      </c>
      <c r="AK4" s="442">
        <f aca="true" t="shared" si="6" ref="AK4">N4*$D4</f>
        <v>518294.61000000004</v>
      </c>
      <c r="AL4" s="442">
        <f aca="true" t="shared" si="7" ref="AL4">O4*$D4</f>
        <v>0</v>
      </c>
      <c r="AM4" s="442">
        <f aca="true" t="shared" si="8" ref="AM4:AM100">P4*$D4</f>
        <v>725612.4589000001</v>
      </c>
      <c r="AN4" s="442">
        <f aca="true" t="shared" si="9" ref="AN4:AN100">Q4*$D4</f>
        <v>1243907.0689</v>
      </c>
      <c r="AO4" s="442">
        <f aca="true" t="shared" si="10" ref="AO4:AO100">R4*$D4</f>
        <v>544209.3409993171</v>
      </c>
      <c r="AP4" s="442">
        <f aca="true" t="shared" si="11" ref="AP4:AP100">S4*$D4</f>
        <v>570124.0716897609</v>
      </c>
      <c r="AQ4" s="442">
        <f aca="true" t="shared" si="12" ref="AQ4:AQ100">T4*$D4</f>
        <v>518294.61030887347</v>
      </c>
      <c r="AR4" s="443">
        <f aca="true" t="shared" si="13" ref="AR4:AR50">U4*$D4</f>
        <v>518294.61030887347</v>
      </c>
      <c r="AS4" s="443">
        <f aca="true" t="shared" si="14" ref="AS4:AS108">V4*$D4</f>
        <v>0</v>
      </c>
      <c r="AT4" s="443">
        <f aca="true" t="shared" si="15" ref="AT4:AT108">W4*$D4</f>
        <v>1036589.23</v>
      </c>
      <c r="AU4" s="443">
        <f aca="true" t="shared" si="16" ref="AU4:AV108">X4*$D4</f>
        <v>0.028893175296772503</v>
      </c>
      <c r="AV4" s="442"/>
      <c r="AW4" s="441">
        <f>+AT4+AU4</f>
        <v>1036589.2588931753</v>
      </c>
      <c r="AX4" s="441">
        <f aca="true" t="shared" si="17" ref="AX4:BN45">IF(AX$3=$E4,$D4,0)</f>
        <v>0</v>
      </c>
      <c r="AY4" s="441">
        <f t="shared" si="17"/>
        <v>0</v>
      </c>
      <c r="AZ4" s="441">
        <f t="shared" si="17"/>
        <v>0</v>
      </c>
      <c r="BA4" s="441">
        <f t="shared" si="17"/>
        <v>7593016.09</v>
      </c>
      <c r="BB4" s="441">
        <f t="shared" si="17"/>
        <v>0</v>
      </c>
      <c r="BC4" s="441">
        <f t="shared" si="17"/>
        <v>0</v>
      </c>
      <c r="BD4" s="441">
        <f t="shared" si="17"/>
        <v>0</v>
      </c>
      <c r="BE4" s="441">
        <f t="shared" si="17"/>
        <v>0</v>
      </c>
      <c r="BF4" s="441">
        <f t="shared" si="17"/>
        <v>0</v>
      </c>
      <c r="BG4" s="441">
        <f t="shared" si="17"/>
        <v>0</v>
      </c>
      <c r="BH4" s="441">
        <f t="shared" si="17"/>
        <v>0</v>
      </c>
      <c r="BI4" s="441">
        <f t="shared" si="17"/>
        <v>0</v>
      </c>
      <c r="BJ4" s="441">
        <f t="shared" si="17"/>
        <v>0</v>
      </c>
      <c r="BK4" s="441">
        <f t="shared" si="17"/>
        <v>0</v>
      </c>
      <c r="BL4" s="441">
        <f t="shared" si="17"/>
        <v>0</v>
      </c>
      <c r="BM4" s="441">
        <f t="shared" si="17"/>
        <v>0</v>
      </c>
      <c r="BN4" s="441">
        <f t="shared" si="17"/>
        <v>0</v>
      </c>
      <c r="BO4" s="441">
        <f aca="true" t="shared" si="18" ref="BN4:BQ10">IF(BO$3=$E4,$D4,0)</f>
        <v>0</v>
      </c>
      <c r="BP4" s="441">
        <f t="shared" si="18"/>
        <v>0</v>
      </c>
      <c r="BQ4" s="441">
        <f t="shared" si="18"/>
        <v>0</v>
      </c>
      <c r="BR4" s="418">
        <f>SUM(AC4:AV4)-SUM(AX4:BQ4)</f>
        <v>0</v>
      </c>
      <c r="BS4" s="310"/>
      <c r="BT4" s="298"/>
    </row>
    <row r="5" spans="1:70" ht="15" customHeight="1">
      <c r="A5" s="411" t="s">
        <v>129</v>
      </c>
      <c r="B5" s="412"/>
      <c r="C5" s="413"/>
      <c r="D5" s="414">
        <v>229065.33000000002</v>
      </c>
      <c r="E5" s="415" t="s">
        <v>263</v>
      </c>
      <c r="F5" s="416"/>
      <c r="G5" s="416"/>
      <c r="H5" s="416"/>
      <c r="I5" s="416"/>
      <c r="J5" s="416"/>
      <c r="K5" s="416">
        <v>0</v>
      </c>
      <c r="L5" s="416">
        <v>0</v>
      </c>
      <c r="M5" s="416">
        <v>0</v>
      </c>
      <c r="N5" s="416">
        <v>0</v>
      </c>
      <c r="O5" s="416">
        <v>0</v>
      </c>
      <c r="P5" s="416">
        <v>0</v>
      </c>
      <c r="Q5" s="416">
        <v>0</v>
      </c>
      <c r="R5" s="416">
        <v>0.75855241821187</v>
      </c>
      <c r="S5" s="416">
        <v>0.1860164521623591</v>
      </c>
      <c r="T5" s="416"/>
      <c r="U5" s="416">
        <v>0.055431129625770965</v>
      </c>
      <c r="V5" s="416"/>
      <c r="W5" s="416"/>
      <c r="X5" s="416"/>
      <c r="Y5" s="416"/>
      <c r="Z5" s="417">
        <f>SUM(F5:X5)</f>
        <v>1</v>
      </c>
      <c r="AA5" s="413"/>
      <c r="AB5" s="413"/>
      <c r="AC5" s="418">
        <f t="shared" si="0"/>
        <v>0</v>
      </c>
      <c r="AD5" s="418">
        <f t="shared" si="1"/>
        <v>0</v>
      </c>
      <c r="AE5" s="418">
        <f t="shared" si="2"/>
        <v>0</v>
      </c>
      <c r="AF5" s="418">
        <f t="shared" si="3"/>
        <v>0</v>
      </c>
      <c r="AG5" s="419">
        <f>J5*$D5</f>
        <v>0</v>
      </c>
      <c r="AH5" s="419">
        <v>0</v>
      </c>
      <c r="AI5" s="419">
        <f t="shared" si="4"/>
        <v>0</v>
      </c>
      <c r="AJ5" s="419">
        <f t="shared" si="5"/>
        <v>0</v>
      </c>
      <c r="AK5" s="419">
        <f>N5*$D5</f>
        <v>0</v>
      </c>
      <c r="AL5" s="419">
        <f aca="true" t="shared" si="19" ref="AL5:AL100">O5*$D5</f>
        <v>0</v>
      </c>
      <c r="AM5" s="419">
        <f t="shared" si="8"/>
        <v>0</v>
      </c>
      <c r="AN5" s="419">
        <f t="shared" si="9"/>
        <v>0</v>
      </c>
      <c r="AO5" s="419">
        <f t="shared" si="10"/>
        <v>173758.06000000003</v>
      </c>
      <c r="AP5" s="419">
        <f t="shared" si="11"/>
        <v>42609.920000000006</v>
      </c>
      <c r="AQ5" s="419">
        <f t="shared" si="12"/>
        <v>0</v>
      </c>
      <c r="AR5" s="418">
        <f t="shared" si="13"/>
        <v>12697.350000000004</v>
      </c>
      <c r="AS5" s="419">
        <f t="shared" si="14"/>
        <v>0</v>
      </c>
      <c r="AT5" s="418">
        <f t="shared" si="15"/>
        <v>0</v>
      </c>
      <c r="AU5" s="419">
        <f t="shared" si="16"/>
        <v>0</v>
      </c>
      <c r="AV5" s="419"/>
      <c r="AW5" s="418"/>
      <c r="AX5" s="418">
        <f t="shared" si="17"/>
        <v>0</v>
      </c>
      <c r="AY5" s="418">
        <f t="shared" si="17"/>
        <v>0</v>
      </c>
      <c r="AZ5" s="418">
        <f t="shared" si="17"/>
        <v>0</v>
      </c>
      <c r="BA5" s="418">
        <f t="shared" si="17"/>
        <v>0</v>
      </c>
      <c r="BB5" s="418">
        <f t="shared" si="17"/>
        <v>0</v>
      </c>
      <c r="BC5" s="418">
        <f t="shared" si="17"/>
        <v>0</v>
      </c>
      <c r="BD5" s="418">
        <f t="shared" si="17"/>
        <v>0</v>
      </c>
      <c r="BE5" s="418">
        <f t="shared" si="17"/>
        <v>0</v>
      </c>
      <c r="BF5" s="418">
        <f t="shared" si="17"/>
        <v>0</v>
      </c>
      <c r="BG5" s="418">
        <f t="shared" si="17"/>
        <v>0</v>
      </c>
      <c r="BH5" s="418">
        <f t="shared" si="17"/>
        <v>0</v>
      </c>
      <c r="BI5" s="418">
        <f t="shared" si="17"/>
        <v>0</v>
      </c>
      <c r="BJ5" s="418">
        <f t="shared" si="17"/>
        <v>229065.33000000002</v>
      </c>
      <c r="BK5" s="418">
        <f t="shared" si="17"/>
        <v>0</v>
      </c>
      <c r="BL5" s="418">
        <f t="shared" si="17"/>
        <v>0</v>
      </c>
      <c r="BM5" s="418">
        <f t="shared" si="17"/>
        <v>0</v>
      </c>
      <c r="BN5" s="418">
        <f t="shared" si="18"/>
        <v>0</v>
      </c>
      <c r="BO5" s="418">
        <f t="shared" si="18"/>
        <v>0</v>
      </c>
      <c r="BP5" s="418">
        <f t="shared" si="18"/>
        <v>0</v>
      </c>
      <c r="BQ5" s="418">
        <f t="shared" si="18"/>
        <v>0</v>
      </c>
      <c r="BR5" s="418">
        <f aca="true" t="shared" si="20" ref="BR5:BR72">SUM(AC5:AV5)-SUM(AX5:BQ5)</f>
        <v>0</v>
      </c>
    </row>
    <row r="6" spans="1:72" ht="15" customHeight="1">
      <c r="A6" s="411" t="s">
        <v>129</v>
      </c>
      <c r="B6" s="412"/>
      <c r="C6" s="413"/>
      <c r="D6" s="414">
        <v>1866155</v>
      </c>
      <c r="E6" s="415" t="s">
        <v>244</v>
      </c>
      <c r="F6" s="416"/>
      <c r="G6" s="416"/>
      <c r="H6" s="416"/>
      <c r="I6" s="416"/>
      <c r="J6" s="416"/>
      <c r="K6" s="416"/>
      <c r="L6" s="416"/>
      <c r="M6" s="416"/>
      <c r="N6" s="416">
        <v>0.15</v>
      </c>
      <c r="O6" s="416">
        <v>0.15</v>
      </c>
      <c r="P6" s="416">
        <v>0.05</v>
      </c>
      <c r="Q6" s="416">
        <v>0.15</v>
      </c>
      <c r="R6" s="416">
        <v>0.05</v>
      </c>
      <c r="S6" s="416">
        <v>0.15</v>
      </c>
      <c r="T6" s="416">
        <f>1-(S6+R6+Q6+P6+O6+N6+M6+L6+K6+J6+I6)-V6-W6</f>
        <v>0.20000000000000007</v>
      </c>
      <c r="U6" s="416"/>
      <c r="V6" s="416">
        <v>0.05</v>
      </c>
      <c r="W6" s="416">
        <v>0.05</v>
      </c>
      <c r="X6" s="416"/>
      <c r="Y6" s="416"/>
      <c r="Z6" s="417">
        <f aca="true" t="shared" si="21" ref="Z6:Z86">SUM(F6:X6)</f>
        <v>1.0000000000000002</v>
      </c>
      <c r="AA6" s="413"/>
      <c r="AB6" s="413"/>
      <c r="AC6" s="418">
        <f t="shared" si="0"/>
        <v>0</v>
      </c>
      <c r="AD6" s="418">
        <f t="shared" si="1"/>
        <v>0</v>
      </c>
      <c r="AE6" s="418">
        <f t="shared" si="2"/>
        <v>0</v>
      </c>
      <c r="AF6" s="418">
        <f t="shared" si="3"/>
        <v>0</v>
      </c>
      <c r="AG6" s="418">
        <f>J6*$D6</f>
        <v>0</v>
      </c>
      <c r="AH6" s="418">
        <f aca="true" t="shared" si="22" ref="AH6:AH100">K6*$D6</f>
        <v>0</v>
      </c>
      <c r="AI6" s="418">
        <f aca="true" t="shared" si="23" ref="AI6:AI100">L6*$D6</f>
        <v>0</v>
      </c>
      <c r="AJ6" s="418">
        <f aca="true" t="shared" si="24" ref="AJ6:AJ100">M6*$D6</f>
        <v>0</v>
      </c>
      <c r="AK6" s="419">
        <f>N6*$D6</f>
        <v>279923.25</v>
      </c>
      <c r="AL6" s="419">
        <f t="shared" si="19"/>
        <v>279923.25</v>
      </c>
      <c r="AM6" s="419">
        <f t="shared" si="8"/>
        <v>93307.75</v>
      </c>
      <c r="AN6" s="419">
        <f t="shared" si="9"/>
        <v>279923.25</v>
      </c>
      <c r="AO6" s="420">
        <f t="shared" si="10"/>
        <v>93307.75</v>
      </c>
      <c r="AP6" s="420">
        <f t="shared" si="11"/>
        <v>279923.25</v>
      </c>
      <c r="AQ6" s="420">
        <f t="shared" si="12"/>
        <v>373231.0000000001</v>
      </c>
      <c r="AR6" s="420">
        <f t="shared" si="13"/>
        <v>0</v>
      </c>
      <c r="AS6" s="420">
        <f t="shared" si="14"/>
        <v>93307.75</v>
      </c>
      <c r="AT6" s="420">
        <f t="shared" si="15"/>
        <v>93307.75</v>
      </c>
      <c r="AU6" s="420">
        <f t="shared" si="16"/>
        <v>0</v>
      </c>
      <c r="AV6" s="418"/>
      <c r="AW6" s="418"/>
      <c r="AX6" s="418">
        <f t="shared" si="17"/>
        <v>0</v>
      </c>
      <c r="AY6" s="418">
        <f t="shared" si="17"/>
        <v>0</v>
      </c>
      <c r="AZ6" s="418">
        <f t="shared" si="17"/>
        <v>0</v>
      </c>
      <c r="BA6" s="418">
        <f t="shared" si="17"/>
        <v>0</v>
      </c>
      <c r="BB6" s="418">
        <f t="shared" si="17"/>
        <v>0</v>
      </c>
      <c r="BC6" s="418">
        <f t="shared" si="17"/>
        <v>0</v>
      </c>
      <c r="BD6" s="418">
        <f t="shared" si="17"/>
        <v>0</v>
      </c>
      <c r="BE6" s="418">
        <f t="shared" si="17"/>
        <v>0</v>
      </c>
      <c r="BF6" s="418">
        <f t="shared" si="17"/>
        <v>1866155</v>
      </c>
      <c r="BG6" s="418">
        <f t="shared" si="17"/>
        <v>0</v>
      </c>
      <c r="BH6" s="418">
        <f t="shared" si="17"/>
        <v>0</v>
      </c>
      <c r="BI6" s="418">
        <f t="shared" si="17"/>
        <v>0</v>
      </c>
      <c r="BJ6" s="418">
        <f t="shared" si="17"/>
        <v>0</v>
      </c>
      <c r="BK6" s="418">
        <f t="shared" si="17"/>
        <v>0</v>
      </c>
      <c r="BL6" s="418">
        <f t="shared" si="17"/>
        <v>0</v>
      </c>
      <c r="BM6" s="418">
        <f t="shared" si="17"/>
        <v>0</v>
      </c>
      <c r="BN6" s="418">
        <f t="shared" si="18"/>
        <v>0</v>
      </c>
      <c r="BO6" s="418">
        <f t="shared" si="18"/>
        <v>0</v>
      </c>
      <c r="BP6" s="418">
        <f t="shared" si="18"/>
        <v>0</v>
      </c>
      <c r="BQ6" s="418">
        <f t="shared" si="18"/>
        <v>0</v>
      </c>
      <c r="BR6" s="418">
        <f t="shared" si="20"/>
        <v>0</v>
      </c>
      <c r="BS6" s="245"/>
      <c r="BT6" s="245"/>
    </row>
    <row r="7" spans="1:70" s="295" customFormat="1" ht="15" customHeight="1">
      <c r="A7" s="411" t="s">
        <v>129</v>
      </c>
      <c r="B7" s="412"/>
      <c r="C7" s="413"/>
      <c r="D7" s="414">
        <v>1109637.32</v>
      </c>
      <c r="E7" s="415" t="s">
        <v>244</v>
      </c>
      <c r="F7" s="416"/>
      <c r="G7" s="416"/>
      <c r="H7" s="416"/>
      <c r="I7" s="416"/>
      <c r="J7" s="416"/>
      <c r="K7" s="416"/>
      <c r="L7" s="416"/>
      <c r="M7" s="416"/>
      <c r="N7" s="416">
        <v>0.13140547579996678</v>
      </c>
      <c r="O7" s="416">
        <v>0.17720751317196146</v>
      </c>
      <c r="P7" s="416">
        <v>0.05143554472374812</v>
      </c>
      <c r="Q7" s="416">
        <v>0.14768109097123736</v>
      </c>
      <c r="R7" s="416">
        <v>0.04922703032374578</v>
      </c>
      <c r="S7" s="416">
        <v>0.1476810999831909</v>
      </c>
      <c r="T7" s="416">
        <v>0.1969081212949831</v>
      </c>
      <c r="U7" s="416"/>
      <c r="V7" s="416">
        <v>0.04922706637156003</v>
      </c>
      <c r="W7" s="416">
        <v>0.04922706637156003</v>
      </c>
      <c r="X7" s="416"/>
      <c r="Y7" s="416"/>
      <c r="Z7" s="417">
        <f t="shared" si="21"/>
        <v>1.0000000090119536</v>
      </c>
      <c r="AA7" s="413"/>
      <c r="AB7" s="413"/>
      <c r="AC7" s="418">
        <f aca="true" t="shared" si="25" ref="AC7:AC8">F7*$D7</f>
        <v>0</v>
      </c>
      <c r="AD7" s="418">
        <f aca="true" t="shared" si="26" ref="AD7:AD8">G7*$D7</f>
        <v>0</v>
      </c>
      <c r="AE7" s="418">
        <f aca="true" t="shared" si="27" ref="AE7:AE8">H7*$D7</f>
        <v>0</v>
      </c>
      <c r="AF7" s="418">
        <f aca="true" t="shared" si="28" ref="AF7:AF8">I7*$D7</f>
        <v>0</v>
      </c>
      <c r="AG7" s="418">
        <f aca="true" t="shared" si="29" ref="AG7:AG8">J7*$D7</f>
        <v>0</v>
      </c>
      <c r="AH7" s="418">
        <f aca="true" t="shared" si="30" ref="AH7:AH8">K7*$D7</f>
        <v>0</v>
      </c>
      <c r="AI7" s="418">
        <f aca="true" t="shared" si="31" ref="AI7:AI8">L7*$D7</f>
        <v>0</v>
      </c>
      <c r="AJ7" s="418">
        <f aca="true" t="shared" si="32" ref="AJ7:AJ8">M7*$D7</f>
        <v>0</v>
      </c>
      <c r="AK7" s="419">
        <f aca="true" t="shared" si="33" ref="AK7:AK8">N7*$D7</f>
        <v>145812.42</v>
      </c>
      <c r="AL7" s="419">
        <f aca="true" t="shared" si="34" ref="AL7:AL8">O7*$D7</f>
        <v>196636.07</v>
      </c>
      <c r="AM7" s="419">
        <f aca="true" t="shared" si="35" ref="AM7:AM8">P7*$D7</f>
        <v>57074.8</v>
      </c>
      <c r="AN7" s="419">
        <f aca="true" t="shared" si="36" ref="AN7:AN8">Q7*$D7</f>
        <v>163872.45</v>
      </c>
      <c r="AO7" s="420">
        <f aca="true" t="shared" si="37" ref="AO7:AO8">R7*$D7</f>
        <v>54624.15</v>
      </c>
      <c r="AP7" s="420">
        <f aca="true" t="shared" si="38" ref="AP7:AP8">S7*$D7</f>
        <v>163872.46</v>
      </c>
      <c r="AQ7" s="420">
        <f aca="true" t="shared" si="39" ref="AQ7:AQ8">T7*$D7</f>
        <v>218496.6</v>
      </c>
      <c r="AR7" s="420">
        <f aca="true" t="shared" si="40" ref="AR7:AR8">U7*$D7</f>
        <v>0</v>
      </c>
      <c r="AS7" s="420">
        <f aca="true" t="shared" si="41" ref="AS7:AS8">V7*$D7</f>
        <v>54624.19</v>
      </c>
      <c r="AT7" s="420">
        <f aca="true" t="shared" si="42" ref="AT7:AT8">W7*$D7</f>
        <v>54624.19</v>
      </c>
      <c r="AU7" s="420">
        <f aca="true" t="shared" si="43" ref="AU7:AU8">X7*$D7</f>
        <v>0</v>
      </c>
      <c r="AV7" s="418"/>
      <c r="AW7" s="418"/>
      <c r="AX7" s="418">
        <f aca="true" t="shared" si="44" ref="AX7:BM8">IF(AX$3=$E7,$D7,0)</f>
        <v>0</v>
      </c>
      <c r="AY7" s="418">
        <f t="shared" si="44"/>
        <v>0</v>
      </c>
      <c r="AZ7" s="418">
        <f t="shared" si="44"/>
        <v>0</v>
      </c>
      <c r="BA7" s="418">
        <f t="shared" si="44"/>
        <v>0</v>
      </c>
      <c r="BB7" s="418">
        <f t="shared" si="44"/>
        <v>0</v>
      </c>
      <c r="BC7" s="418">
        <f t="shared" si="44"/>
        <v>0</v>
      </c>
      <c r="BD7" s="418">
        <f t="shared" si="44"/>
        <v>0</v>
      </c>
      <c r="BE7" s="418">
        <f t="shared" si="44"/>
        <v>0</v>
      </c>
      <c r="BF7" s="418">
        <f t="shared" si="44"/>
        <v>1109637.32</v>
      </c>
      <c r="BG7" s="418">
        <f>IF(BG$3=$E7,$D7,0)</f>
        <v>0</v>
      </c>
      <c r="BH7" s="418">
        <f t="shared" si="44"/>
        <v>0</v>
      </c>
      <c r="BI7" s="418">
        <f t="shared" si="44"/>
        <v>0</v>
      </c>
      <c r="BJ7" s="418">
        <f t="shared" si="44"/>
        <v>0</v>
      </c>
      <c r="BK7" s="418">
        <f t="shared" si="44"/>
        <v>0</v>
      </c>
      <c r="BL7" s="418">
        <f t="shared" si="44"/>
        <v>0</v>
      </c>
      <c r="BM7" s="418">
        <f t="shared" si="44"/>
        <v>0</v>
      </c>
      <c r="BN7" s="418">
        <f t="shared" si="18"/>
        <v>0</v>
      </c>
      <c r="BO7" s="418">
        <f t="shared" si="18"/>
        <v>0</v>
      </c>
      <c r="BP7" s="418">
        <f t="shared" si="18"/>
        <v>0</v>
      </c>
      <c r="BQ7" s="418">
        <f t="shared" si="18"/>
        <v>0</v>
      </c>
      <c r="BR7" s="418">
        <f t="shared" si="20"/>
        <v>0.009999999776482582</v>
      </c>
    </row>
    <row r="8" spans="1:70" s="295" customFormat="1" ht="15" customHeight="1">
      <c r="A8" s="411" t="s">
        <v>129</v>
      </c>
      <c r="B8" s="412"/>
      <c r="C8" s="413"/>
      <c r="D8" s="414">
        <v>1185760</v>
      </c>
      <c r="E8" s="415" t="s">
        <v>244</v>
      </c>
      <c r="F8" s="416"/>
      <c r="G8" s="416"/>
      <c r="H8" s="416"/>
      <c r="I8" s="416"/>
      <c r="J8" s="416"/>
      <c r="K8" s="416"/>
      <c r="L8" s="416"/>
      <c r="M8" s="416"/>
      <c r="N8" s="416">
        <v>0</v>
      </c>
      <c r="O8" s="416">
        <v>0.35</v>
      </c>
      <c r="P8" s="416">
        <v>0.05</v>
      </c>
      <c r="Q8" s="416">
        <v>0.12000000000000001</v>
      </c>
      <c r="R8" s="416">
        <v>0.05</v>
      </c>
      <c r="S8" s="416">
        <v>0.12999999999999998</v>
      </c>
      <c r="T8" s="416">
        <v>0.2</v>
      </c>
      <c r="U8" s="416">
        <v>0</v>
      </c>
      <c r="V8" s="416">
        <v>0.05</v>
      </c>
      <c r="W8" s="416">
        <v>0.05</v>
      </c>
      <c r="X8" s="416"/>
      <c r="Y8" s="416"/>
      <c r="Z8" s="417">
        <f t="shared" si="21"/>
        <v>1.0000000000000002</v>
      </c>
      <c r="AA8" s="413"/>
      <c r="AB8" s="413"/>
      <c r="AC8" s="418">
        <f t="shared" si="25"/>
        <v>0</v>
      </c>
      <c r="AD8" s="418">
        <f t="shared" si="26"/>
        <v>0</v>
      </c>
      <c r="AE8" s="418">
        <f t="shared" si="27"/>
        <v>0</v>
      </c>
      <c r="AF8" s="418">
        <f t="shared" si="28"/>
        <v>0</v>
      </c>
      <c r="AG8" s="418">
        <f t="shared" si="29"/>
        <v>0</v>
      </c>
      <c r="AH8" s="418">
        <f t="shared" si="30"/>
        <v>0</v>
      </c>
      <c r="AI8" s="418">
        <f t="shared" si="31"/>
        <v>0</v>
      </c>
      <c r="AJ8" s="418">
        <f t="shared" si="32"/>
        <v>0</v>
      </c>
      <c r="AK8" s="420">
        <f t="shared" si="33"/>
        <v>0</v>
      </c>
      <c r="AL8" s="420">
        <f t="shared" si="34"/>
        <v>415016</v>
      </c>
      <c r="AM8" s="420">
        <f t="shared" si="35"/>
        <v>59288</v>
      </c>
      <c r="AN8" s="420">
        <f t="shared" si="36"/>
        <v>142291.2</v>
      </c>
      <c r="AO8" s="420">
        <f t="shared" si="37"/>
        <v>59288</v>
      </c>
      <c r="AP8" s="420">
        <f t="shared" si="38"/>
        <v>154148.79999999996</v>
      </c>
      <c r="AQ8" s="420">
        <f t="shared" si="39"/>
        <v>237152</v>
      </c>
      <c r="AR8" s="420">
        <f t="shared" si="40"/>
        <v>0</v>
      </c>
      <c r="AS8" s="420">
        <f t="shared" si="41"/>
        <v>59288</v>
      </c>
      <c r="AT8" s="420">
        <f t="shared" si="42"/>
        <v>59288</v>
      </c>
      <c r="AU8" s="418">
        <f t="shared" si="43"/>
        <v>0</v>
      </c>
      <c r="AV8" s="418"/>
      <c r="AW8" s="418"/>
      <c r="AX8" s="418">
        <f t="shared" si="44"/>
        <v>0</v>
      </c>
      <c r="AY8" s="418">
        <f t="shared" si="44"/>
        <v>0</v>
      </c>
      <c r="AZ8" s="418">
        <f t="shared" si="44"/>
        <v>0</v>
      </c>
      <c r="BA8" s="418">
        <f t="shared" si="44"/>
        <v>0</v>
      </c>
      <c r="BB8" s="418">
        <f t="shared" si="44"/>
        <v>0</v>
      </c>
      <c r="BC8" s="418">
        <f t="shared" si="44"/>
        <v>0</v>
      </c>
      <c r="BD8" s="418">
        <f t="shared" si="44"/>
        <v>0</v>
      </c>
      <c r="BE8" s="418">
        <f t="shared" si="44"/>
        <v>0</v>
      </c>
      <c r="BF8" s="418">
        <f t="shared" si="44"/>
        <v>1185760</v>
      </c>
      <c r="BG8" s="418">
        <f t="shared" si="44"/>
        <v>0</v>
      </c>
      <c r="BH8" s="418">
        <f t="shared" si="44"/>
        <v>0</v>
      </c>
      <c r="BI8" s="418">
        <f t="shared" si="44"/>
        <v>0</v>
      </c>
      <c r="BJ8" s="418">
        <f t="shared" si="44"/>
        <v>0</v>
      </c>
      <c r="BK8" s="418">
        <f t="shared" si="44"/>
        <v>0</v>
      </c>
      <c r="BL8" s="418">
        <f t="shared" si="44"/>
        <v>0</v>
      </c>
      <c r="BM8" s="418">
        <f t="shared" si="44"/>
        <v>0</v>
      </c>
      <c r="BN8" s="418">
        <f t="shared" si="18"/>
        <v>0</v>
      </c>
      <c r="BO8" s="418">
        <f t="shared" si="18"/>
        <v>0</v>
      </c>
      <c r="BP8" s="418">
        <f t="shared" si="18"/>
        <v>0</v>
      </c>
      <c r="BQ8" s="418">
        <f t="shared" si="18"/>
        <v>0</v>
      </c>
      <c r="BR8" s="418">
        <f t="shared" si="20"/>
        <v>0</v>
      </c>
    </row>
    <row r="9" spans="1:70" s="295" customFormat="1" ht="15" customHeight="1">
      <c r="A9" s="421" t="s">
        <v>130</v>
      </c>
      <c r="B9" s="422"/>
      <c r="C9" s="423"/>
      <c r="D9" s="424">
        <v>529.46</v>
      </c>
      <c r="E9" s="425" t="s">
        <v>221</v>
      </c>
      <c r="F9" s="426"/>
      <c r="G9" s="426"/>
      <c r="H9" s="426"/>
      <c r="I9" s="426"/>
      <c r="J9" s="426">
        <v>0</v>
      </c>
      <c r="K9" s="426">
        <v>0</v>
      </c>
      <c r="L9" s="426">
        <v>0</v>
      </c>
      <c r="M9" s="426">
        <v>1</v>
      </c>
      <c r="N9" s="426">
        <v>0</v>
      </c>
      <c r="O9" s="426"/>
      <c r="P9" s="426"/>
      <c r="Q9" s="426"/>
      <c r="R9" s="426"/>
      <c r="S9" s="426"/>
      <c r="T9" s="426"/>
      <c r="U9" s="426"/>
      <c r="V9" s="426"/>
      <c r="W9" s="426"/>
      <c r="X9" s="426"/>
      <c r="Y9" s="426"/>
      <c r="Z9" s="427">
        <f t="shared" si="21"/>
        <v>1</v>
      </c>
      <c r="AA9" s="423"/>
      <c r="AB9" s="423"/>
      <c r="AC9" s="428">
        <f aca="true" t="shared" si="45" ref="AC9">F9*$D9</f>
        <v>0</v>
      </c>
      <c r="AD9" s="428">
        <f aca="true" t="shared" si="46" ref="AD9">G9*$D9</f>
        <v>0</v>
      </c>
      <c r="AE9" s="428">
        <f aca="true" t="shared" si="47" ref="AE9">H9*$D9</f>
        <v>0</v>
      </c>
      <c r="AF9" s="428">
        <f aca="true" t="shared" si="48" ref="AF9">I9*$D9</f>
        <v>0</v>
      </c>
      <c r="AG9" s="428">
        <f aca="true" t="shared" si="49" ref="AG9">J9*$D9</f>
        <v>0</v>
      </c>
      <c r="AH9" s="428">
        <f aca="true" t="shared" si="50" ref="AH9">K9*$D9</f>
        <v>0</v>
      </c>
      <c r="AI9" s="428">
        <f aca="true" t="shared" si="51" ref="AI9">L9*$D9</f>
        <v>0</v>
      </c>
      <c r="AJ9" s="428">
        <f aca="true" t="shared" si="52" ref="AJ9">M9*$D9</f>
        <v>529.46</v>
      </c>
      <c r="AK9" s="428">
        <f aca="true" t="shared" si="53" ref="AK9">N9*$D9</f>
        <v>0</v>
      </c>
      <c r="AL9" s="428">
        <f aca="true" t="shared" si="54" ref="AL9">O9*$D9</f>
        <v>0</v>
      </c>
      <c r="AM9" s="428">
        <f aca="true" t="shared" si="55" ref="AM9">P9*$D9</f>
        <v>0</v>
      </c>
      <c r="AN9" s="428">
        <f aca="true" t="shared" si="56" ref="AN9">Q9*$D9</f>
        <v>0</v>
      </c>
      <c r="AO9" s="428">
        <f aca="true" t="shared" si="57" ref="AO9">R9*$D9</f>
        <v>0</v>
      </c>
      <c r="AP9" s="429">
        <f aca="true" t="shared" si="58" ref="AP9">S9*$D9</f>
        <v>0</v>
      </c>
      <c r="AQ9" s="429">
        <f aca="true" t="shared" si="59" ref="AQ9">T9*$D9</f>
        <v>0</v>
      </c>
      <c r="AR9" s="429">
        <f t="shared" si="13"/>
        <v>0</v>
      </c>
      <c r="AS9" s="429">
        <f t="shared" si="14"/>
        <v>0</v>
      </c>
      <c r="AT9" s="429">
        <f t="shared" si="15"/>
        <v>0</v>
      </c>
      <c r="AU9" s="428">
        <f t="shared" si="16"/>
        <v>0</v>
      </c>
      <c r="AV9" s="428"/>
      <c r="AW9" s="428"/>
      <c r="AX9" s="428">
        <f t="shared" si="17"/>
        <v>0</v>
      </c>
      <c r="AY9" s="428">
        <f t="shared" si="17"/>
        <v>0</v>
      </c>
      <c r="AZ9" s="428">
        <f t="shared" si="17"/>
        <v>0</v>
      </c>
      <c r="BA9" s="428">
        <f t="shared" si="17"/>
        <v>0</v>
      </c>
      <c r="BB9" s="428">
        <v>0</v>
      </c>
      <c r="BC9" s="428">
        <v>0</v>
      </c>
      <c r="BD9" s="428">
        <f t="shared" si="17"/>
        <v>0</v>
      </c>
      <c r="BE9" s="428">
        <f t="shared" si="17"/>
        <v>529.46</v>
      </c>
      <c r="BF9" s="428">
        <f t="shared" si="17"/>
        <v>0</v>
      </c>
      <c r="BG9" s="428">
        <f t="shared" si="17"/>
        <v>0</v>
      </c>
      <c r="BH9" s="428">
        <f t="shared" si="17"/>
        <v>0</v>
      </c>
      <c r="BI9" s="428">
        <f t="shared" si="17"/>
        <v>0</v>
      </c>
      <c r="BJ9" s="428">
        <f t="shared" si="17"/>
        <v>0</v>
      </c>
      <c r="BK9" s="428">
        <f t="shared" si="17"/>
        <v>0</v>
      </c>
      <c r="BL9" s="428">
        <f t="shared" si="17"/>
        <v>0</v>
      </c>
      <c r="BM9" s="428">
        <f t="shared" si="17"/>
        <v>0</v>
      </c>
      <c r="BN9" s="428">
        <f t="shared" si="18"/>
        <v>0</v>
      </c>
      <c r="BO9" s="428">
        <f t="shared" si="18"/>
        <v>0</v>
      </c>
      <c r="BP9" s="428">
        <f t="shared" si="18"/>
        <v>0</v>
      </c>
      <c r="BQ9" s="428">
        <f t="shared" si="18"/>
        <v>0</v>
      </c>
      <c r="BR9" s="418">
        <f t="shared" si="20"/>
        <v>0</v>
      </c>
    </row>
    <row r="10" spans="1:70" ht="15" customHeight="1">
      <c r="A10" s="377" t="s">
        <v>131</v>
      </c>
      <c r="B10" s="377"/>
      <c r="C10" s="378"/>
      <c r="D10" s="430">
        <v>2329506.84</v>
      </c>
      <c r="E10" s="381" t="s">
        <v>169</v>
      </c>
      <c r="F10" s="382">
        <v>0</v>
      </c>
      <c r="G10" s="382">
        <v>0</v>
      </c>
      <c r="H10" s="382">
        <v>0</v>
      </c>
      <c r="I10" s="382">
        <v>0</v>
      </c>
      <c r="J10" s="382">
        <v>0</v>
      </c>
      <c r="K10" s="382">
        <v>0</v>
      </c>
      <c r="L10" s="383">
        <v>0.059999999828289845</v>
      </c>
      <c r="M10" s="382">
        <v>0.020000001373681308</v>
      </c>
      <c r="N10" s="382">
        <v>0.08000000120197115</v>
      </c>
      <c r="O10" s="382">
        <v>0.1100000075552472</v>
      </c>
      <c r="P10" s="382">
        <v>0.140000001030261</v>
      </c>
      <c r="Q10" s="382">
        <v>0</v>
      </c>
      <c r="R10" s="382">
        <v>0.13000000463617442</v>
      </c>
      <c r="S10" s="382">
        <v>0.10000000257565246</v>
      </c>
      <c r="T10" s="382">
        <v>0.10000000257565246</v>
      </c>
      <c r="U10" s="382">
        <v>0.2599999792230702</v>
      </c>
      <c r="V10" s="382">
        <f>1-(U10+T10+S10+R10+Q10+P10+O10+N10+M10+L10+K10)</f>
        <v>0</v>
      </c>
      <c r="W10" s="382">
        <v>0</v>
      </c>
      <c r="X10" s="382">
        <v>0</v>
      </c>
      <c r="Y10" s="382"/>
      <c r="Z10" s="383">
        <f t="shared" si="21"/>
        <v>1</v>
      </c>
      <c r="AA10" s="378"/>
      <c r="AB10" s="378"/>
      <c r="AC10" s="431">
        <f t="shared" si="0"/>
        <v>0</v>
      </c>
      <c r="AD10" s="431">
        <f t="shared" si="1"/>
        <v>0</v>
      </c>
      <c r="AE10" s="431">
        <f t="shared" si="2"/>
        <v>0</v>
      </c>
      <c r="AF10" s="431">
        <f t="shared" si="3"/>
        <v>0</v>
      </c>
      <c r="AG10" s="431">
        <f>J10*$D10</f>
        <v>0</v>
      </c>
      <c r="AH10" s="431">
        <f t="shared" si="22"/>
        <v>0</v>
      </c>
      <c r="AI10" s="431">
        <f t="shared" si="23"/>
        <v>139770.41</v>
      </c>
      <c r="AJ10" s="431">
        <f t="shared" si="24"/>
        <v>46590.14</v>
      </c>
      <c r="AK10" s="431">
        <f>N10*$D10</f>
        <v>186360.55</v>
      </c>
      <c r="AL10" s="431">
        <f t="shared" si="19"/>
        <v>256245.77000000002</v>
      </c>
      <c r="AM10" s="431">
        <f t="shared" si="8"/>
        <v>326130.96</v>
      </c>
      <c r="AN10" s="431">
        <f t="shared" si="9"/>
        <v>0</v>
      </c>
      <c r="AO10" s="431">
        <f t="shared" si="10"/>
        <v>302835.9</v>
      </c>
      <c r="AP10" s="431">
        <f t="shared" si="11"/>
        <v>232950.69</v>
      </c>
      <c r="AQ10" s="431">
        <f t="shared" si="12"/>
        <v>232950.69</v>
      </c>
      <c r="AR10" s="431">
        <f t="shared" si="13"/>
        <v>605671.73</v>
      </c>
      <c r="AS10" s="431">
        <f t="shared" si="14"/>
        <v>0</v>
      </c>
      <c r="AT10" s="431">
        <f t="shared" si="15"/>
        <v>0</v>
      </c>
      <c r="AU10" s="431">
        <f t="shared" si="16"/>
        <v>0</v>
      </c>
      <c r="AV10" s="430"/>
      <c r="AW10" s="379"/>
      <c r="AX10" s="379">
        <f t="shared" si="17"/>
        <v>0</v>
      </c>
      <c r="AY10" s="379">
        <f t="shared" si="17"/>
        <v>0</v>
      </c>
      <c r="AZ10" s="379">
        <f t="shared" si="17"/>
        <v>0</v>
      </c>
      <c r="BA10" s="379">
        <f t="shared" si="17"/>
        <v>0</v>
      </c>
      <c r="BB10" s="379">
        <f t="shared" si="17"/>
        <v>0</v>
      </c>
      <c r="BC10" s="379">
        <f t="shared" si="17"/>
        <v>2329506.84</v>
      </c>
      <c r="BD10" s="379">
        <f t="shared" si="17"/>
        <v>0</v>
      </c>
      <c r="BE10" s="379">
        <f t="shared" si="17"/>
        <v>0</v>
      </c>
      <c r="BF10" s="379">
        <f t="shared" si="17"/>
        <v>0</v>
      </c>
      <c r="BG10" s="379">
        <f t="shared" si="17"/>
        <v>0</v>
      </c>
      <c r="BH10" s="379">
        <f t="shared" si="17"/>
        <v>0</v>
      </c>
      <c r="BI10" s="379">
        <f t="shared" si="17"/>
        <v>0</v>
      </c>
      <c r="BJ10" s="379">
        <f t="shared" si="17"/>
        <v>0</v>
      </c>
      <c r="BK10" s="379">
        <f t="shared" si="17"/>
        <v>0</v>
      </c>
      <c r="BL10" s="379">
        <f t="shared" si="17"/>
        <v>0</v>
      </c>
      <c r="BM10" s="379">
        <f t="shared" si="17"/>
        <v>0</v>
      </c>
      <c r="BN10" s="379">
        <f t="shared" si="18"/>
        <v>0</v>
      </c>
      <c r="BO10" s="379">
        <f t="shared" si="18"/>
        <v>0</v>
      </c>
      <c r="BP10" s="379">
        <f t="shared" si="18"/>
        <v>0</v>
      </c>
      <c r="BQ10" s="379">
        <f t="shared" si="18"/>
        <v>0</v>
      </c>
      <c r="BR10" s="380">
        <f t="shared" si="20"/>
        <v>0</v>
      </c>
    </row>
    <row r="11" spans="1:70" s="295" customFormat="1" ht="15" customHeight="1">
      <c r="A11" s="377" t="s">
        <v>131</v>
      </c>
      <c r="B11" s="377"/>
      <c r="C11" s="378"/>
      <c r="D11" s="430">
        <v>1200000</v>
      </c>
      <c r="E11" s="381" t="s">
        <v>244</v>
      </c>
      <c r="F11" s="384"/>
      <c r="G11" s="384"/>
      <c r="H11" s="384"/>
      <c r="I11" s="384"/>
      <c r="J11" s="384"/>
      <c r="K11" s="382"/>
      <c r="L11" s="382"/>
      <c r="M11" s="382"/>
      <c r="N11" s="382"/>
      <c r="O11" s="382">
        <v>0.1</v>
      </c>
      <c r="P11" s="382">
        <v>0.04</v>
      </c>
      <c r="Q11" s="382">
        <v>0.14</v>
      </c>
      <c r="R11" s="382">
        <v>0.1</v>
      </c>
      <c r="S11" s="382">
        <v>0.2</v>
      </c>
      <c r="T11" s="382">
        <v>0.19</v>
      </c>
      <c r="U11" s="382">
        <v>0.18</v>
      </c>
      <c r="V11" s="444">
        <v>0.05</v>
      </c>
      <c r="W11" s="382"/>
      <c r="X11" s="382"/>
      <c r="Y11" s="382"/>
      <c r="Z11" s="383">
        <f>SUM(F11:X11)</f>
        <v>1</v>
      </c>
      <c r="AA11" s="378"/>
      <c r="AB11" s="378"/>
      <c r="AC11" s="431">
        <f>F11*$D11</f>
        <v>0</v>
      </c>
      <c r="AD11" s="431">
        <f>G11*$D11</f>
        <v>0</v>
      </c>
      <c r="AE11" s="431">
        <f>H11*$D11</f>
        <v>0</v>
      </c>
      <c r="AF11" s="431">
        <f>I11*$D11</f>
        <v>0</v>
      </c>
      <c r="AG11" s="431">
        <f>J11*$D11</f>
        <v>0</v>
      </c>
      <c r="AH11" s="431">
        <f>K11*$D11</f>
        <v>0</v>
      </c>
      <c r="AI11" s="431">
        <f>L11*$D11</f>
        <v>0</v>
      </c>
      <c r="AJ11" s="431">
        <f>M11*$D11</f>
        <v>0</v>
      </c>
      <c r="AK11" s="431">
        <f>N11*$D11</f>
        <v>0</v>
      </c>
      <c r="AL11" s="431">
        <f aca="true" t="shared" si="60" ref="AL11:AU11">O11*$D11</f>
        <v>120000</v>
      </c>
      <c r="AM11" s="431">
        <f t="shared" si="60"/>
        <v>48000</v>
      </c>
      <c r="AN11" s="431">
        <f t="shared" si="60"/>
        <v>168000.00000000003</v>
      </c>
      <c r="AO11" s="431">
        <f t="shared" si="60"/>
        <v>120000</v>
      </c>
      <c r="AP11" s="431">
        <f t="shared" si="60"/>
        <v>240000</v>
      </c>
      <c r="AQ11" s="431">
        <f t="shared" si="60"/>
        <v>228000</v>
      </c>
      <c r="AR11" s="431">
        <f t="shared" si="60"/>
        <v>216000</v>
      </c>
      <c r="AS11" s="431">
        <f t="shared" si="60"/>
        <v>60000</v>
      </c>
      <c r="AT11" s="431">
        <f t="shared" si="60"/>
        <v>0</v>
      </c>
      <c r="AU11" s="431">
        <f t="shared" si="60"/>
        <v>0</v>
      </c>
      <c r="AV11" s="430"/>
      <c r="AW11" s="379"/>
      <c r="AX11" s="379">
        <f aca="true" t="shared" si="61" ref="AX11:BQ11">IF(AX$3=$E11,$D11,0)</f>
        <v>0</v>
      </c>
      <c r="AY11" s="379">
        <f t="shared" si="61"/>
        <v>0</v>
      </c>
      <c r="AZ11" s="379">
        <f t="shared" si="61"/>
        <v>0</v>
      </c>
      <c r="BA11" s="379">
        <f t="shared" si="61"/>
        <v>0</v>
      </c>
      <c r="BB11" s="379">
        <f t="shared" si="61"/>
        <v>0</v>
      </c>
      <c r="BC11" s="379">
        <f t="shared" si="61"/>
        <v>0</v>
      </c>
      <c r="BD11" s="379">
        <f t="shared" si="61"/>
        <v>0</v>
      </c>
      <c r="BE11" s="379">
        <f t="shared" si="61"/>
        <v>0</v>
      </c>
      <c r="BF11" s="379">
        <f t="shared" si="61"/>
        <v>1200000</v>
      </c>
      <c r="BG11" s="379">
        <f t="shared" si="61"/>
        <v>0</v>
      </c>
      <c r="BH11" s="379">
        <f t="shared" si="61"/>
        <v>0</v>
      </c>
      <c r="BI11" s="379">
        <f t="shared" si="61"/>
        <v>0</v>
      </c>
      <c r="BJ11" s="379">
        <f t="shared" si="61"/>
        <v>0</v>
      </c>
      <c r="BK11" s="379">
        <f t="shared" si="61"/>
        <v>0</v>
      </c>
      <c r="BL11" s="379">
        <f t="shared" si="61"/>
        <v>0</v>
      </c>
      <c r="BM11" s="379">
        <f t="shared" si="61"/>
        <v>0</v>
      </c>
      <c r="BN11" s="379">
        <f t="shared" si="61"/>
        <v>0</v>
      </c>
      <c r="BO11" s="379">
        <f t="shared" si="61"/>
        <v>0</v>
      </c>
      <c r="BP11" s="379">
        <f t="shared" si="61"/>
        <v>0</v>
      </c>
      <c r="BQ11" s="379">
        <f t="shared" si="61"/>
        <v>0</v>
      </c>
      <c r="BR11" s="380">
        <f t="shared" si="20"/>
        <v>0</v>
      </c>
    </row>
    <row r="12" spans="1:70" s="295" customFormat="1" ht="15" customHeight="1">
      <c r="A12" s="377" t="s">
        <v>131</v>
      </c>
      <c r="B12" s="377"/>
      <c r="C12" s="378"/>
      <c r="D12" s="430">
        <v>150000</v>
      </c>
      <c r="E12" s="381" t="s">
        <v>213</v>
      </c>
      <c r="F12" s="384"/>
      <c r="G12" s="384"/>
      <c r="H12" s="384"/>
      <c r="I12" s="384"/>
      <c r="J12" s="384"/>
      <c r="K12" s="382">
        <v>0</v>
      </c>
      <c r="L12" s="383">
        <v>0</v>
      </c>
      <c r="M12" s="382">
        <v>0</v>
      </c>
      <c r="N12" s="382">
        <v>0</v>
      </c>
      <c r="O12" s="382">
        <v>0</v>
      </c>
      <c r="P12" s="382">
        <v>0</v>
      </c>
      <c r="Q12" s="382">
        <v>0</v>
      </c>
      <c r="R12" s="382">
        <v>0</v>
      </c>
      <c r="S12" s="382">
        <v>0</v>
      </c>
      <c r="T12" s="382">
        <v>0.75855241821187</v>
      </c>
      <c r="U12" s="382">
        <v>0.1860164521623591</v>
      </c>
      <c r="V12" s="382"/>
      <c r="W12" s="382">
        <v>0.055431129625770965</v>
      </c>
      <c r="X12" s="382"/>
      <c r="Y12" s="382"/>
      <c r="Z12" s="383">
        <f t="shared" si="21"/>
        <v>1</v>
      </c>
      <c r="AA12" s="378"/>
      <c r="AB12" s="378"/>
      <c r="AC12" s="431">
        <f aca="true" t="shared" si="62" ref="AC12:AC14">F12*$D12</f>
        <v>0</v>
      </c>
      <c r="AD12" s="431">
        <f aca="true" t="shared" si="63" ref="AD12:AD14">G12*$D12</f>
        <v>0</v>
      </c>
      <c r="AE12" s="431">
        <f aca="true" t="shared" si="64" ref="AE12:AE14">H12*$D12</f>
        <v>0</v>
      </c>
      <c r="AF12" s="431">
        <f aca="true" t="shared" si="65" ref="AF12:AF14">I12*$D12</f>
        <v>0</v>
      </c>
      <c r="AG12" s="431">
        <f>J12*$D12</f>
        <v>0</v>
      </c>
      <c r="AH12" s="431">
        <f aca="true" t="shared" si="66" ref="AH12:AH14">K12*$D12</f>
        <v>0</v>
      </c>
      <c r="AI12" s="431">
        <f aca="true" t="shared" si="67" ref="AI12:AI14">L12*$D12</f>
        <v>0</v>
      </c>
      <c r="AJ12" s="431">
        <f aca="true" t="shared" si="68" ref="AJ12:AJ14">M12*$D12</f>
        <v>0</v>
      </c>
      <c r="AK12" s="431">
        <f aca="true" t="shared" si="69" ref="AK12:AK14">N12*$D12</f>
        <v>0</v>
      </c>
      <c r="AL12" s="431">
        <f aca="true" t="shared" si="70" ref="AL12:AL14">O12*$D12</f>
        <v>0</v>
      </c>
      <c r="AM12" s="431">
        <f aca="true" t="shared" si="71" ref="AM12:AM14">P12*$D12</f>
        <v>0</v>
      </c>
      <c r="AN12" s="431">
        <f aca="true" t="shared" si="72" ref="AN12:AN14">Q12*$D12</f>
        <v>0</v>
      </c>
      <c r="AO12" s="431">
        <f aca="true" t="shared" si="73" ref="AO12:AO14">R12*$D12</f>
        <v>0</v>
      </c>
      <c r="AP12" s="431">
        <f aca="true" t="shared" si="74" ref="AP12:AP14">S12*$D12</f>
        <v>0</v>
      </c>
      <c r="AQ12" s="431">
        <f aca="true" t="shared" si="75" ref="AQ12:AQ14">T12*$D12</f>
        <v>113782.86273178051</v>
      </c>
      <c r="AR12" s="431">
        <f aca="true" t="shared" si="76" ref="AR12:AR14">U12*$D12</f>
        <v>27902.467824353866</v>
      </c>
      <c r="AS12" s="431">
        <f aca="true" t="shared" si="77" ref="AS12:AS14">V12*$D12</f>
        <v>0</v>
      </c>
      <c r="AT12" s="431">
        <f aca="true" t="shared" si="78" ref="AT12:AT14">W12*$D12</f>
        <v>8314.669443865645</v>
      </c>
      <c r="AU12" s="431">
        <f aca="true" t="shared" si="79" ref="AU12:AU14">X12*$D12</f>
        <v>0</v>
      </c>
      <c r="AV12" s="430"/>
      <c r="AW12" s="379"/>
      <c r="AX12" s="379">
        <f aca="true" t="shared" si="80" ref="AX12:BQ36">IF(AX$3=$E12,$D12,0)</f>
        <v>0</v>
      </c>
      <c r="AY12" s="379">
        <f t="shared" si="80"/>
        <v>0</v>
      </c>
      <c r="AZ12" s="379">
        <f t="shared" si="80"/>
        <v>0</v>
      </c>
      <c r="BA12" s="379">
        <f t="shared" si="80"/>
        <v>0</v>
      </c>
      <c r="BB12" s="379">
        <f t="shared" si="80"/>
        <v>0</v>
      </c>
      <c r="BC12" s="379">
        <f t="shared" si="80"/>
        <v>0</v>
      </c>
      <c r="BD12" s="379">
        <f t="shared" si="80"/>
        <v>0</v>
      </c>
      <c r="BE12" s="379">
        <f t="shared" si="80"/>
        <v>0</v>
      </c>
      <c r="BF12" s="379">
        <f t="shared" si="80"/>
        <v>0</v>
      </c>
      <c r="BG12" s="379">
        <f t="shared" si="80"/>
        <v>0</v>
      </c>
      <c r="BH12" s="379">
        <f t="shared" si="80"/>
        <v>0</v>
      </c>
      <c r="BI12" s="379">
        <f t="shared" si="80"/>
        <v>0</v>
      </c>
      <c r="BJ12" s="379">
        <f t="shared" si="80"/>
        <v>0</v>
      </c>
      <c r="BK12" s="379">
        <f t="shared" si="80"/>
        <v>0</v>
      </c>
      <c r="BL12" s="379">
        <f t="shared" si="80"/>
        <v>150000</v>
      </c>
      <c r="BM12" s="379">
        <f t="shared" si="80"/>
        <v>0</v>
      </c>
      <c r="BN12" s="379">
        <f t="shared" si="80"/>
        <v>0</v>
      </c>
      <c r="BO12" s="379">
        <f t="shared" si="80"/>
        <v>0</v>
      </c>
      <c r="BP12" s="379">
        <f t="shared" si="80"/>
        <v>0</v>
      </c>
      <c r="BQ12" s="379">
        <f t="shared" si="80"/>
        <v>0</v>
      </c>
      <c r="BR12" s="380">
        <f t="shared" si="20"/>
        <v>0</v>
      </c>
    </row>
    <row r="13" spans="1:70" s="295" customFormat="1" ht="15" customHeight="1">
      <c r="A13" s="377" t="s">
        <v>131</v>
      </c>
      <c r="B13" s="377"/>
      <c r="C13" s="378"/>
      <c r="D13" s="430">
        <v>4815.45</v>
      </c>
      <c r="E13" s="381" t="s">
        <v>263</v>
      </c>
      <c r="F13" s="384"/>
      <c r="G13" s="384"/>
      <c r="H13" s="384"/>
      <c r="I13" s="384"/>
      <c r="J13" s="384"/>
      <c r="K13" s="382">
        <v>0</v>
      </c>
      <c r="L13" s="383">
        <v>0</v>
      </c>
      <c r="M13" s="382">
        <v>0</v>
      </c>
      <c r="N13" s="382">
        <v>0</v>
      </c>
      <c r="O13" s="382">
        <v>0</v>
      </c>
      <c r="P13" s="382">
        <v>0</v>
      </c>
      <c r="Q13" s="382">
        <v>0</v>
      </c>
      <c r="R13" s="382">
        <v>1</v>
      </c>
      <c r="S13" s="382">
        <v>0</v>
      </c>
      <c r="T13" s="382">
        <v>0</v>
      </c>
      <c r="U13" s="382"/>
      <c r="V13" s="382"/>
      <c r="W13" s="382"/>
      <c r="X13" s="382"/>
      <c r="Y13" s="382"/>
      <c r="Z13" s="383">
        <f aca="true" t="shared" si="81" ref="Z13">SUM(F13:X13)</f>
        <v>1</v>
      </c>
      <c r="AA13" s="378"/>
      <c r="AB13" s="378"/>
      <c r="AC13" s="431">
        <f aca="true" t="shared" si="82" ref="AC13">F13*$D13</f>
        <v>0</v>
      </c>
      <c r="AD13" s="431">
        <f aca="true" t="shared" si="83" ref="AD13">G13*$D13</f>
        <v>0</v>
      </c>
      <c r="AE13" s="431">
        <f aca="true" t="shared" si="84" ref="AE13">H13*$D13</f>
        <v>0</v>
      </c>
      <c r="AF13" s="431">
        <f aca="true" t="shared" si="85" ref="AF13">I13*$D13</f>
        <v>0</v>
      </c>
      <c r="AG13" s="431">
        <f>J13*$D13</f>
        <v>0</v>
      </c>
      <c r="AH13" s="431">
        <f aca="true" t="shared" si="86" ref="AH13">K13*$D13</f>
        <v>0</v>
      </c>
      <c r="AI13" s="431">
        <f aca="true" t="shared" si="87" ref="AI13">L13*$D13</f>
        <v>0</v>
      </c>
      <c r="AJ13" s="431">
        <f aca="true" t="shared" si="88" ref="AJ13">M13*$D13</f>
        <v>0</v>
      </c>
      <c r="AK13" s="431">
        <f aca="true" t="shared" si="89" ref="AK13">N13*$D13</f>
        <v>0</v>
      </c>
      <c r="AL13" s="431">
        <f aca="true" t="shared" si="90" ref="AL13">O13*$D13</f>
        <v>0</v>
      </c>
      <c r="AM13" s="431">
        <f aca="true" t="shared" si="91" ref="AM13">P13*$D13</f>
        <v>0</v>
      </c>
      <c r="AN13" s="431">
        <f aca="true" t="shared" si="92" ref="AN13">Q13*$D13</f>
        <v>0</v>
      </c>
      <c r="AO13" s="431">
        <f aca="true" t="shared" si="93" ref="AO13">R13*$D13</f>
        <v>4815.45</v>
      </c>
      <c r="AP13" s="431">
        <f aca="true" t="shared" si="94" ref="AP13">S13*$D13</f>
        <v>0</v>
      </c>
      <c r="AQ13" s="431">
        <f aca="true" t="shared" si="95" ref="AQ13">T13*$D13</f>
        <v>0</v>
      </c>
      <c r="AR13" s="431">
        <f aca="true" t="shared" si="96" ref="AR13">U13*$D13</f>
        <v>0</v>
      </c>
      <c r="AS13" s="431">
        <f aca="true" t="shared" si="97" ref="AS13">V13*$D13</f>
        <v>0</v>
      </c>
      <c r="AT13" s="431">
        <f aca="true" t="shared" si="98" ref="AT13">W13*$D13</f>
        <v>0</v>
      </c>
      <c r="AU13" s="431">
        <f aca="true" t="shared" si="99" ref="AU13">X13*$D13</f>
        <v>0</v>
      </c>
      <c r="AV13" s="430"/>
      <c r="AW13" s="379"/>
      <c r="AX13" s="379">
        <f t="shared" si="80"/>
        <v>0</v>
      </c>
      <c r="AY13" s="379">
        <f t="shared" si="80"/>
        <v>0</v>
      </c>
      <c r="AZ13" s="379">
        <f t="shared" si="80"/>
        <v>0</v>
      </c>
      <c r="BA13" s="379">
        <f t="shared" si="80"/>
        <v>0</v>
      </c>
      <c r="BB13" s="379">
        <f t="shared" si="80"/>
        <v>0</v>
      </c>
      <c r="BC13" s="379">
        <f t="shared" si="80"/>
        <v>0</v>
      </c>
      <c r="BD13" s="379">
        <f t="shared" si="80"/>
        <v>0</v>
      </c>
      <c r="BE13" s="379">
        <f t="shared" si="80"/>
        <v>0</v>
      </c>
      <c r="BF13" s="379">
        <f t="shared" si="80"/>
        <v>0</v>
      </c>
      <c r="BG13" s="379">
        <f t="shared" si="80"/>
        <v>0</v>
      </c>
      <c r="BH13" s="379">
        <f t="shared" si="80"/>
        <v>0</v>
      </c>
      <c r="BI13" s="379">
        <f t="shared" si="80"/>
        <v>0</v>
      </c>
      <c r="BJ13" s="431">
        <f t="shared" si="80"/>
        <v>4815.45</v>
      </c>
      <c r="BK13" s="379">
        <f t="shared" si="80"/>
        <v>0</v>
      </c>
      <c r="BL13" s="379">
        <f t="shared" si="80"/>
        <v>0</v>
      </c>
      <c r="BM13" s="379">
        <f t="shared" si="80"/>
        <v>0</v>
      </c>
      <c r="BN13" s="379">
        <f t="shared" si="80"/>
        <v>0</v>
      </c>
      <c r="BO13" s="379">
        <f t="shared" si="80"/>
        <v>0</v>
      </c>
      <c r="BP13" s="379">
        <f t="shared" si="80"/>
        <v>0</v>
      </c>
      <c r="BQ13" s="379">
        <f t="shared" si="80"/>
        <v>0</v>
      </c>
      <c r="BR13" s="380">
        <f t="shared" si="20"/>
        <v>0</v>
      </c>
    </row>
    <row r="14" spans="1:70" s="295" customFormat="1" ht="15" customHeight="1">
      <c r="A14" s="377" t="s">
        <v>131</v>
      </c>
      <c r="B14" s="377"/>
      <c r="C14" s="378"/>
      <c r="D14" s="445">
        <v>242045.23</v>
      </c>
      <c r="E14" s="381" t="s">
        <v>263</v>
      </c>
      <c r="F14" s="384"/>
      <c r="G14" s="384"/>
      <c r="H14" s="384"/>
      <c r="I14" s="384"/>
      <c r="J14" s="384"/>
      <c r="K14" s="382"/>
      <c r="L14" s="382"/>
      <c r="M14" s="382"/>
      <c r="N14" s="382">
        <v>0</v>
      </c>
      <c r="O14" s="382">
        <v>0</v>
      </c>
      <c r="P14" s="382">
        <v>0</v>
      </c>
      <c r="Q14" s="382">
        <v>0</v>
      </c>
      <c r="R14" s="382">
        <v>0.16121639744770017</v>
      </c>
      <c r="S14" s="382">
        <v>0.390108080212942</v>
      </c>
      <c r="T14" s="382">
        <v>0.1398488208174976</v>
      </c>
      <c r="U14" s="382">
        <v>0.1398488208174976</v>
      </c>
      <c r="V14" s="444">
        <v>0.07574489280371276</v>
      </c>
      <c r="W14" s="382">
        <v>0.09323257475472663</v>
      </c>
      <c r="X14" s="382"/>
      <c r="Y14" s="382"/>
      <c r="Z14" s="383">
        <f t="shared" si="21"/>
        <v>0.9999995868540767</v>
      </c>
      <c r="AA14" s="378"/>
      <c r="AB14" s="378"/>
      <c r="AC14" s="431">
        <f t="shared" si="62"/>
        <v>0</v>
      </c>
      <c r="AD14" s="431">
        <f t="shared" si="63"/>
        <v>0</v>
      </c>
      <c r="AE14" s="431">
        <f t="shared" si="64"/>
        <v>0</v>
      </c>
      <c r="AF14" s="431">
        <f t="shared" si="65"/>
        <v>0</v>
      </c>
      <c r="AG14" s="431">
        <f aca="true" t="shared" si="100" ref="AG14">J14*$D14</f>
        <v>0</v>
      </c>
      <c r="AH14" s="431">
        <f t="shared" si="66"/>
        <v>0</v>
      </c>
      <c r="AI14" s="431">
        <f t="shared" si="67"/>
        <v>0</v>
      </c>
      <c r="AJ14" s="431">
        <f t="shared" si="68"/>
        <v>0</v>
      </c>
      <c r="AK14" s="431">
        <f t="shared" si="69"/>
        <v>0</v>
      </c>
      <c r="AL14" s="431">
        <f t="shared" si="70"/>
        <v>0</v>
      </c>
      <c r="AM14" s="431">
        <f t="shared" si="71"/>
        <v>0</v>
      </c>
      <c r="AN14" s="431">
        <f t="shared" si="72"/>
        <v>0</v>
      </c>
      <c r="AO14" s="431">
        <f t="shared" si="73"/>
        <v>39021.66</v>
      </c>
      <c r="AP14" s="431">
        <f t="shared" si="74"/>
        <v>94423.8</v>
      </c>
      <c r="AQ14" s="431">
        <f t="shared" si="75"/>
        <v>33849.74</v>
      </c>
      <c r="AR14" s="431">
        <f t="shared" si="76"/>
        <v>33849.74</v>
      </c>
      <c r="AS14" s="431">
        <f t="shared" si="77"/>
        <v>18333.69</v>
      </c>
      <c r="AT14" s="431">
        <f t="shared" si="78"/>
        <v>22566.5</v>
      </c>
      <c r="AU14" s="431">
        <f t="shared" si="79"/>
        <v>0</v>
      </c>
      <c r="AV14" s="430"/>
      <c r="AW14" s="379"/>
      <c r="AX14" s="379">
        <f aca="true" t="shared" si="101" ref="AX14:BN45">IF(AX$3=$E14,$D14,0)</f>
        <v>0</v>
      </c>
      <c r="AY14" s="379">
        <f t="shared" si="101"/>
        <v>0</v>
      </c>
      <c r="AZ14" s="379">
        <f t="shared" si="101"/>
        <v>0</v>
      </c>
      <c r="BA14" s="379">
        <f t="shared" si="101"/>
        <v>0</v>
      </c>
      <c r="BB14" s="379">
        <f t="shared" si="101"/>
        <v>0</v>
      </c>
      <c r="BC14" s="379">
        <f t="shared" si="101"/>
        <v>0</v>
      </c>
      <c r="BD14" s="379">
        <f t="shared" si="101"/>
        <v>0</v>
      </c>
      <c r="BE14" s="379">
        <f t="shared" si="101"/>
        <v>0</v>
      </c>
      <c r="BF14" s="379">
        <f t="shared" si="101"/>
        <v>0</v>
      </c>
      <c r="BG14" s="379">
        <f t="shared" si="101"/>
        <v>0</v>
      </c>
      <c r="BH14" s="379">
        <f t="shared" si="101"/>
        <v>0</v>
      </c>
      <c r="BI14" s="379">
        <f t="shared" si="101"/>
        <v>0</v>
      </c>
      <c r="BJ14" s="431">
        <f t="shared" si="101"/>
        <v>242045.23</v>
      </c>
      <c r="BK14" s="379">
        <f t="shared" si="101"/>
        <v>0</v>
      </c>
      <c r="BL14" s="379">
        <f t="shared" si="101"/>
        <v>0</v>
      </c>
      <c r="BM14" s="379">
        <f t="shared" si="101"/>
        <v>0</v>
      </c>
      <c r="BN14" s="379">
        <f t="shared" si="101"/>
        <v>0</v>
      </c>
      <c r="BO14" s="379">
        <f t="shared" si="80"/>
        <v>0</v>
      </c>
      <c r="BP14" s="379">
        <f t="shared" si="80"/>
        <v>0</v>
      </c>
      <c r="BQ14" s="379">
        <f t="shared" si="80"/>
        <v>0</v>
      </c>
      <c r="BR14" s="380">
        <f t="shared" si="20"/>
        <v>-0.10000000000582077</v>
      </c>
    </row>
    <row r="15" spans="1:70" s="295" customFormat="1" ht="15" customHeight="1">
      <c r="A15" s="377" t="s">
        <v>131</v>
      </c>
      <c r="B15" s="377"/>
      <c r="C15" s="378"/>
      <c r="D15" s="430">
        <v>49920</v>
      </c>
      <c r="E15" s="381" t="s">
        <v>263</v>
      </c>
      <c r="F15" s="384"/>
      <c r="G15" s="384"/>
      <c r="H15" s="384"/>
      <c r="I15" s="384"/>
      <c r="J15" s="384"/>
      <c r="K15" s="382"/>
      <c r="L15" s="382"/>
      <c r="M15" s="382"/>
      <c r="N15" s="382">
        <v>0</v>
      </c>
      <c r="O15" s="382">
        <v>0</v>
      </c>
      <c r="P15" s="382">
        <v>0</v>
      </c>
      <c r="Q15" s="382">
        <v>0</v>
      </c>
      <c r="R15" s="382">
        <v>0</v>
      </c>
      <c r="S15" s="382">
        <v>0.25</v>
      </c>
      <c r="T15" s="382">
        <v>0.25</v>
      </c>
      <c r="U15" s="382">
        <v>0.25</v>
      </c>
      <c r="V15" s="382">
        <v>0.25</v>
      </c>
      <c r="W15" s="382">
        <v>0</v>
      </c>
      <c r="X15" s="382"/>
      <c r="Y15" s="382"/>
      <c r="Z15" s="383">
        <f t="shared" si="21"/>
        <v>1</v>
      </c>
      <c r="AA15" s="378"/>
      <c r="AB15" s="378"/>
      <c r="AC15" s="431">
        <f aca="true" t="shared" si="102" ref="AC15">F15*$D15</f>
        <v>0</v>
      </c>
      <c r="AD15" s="431">
        <f aca="true" t="shared" si="103" ref="AD15">G15*$D15</f>
        <v>0</v>
      </c>
      <c r="AE15" s="431">
        <f aca="true" t="shared" si="104" ref="AE15">H15*$D15</f>
        <v>0</v>
      </c>
      <c r="AF15" s="431">
        <f aca="true" t="shared" si="105" ref="AF15">I15*$D15</f>
        <v>0</v>
      </c>
      <c r="AG15" s="431">
        <f aca="true" t="shared" si="106" ref="AG15">J15*$D15</f>
        <v>0</v>
      </c>
      <c r="AH15" s="431">
        <f aca="true" t="shared" si="107" ref="AH15">K15*$D15</f>
        <v>0</v>
      </c>
      <c r="AI15" s="431">
        <f aca="true" t="shared" si="108" ref="AI15">L15*$D15</f>
        <v>0</v>
      </c>
      <c r="AJ15" s="431">
        <f aca="true" t="shared" si="109" ref="AJ15">M15*$D15</f>
        <v>0</v>
      </c>
      <c r="AK15" s="431">
        <f aca="true" t="shared" si="110" ref="AK15">N15*$D15</f>
        <v>0</v>
      </c>
      <c r="AL15" s="431">
        <f aca="true" t="shared" si="111" ref="AL15">O15*$D15</f>
        <v>0</v>
      </c>
      <c r="AM15" s="431">
        <f aca="true" t="shared" si="112" ref="AM15">P15*$D15</f>
        <v>0</v>
      </c>
      <c r="AN15" s="431">
        <f aca="true" t="shared" si="113" ref="AN15">Q15*$D15</f>
        <v>0</v>
      </c>
      <c r="AO15" s="431">
        <f aca="true" t="shared" si="114" ref="AO15">R15*$D15</f>
        <v>0</v>
      </c>
      <c r="AP15" s="431">
        <f aca="true" t="shared" si="115" ref="AP15">S15*$D15</f>
        <v>12480</v>
      </c>
      <c r="AQ15" s="431">
        <f aca="true" t="shared" si="116" ref="AQ15">T15*$D15</f>
        <v>12480</v>
      </c>
      <c r="AR15" s="431">
        <f t="shared" si="13"/>
        <v>12480</v>
      </c>
      <c r="AS15" s="431">
        <f t="shared" si="14"/>
        <v>12480</v>
      </c>
      <c r="AT15" s="431">
        <f t="shared" si="15"/>
        <v>0</v>
      </c>
      <c r="AU15" s="431">
        <f t="shared" si="16"/>
        <v>0</v>
      </c>
      <c r="AV15" s="430"/>
      <c r="AW15" s="379"/>
      <c r="AX15" s="379">
        <f t="shared" si="101"/>
        <v>0</v>
      </c>
      <c r="AY15" s="379">
        <f t="shared" si="101"/>
        <v>0</v>
      </c>
      <c r="AZ15" s="379">
        <f t="shared" si="101"/>
        <v>0</v>
      </c>
      <c r="BA15" s="379">
        <f t="shared" si="101"/>
        <v>0</v>
      </c>
      <c r="BB15" s="379">
        <f t="shared" si="101"/>
        <v>0</v>
      </c>
      <c r="BC15" s="379">
        <f t="shared" si="101"/>
        <v>0</v>
      </c>
      <c r="BD15" s="379">
        <f t="shared" si="101"/>
        <v>0</v>
      </c>
      <c r="BE15" s="379">
        <f t="shared" si="101"/>
        <v>0</v>
      </c>
      <c r="BF15" s="379">
        <f t="shared" si="101"/>
        <v>0</v>
      </c>
      <c r="BG15" s="379">
        <f t="shared" si="101"/>
        <v>0</v>
      </c>
      <c r="BH15" s="379">
        <f t="shared" si="101"/>
        <v>0</v>
      </c>
      <c r="BI15" s="379">
        <f t="shared" si="101"/>
        <v>0</v>
      </c>
      <c r="BJ15" s="431">
        <f t="shared" si="101"/>
        <v>49920</v>
      </c>
      <c r="BK15" s="379">
        <f t="shared" si="101"/>
        <v>0</v>
      </c>
      <c r="BL15" s="379">
        <f t="shared" si="101"/>
        <v>0</v>
      </c>
      <c r="BM15" s="379">
        <f t="shared" si="101"/>
        <v>0</v>
      </c>
      <c r="BN15" s="379">
        <f t="shared" si="101"/>
        <v>0</v>
      </c>
      <c r="BO15" s="379">
        <f t="shared" si="80"/>
        <v>0</v>
      </c>
      <c r="BP15" s="379">
        <f t="shared" si="80"/>
        <v>0</v>
      </c>
      <c r="BQ15" s="379">
        <f t="shared" si="80"/>
        <v>0</v>
      </c>
      <c r="BR15" s="380">
        <f t="shared" si="20"/>
        <v>0</v>
      </c>
    </row>
    <row r="16" spans="1:70" s="295" customFormat="1" ht="15" customHeight="1">
      <c r="A16" s="377" t="s">
        <v>131</v>
      </c>
      <c r="B16" s="377"/>
      <c r="C16" s="378"/>
      <c r="D16" s="430">
        <v>37200</v>
      </c>
      <c r="E16" s="381" t="s">
        <v>263</v>
      </c>
      <c r="F16" s="384"/>
      <c r="G16" s="384"/>
      <c r="H16" s="384"/>
      <c r="I16" s="384"/>
      <c r="J16" s="384"/>
      <c r="K16" s="382"/>
      <c r="L16" s="382"/>
      <c r="M16" s="382"/>
      <c r="N16" s="382">
        <v>0</v>
      </c>
      <c r="O16" s="382">
        <v>0</v>
      </c>
      <c r="P16" s="382">
        <v>0</v>
      </c>
      <c r="Q16" s="382">
        <v>0</v>
      </c>
      <c r="R16" s="382">
        <v>0.08333333333333333</v>
      </c>
      <c r="S16" s="382">
        <v>0.25</v>
      </c>
      <c r="T16" s="382">
        <v>0.25</v>
      </c>
      <c r="U16" s="382">
        <v>0.25</v>
      </c>
      <c r="V16" s="382">
        <v>0.16666666666666666</v>
      </c>
      <c r="W16" s="382"/>
      <c r="X16" s="382"/>
      <c r="Y16" s="382"/>
      <c r="Z16" s="383">
        <f aca="true" t="shared" si="117" ref="Z16">SUM(F16:X16)</f>
        <v>0.9999999999999999</v>
      </c>
      <c r="AA16" s="378"/>
      <c r="AB16" s="378"/>
      <c r="AC16" s="431">
        <f aca="true" t="shared" si="118" ref="AC16">F16*$D16</f>
        <v>0</v>
      </c>
      <c r="AD16" s="431">
        <f aca="true" t="shared" si="119" ref="AD16">G16*$D16</f>
        <v>0</v>
      </c>
      <c r="AE16" s="431">
        <f aca="true" t="shared" si="120" ref="AE16">H16*$D16</f>
        <v>0</v>
      </c>
      <c r="AF16" s="431">
        <f aca="true" t="shared" si="121" ref="AF16">I16*$D16</f>
        <v>0</v>
      </c>
      <c r="AG16" s="431">
        <f aca="true" t="shared" si="122" ref="AG16">J16*$D16</f>
        <v>0</v>
      </c>
      <c r="AH16" s="431">
        <f aca="true" t="shared" si="123" ref="AH16">K16*$D16</f>
        <v>0</v>
      </c>
      <c r="AI16" s="431">
        <f aca="true" t="shared" si="124" ref="AI16">L16*$D16</f>
        <v>0</v>
      </c>
      <c r="AJ16" s="431">
        <f aca="true" t="shared" si="125" ref="AJ16">M16*$D16</f>
        <v>0</v>
      </c>
      <c r="AK16" s="431">
        <f aca="true" t="shared" si="126" ref="AK16">N16*$D16</f>
        <v>0</v>
      </c>
      <c r="AL16" s="431">
        <f aca="true" t="shared" si="127" ref="AL16">O16*$D16</f>
        <v>0</v>
      </c>
      <c r="AM16" s="431">
        <f aca="true" t="shared" si="128" ref="AM16">P16*$D16</f>
        <v>0</v>
      </c>
      <c r="AN16" s="431">
        <f aca="true" t="shared" si="129" ref="AN16">Q16*$D16</f>
        <v>0</v>
      </c>
      <c r="AO16" s="431">
        <f aca="true" t="shared" si="130" ref="AO16">R16*$D16</f>
        <v>3100</v>
      </c>
      <c r="AP16" s="431">
        <f aca="true" t="shared" si="131" ref="AP16">S16*$D16</f>
        <v>9300</v>
      </c>
      <c r="AQ16" s="431">
        <f aca="true" t="shared" si="132" ref="AQ16">T16*$D16</f>
        <v>9300</v>
      </c>
      <c r="AR16" s="431">
        <f aca="true" t="shared" si="133" ref="AR16">U16*$D16</f>
        <v>9300</v>
      </c>
      <c r="AS16" s="431">
        <f aca="true" t="shared" si="134" ref="AS16">V16*$D16</f>
        <v>6200</v>
      </c>
      <c r="AT16" s="431">
        <f aca="true" t="shared" si="135" ref="AT16">W16*$D16</f>
        <v>0</v>
      </c>
      <c r="AU16" s="431">
        <f aca="true" t="shared" si="136" ref="AU16">X16*$D16</f>
        <v>0</v>
      </c>
      <c r="AV16" s="430"/>
      <c r="AW16" s="379"/>
      <c r="AX16" s="379">
        <f t="shared" si="101"/>
        <v>0</v>
      </c>
      <c r="AY16" s="379">
        <f t="shared" si="101"/>
        <v>0</v>
      </c>
      <c r="AZ16" s="379">
        <f t="shared" si="101"/>
        <v>0</v>
      </c>
      <c r="BA16" s="379">
        <f t="shared" si="101"/>
        <v>0</v>
      </c>
      <c r="BB16" s="379">
        <f t="shared" si="101"/>
        <v>0</v>
      </c>
      <c r="BC16" s="379">
        <f t="shared" si="101"/>
        <v>0</v>
      </c>
      <c r="BD16" s="379">
        <f t="shared" si="101"/>
        <v>0</v>
      </c>
      <c r="BE16" s="379">
        <f t="shared" si="101"/>
        <v>0</v>
      </c>
      <c r="BF16" s="379">
        <f t="shared" si="101"/>
        <v>0</v>
      </c>
      <c r="BG16" s="379">
        <f t="shared" si="101"/>
        <v>0</v>
      </c>
      <c r="BH16" s="379">
        <f t="shared" si="101"/>
        <v>0</v>
      </c>
      <c r="BI16" s="379">
        <f t="shared" si="101"/>
        <v>0</v>
      </c>
      <c r="BJ16" s="431">
        <f t="shared" si="101"/>
        <v>37200</v>
      </c>
      <c r="BK16" s="379">
        <f t="shared" si="101"/>
        <v>0</v>
      </c>
      <c r="BL16" s="379">
        <f t="shared" si="101"/>
        <v>0</v>
      </c>
      <c r="BM16" s="379">
        <f t="shared" si="101"/>
        <v>0</v>
      </c>
      <c r="BN16" s="379">
        <f t="shared" si="101"/>
        <v>0</v>
      </c>
      <c r="BO16" s="379">
        <f t="shared" si="80"/>
        <v>0</v>
      </c>
      <c r="BP16" s="379">
        <f t="shared" si="80"/>
        <v>0</v>
      </c>
      <c r="BQ16" s="379">
        <f t="shared" si="80"/>
        <v>0</v>
      </c>
      <c r="BR16" s="380">
        <f t="shared" si="20"/>
        <v>0</v>
      </c>
    </row>
    <row r="17" spans="1:70" s="295" customFormat="1" ht="15" customHeight="1">
      <c r="A17" s="377" t="s">
        <v>131</v>
      </c>
      <c r="B17" s="377"/>
      <c r="C17" s="378"/>
      <c r="D17" s="430">
        <v>35000</v>
      </c>
      <c r="E17" s="381" t="s">
        <v>262</v>
      </c>
      <c r="F17" s="384"/>
      <c r="G17" s="384"/>
      <c r="H17" s="384"/>
      <c r="I17" s="384"/>
      <c r="J17" s="384"/>
      <c r="K17" s="382"/>
      <c r="L17" s="382"/>
      <c r="M17" s="382"/>
      <c r="N17" s="382">
        <v>0</v>
      </c>
      <c r="O17" s="382">
        <v>0</v>
      </c>
      <c r="P17" s="382">
        <v>0</v>
      </c>
      <c r="Q17" s="382">
        <v>0</v>
      </c>
      <c r="R17" s="382">
        <v>0</v>
      </c>
      <c r="S17" s="382">
        <v>1</v>
      </c>
      <c r="T17" s="382">
        <v>0</v>
      </c>
      <c r="U17" s="382">
        <v>0</v>
      </c>
      <c r="V17" s="382"/>
      <c r="W17" s="382"/>
      <c r="X17" s="382"/>
      <c r="Y17" s="382"/>
      <c r="Z17" s="383">
        <f aca="true" t="shared" si="137" ref="Z17">SUM(F17:X17)</f>
        <v>1</v>
      </c>
      <c r="AA17" s="378"/>
      <c r="AB17" s="378"/>
      <c r="AC17" s="431">
        <f aca="true" t="shared" si="138" ref="AC17:AL19">F17*$D17</f>
        <v>0</v>
      </c>
      <c r="AD17" s="431">
        <f t="shared" si="138"/>
        <v>0</v>
      </c>
      <c r="AE17" s="431">
        <f t="shared" si="138"/>
        <v>0</v>
      </c>
      <c r="AF17" s="431">
        <f t="shared" si="138"/>
        <v>0</v>
      </c>
      <c r="AG17" s="431">
        <f t="shared" si="138"/>
        <v>0</v>
      </c>
      <c r="AH17" s="431">
        <f t="shared" si="138"/>
        <v>0</v>
      </c>
      <c r="AI17" s="431">
        <f t="shared" si="138"/>
        <v>0</v>
      </c>
      <c r="AJ17" s="431">
        <f t="shared" si="138"/>
        <v>0</v>
      </c>
      <c r="AK17" s="431">
        <f t="shared" si="138"/>
        <v>0</v>
      </c>
      <c r="AL17" s="431">
        <f t="shared" si="138"/>
        <v>0</v>
      </c>
      <c r="AM17" s="431">
        <f aca="true" t="shared" si="139" ref="AM17:AU19">P17*$D17</f>
        <v>0</v>
      </c>
      <c r="AN17" s="431">
        <f t="shared" si="139"/>
        <v>0</v>
      </c>
      <c r="AO17" s="431">
        <f t="shared" si="139"/>
        <v>0</v>
      </c>
      <c r="AP17" s="431">
        <f t="shared" si="139"/>
        <v>35000</v>
      </c>
      <c r="AQ17" s="431">
        <f t="shared" si="139"/>
        <v>0</v>
      </c>
      <c r="AR17" s="431">
        <f t="shared" si="139"/>
        <v>0</v>
      </c>
      <c r="AS17" s="431">
        <f t="shared" si="139"/>
        <v>0</v>
      </c>
      <c r="AT17" s="431">
        <f t="shared" si="139"/>
        <v>0</v>
      </c>
      <c r="AU17" s="431">
        <f t="shared" si="139"/>
        <v>0</v>
      </c>
      <c r="AV17" s="430"/>
      <c r="AW17" s="379"/>
      <c r="AX17" s="379">
        <f aca="true" t="shared" si="140" ref="AX17:BG17">IF(AX$3=$E17,$D17,0)</f>
        <v>0</v>
      </c>
      <c r="AY17" s="379">
        <f t="shared" si="140"/>
        <v>0</v>
      </c>
      <c r="AZ17" s="379">
        <f t="shared" si="140"/>
        <v>0</v>
      </c>
      <c r="BA17" s="379">
        <f t="shared" si="140"/>
        <v>0</v>
      </c>
      <c r="BB17" s="379">
        <f t="shared" si="140"/>
        <v>0</v>
      </c>
      <c r="BC17" s="379">
        <f t="shared" si="140"/>
        <v>0</v>
      </c>
      <c r="BD17" s="379">
        <f t="shared" si="140"/>
        <v>0</v>
      </c>
      <c r="BE17" s="379">
        <f t="shared" si="140"/>
        <v>0</v>
      </c>
      <c r="BF17" s="379">
        <f t="shared" si="140"/>
        <v>0</v>
      </c>
      <c r="BG17" s="379">
        <f t="shared" si="140"/>
        <v>0</v>
      </c>
      <c r="BH17" s="379">
        <f t="shared" si="101"/>
        <v>0</v>
      </c>
      <c r="BI17" s="379">
        <f t="shared" si="101"/>
        <v>0</v>
      </c>
      <c r="BJ17" s="431">
        <f t="shared" si="101"/>
        <v>0</v>
      </c>
      <c r="BK17" s="379">
        <f t="shared" si="101"/>
        <v>35000</v>
      </c>
      <c r="BL17" s="379">
        <f t="shared" si="101"/>
        <v>0</v>
      </c>
      <c r="BM17" s="379">
        <f t="shared" si="101"/>
        <v>0</v>
      </c>
      <c r="BN17" s="379">
        <f t="shared" si="101"/>
        <v>0</v>
      </c>
      <c r="BO17" s="379">
        <f t="shared" si="80"/>
        <v>0</v>
      </c>
      <c r="BP17" s="379">
        <f t="shared" si="80"/>
        <v>0</v>
      </c>
      <c r="BQ17" s="379">
        <f t="shared" si="80"/>
        <v>0</v>
      </c>
      <c r="BR17" s="380">
        <f t="shared" si="20"/>
        <v>0</v>
      </c>
    </row>
    <row r="18" spans="1:70" s="295" customFormat="1" ht="15">
      <c r="A18" s="377" t="s">
        <v>131</v>
      </c>
      <c r="B18" s="377"/>
      <c r="C18" s="432"/>
      <c r="D18" s="430">
        <v>55000</v>
      </c>
      <c r="E18" s="381" t="s">
        <v>213</v>
      </c>
      <c r="F18" s="384"/>
      <c r="G18" s="384"/>
      <c r="H18" s="384"/>
      <c r="I18" s="384"/>
      <c r="J18" s="384"/>
      <c r="K18" s="382"/>
      <c r="L18" s="382"/>
      <c r="M18" s="382"/>
      <c r="N18" s="382">
        <v>0</v>
      </c>
      <c r="O18" s="382">
        <v>0</v>
      </c>
      <c r="P18" s="382">
        <v>0</v>
      </c>
      <c r="Q18" s="382">
        <v>0</v>
      </c>
      <c r="R18" s="382">
        <v>0</v>
      </c>
      <c r="S18" s="382">
        <v>0</v>
      </c>
      <c r="T18" s="382">
        <v>1</v>
      </c>
      <c r="U18" s="382">
        <v>0</v>
      </c>
      <c r="V18" s="382"/>
      <c r="W18" s="382"/>
      <c r="X18" s="382"/>
      <c r="Y18" s="382"/>
      <c r="Z18" s="383">
        <f aca="true" t="shared" si="141" ref="Z18">SUM(F18:X18)</f>
        <v>1</v>
      </c>
      <c r="AA18" s="378"/>
      <c r="AB18" s="378"/>
      <c r="AC18" s="431">
        <f t="shared" si="138"/>
        <v>0</v>
      </c>
      <c r="AD18" s="431">
        <f t="shared" si="138"/>
        <v>0</v>
      </c>
      <c r="AE18" s="431">
        <f t="shared" si="138"/>
        <v>0</v>
      </c>
      <c r="AF18" s="431">
        <f t="shared" si="138"/>
        <v>0</v>
      </c>
      <c r="AG18" s="431">
        <f t="shared" si="138"/>
        <v>0</v>
      </c>
      <c r="AH18" s="431">
        <f t="shared" si="138"/>
        <v>0</v>
      </c>
      <c r="AI18" s="431">
        <f t="shared" si="138"/>
        <v>0</v>
      </c>
      <c r="AJ18" s="431">
        <f t="shared" si="138"/>
        <v>0</v>
      </c>
      <c r="AK18" s="431">
        <f t="shared" si="138"/>
        <v>0</v>
      </c>
      <c r="AL18" s="431">
        <f t="shared" si="138"/>
        <v>0</v>
      </c>
      <c r="AM18" s="431">
        <f t="shared" si="139"/>
        <v>0</v>
      </c>
      <c r="AN18" s="431">
        <f t="shared" si="139"/>
        <v>0</v>
      </c>
      <c r="AO18" s="431">
        <f t="shared" si="139"/>
        <v>0</v>
      </c>
      <c r="AP18" s="431">
        <f t="shared" si="139"/>
        <v>0</v>
      </c>
      <c r="AQ18" s="431">
        <f t="shared" si="139"/>
        <v>55000</v>
      </c>
      <c r="AR18" s="431">
        <f t="shared" si="139"/>
        <v>0</v>
      </c>
      <c r="AS18" s="431">
        <f t="shared" si="139"/>
        <v>0</v>
      </c>
      <c r="AT18" s="431">
        <f t="shared" si="139"/>
        <v>0</v>
      </c>
      <c r="AU18" s="431">
        <f t="shared" si="139"/>
        <v>0</v>
      </c>
      <c r="AV18" s="430"/>
      <c r="AW18" s="379"/>
      <c r="AX18" s="379">
        <f t="shared" si="80"/>
        <v>0</v>
      </c>
      <c r="AY18" s="379">
        <f t="shared" si="80"/>
        <v>0</v>
      </c>
      <c r="AZ18" s="379">
        <f t="shared" si="80"/>
        <v>0</v>
      </c>
      <c r="BA18" s="379">
        <f t="shared" si="80"/>
        <v>0</v>
      </c>
      <c r="BB18" s="379">
        <f t="shared" si="80"/>
        <v>0</v>
      </c>
      <c r="BC18" s="379">
        <f t="shared" si="80"/>
        <v>0</v>
      </c>
      <c r="BD18" s="379">
        <f t="shared" si="80"/>
        <v>0</v>
      </c>
      <c r="BE18" s="379">
        <f t="shared" si="80"/>
        <v>0</v>
      </c>
      <c r="BF18" s="379">
        <f t="shared" si="80"/>
        <v>0</v>
      </c>
      <c r="BG18" s="379">
        <f t="shared" si="80"/>
        <v>0</v>
      </c>
      <c r="BH18" s="379">
        <f t="shared" si="80"/>
        <v>0</v>
      </c>
      <c r="BI18" s="379">
        <f t="shared" si="80"/>
        <v>0</v>
      </c>
      <c r="BJ18" s="431">
        <f t="shared" si="80"/>
        <v>0</v>
      </c>
      <c r="BK18" s="379">
        <f t="shared" si="80"/>
        <v>0</v>
      </c>
      <c r="BL18" s="379">
        <f t="shared" si="80"/>
        <v>55000</v>
      </c>
      <c r="BM18" s="379">
        <f t="shared" si="80"/>
        <v>0</v>
      </c>
      <c r="BN18" s="379">
        <f t="shared" si="80"/>
        <v>0</v>
      </c>
      <c r="BO18" s="379">
        <f t="shared" si="80"/>
        <v>0</v>
      </c>
      <c r="BP18" s="379">
        <f t="shared" si="80"/>
        <v>0</v>
      </c>
      <c r="BQ18" s="379">
        <f t="shared" si="80"/>
        <v>0</v>
      </c>
      <c r="BR18" s="380">
        <f t="shared" si="20"/>
        <v>0</v>
      </c>
    </row>
    <row r="19" spans="1:70" s="295" customFormat="1" ht="15" customHeight="1">
      <c r="A19" s="377" t="s">
        <v>131</v>
      </c>
      <c r="B19" s="377"/>
      <c r="C19" s="378"/>
      <c r="D19" s="430">
        <v>1762</v>
      </c>
      <c r="E19" s="381" t="s">
        <v>263</v>
      </c>
      <c r="F19" s="384"/>
      <c r="G19" s="384"/>
      <c r="H19" s="384"/>
      <c r="I19" s="384"/>
      <c r="J19" s="384"/>
      <c r="K19" s="382">
        <v>0</v>
      </c>
      <c r="L19" s="383">
        <v>0</v>
      </c>
      <c r="M19" s="382">
        <v>0</v>
      </c>
      <c r="N19" s="382">
        <v>0</v>
      </c>
      <c r="O19" s="382">
        <v>0</v>
      </c>
      <c r="P19" s="382">
        <v>0</v>
      </c>
      <c r="Q19" s="382">
        <v>0</v>
      </c>
      <c r="R19" s="382">
        <v>1</v>
      </c>
      <c r="S19" s="382">
        <v>0</v>
      </c>
      <c r="T19" s="382">
        <v>0</v>
      </c>
      <c r="U19" s="382">
        <v>0</v>
      </c>
      <c r="V19" s="382">
        <v>0</v>
      </c>
      <c r="W19" s="382">
        <v>0</v>
      </c>
      <c r="X19" s="382"/>
      <c r="Y19" s="382"/>
      <c r="Z19" s="383">
        <f>SUM(F19:X19)</f>
        <v>1</v>
      </c>
      <c r="AA19" s="378"/>
      <c r="AB19" s="378"/>
      <c r="AC19" s="431">
        <f t="shared" si="138"/>
        <v>0</v>
      </c>
      <c r="AD19" s="431">
        <f t="shared" si="138"/>
        <v>0</v>
      </c>
      <c r="AE19" s="431">
        <f t="shared" si="138"/>
        <v>0</v>
      </c>
      <c r="AF19" s="431">
        <f t="shared" si="138"/>
        <v>0</v>
      </c>
      <c r="AG19" s="431">
        <f t="shared" si="138"/>
        <v>0</v>
      </c>
      <c r="AH19" s="431">
        <f t="shared" si="138"/>
        <v>0</v>
      </c>
      <c r="AI19" s="431">
        <f t="shared" si="138"/>
        <v>0</v>
      </c>
      <c r="AJ19" s="431">
        <f t="shared" si="138"/>
        <v>0</v>
      </c>
      <c r="AK19" s="431">
        <f t="shared" si="138"/>
        <v>0</v>
      </c>
      <c r="AL19" s="431">
        <f t="shared" si="138"/>
        <v>0</v>
      </c>
      <c r="AM19" s="431">
        <f t="shared" si="139"/>
        <v>0</v>
      </c>
      <c r="AN19" s="431">
        <f t="shared" si="139"/>
        <v>0</v>
      </c>
      <c r="AO19" s="431">
        <f t="shared" si="139"/>
        <v>1762</v>
      </c>
      <c r="AP19" s="431">
        <f t="shared" si="139"/>
        <v>0</v>
      </c>
      <c r="AQ19" s="431">
        <f t="shared" si="139"/>
        <v>0</v>
      </c>
      <c r="AR19" s="431">
        <f t="shared" si="139"/>
        <v>0</v>
      </c>
      <c r="AS19" s="431">
        <f t="shared" si="139"/>
        <v>0</v>
      </c>
      <c r="AT19" s="431">
        <f t="shared" si="139"/>
        <v>0</v>
      </c>
      <c r="AU19" s="431">
        <f t="shared" si="139"/>
        <v>0</v>
      </c>
      <c r="AV19" s="430"/>
      <c r="AW19" s="379"/>
      <c r="AX19" s="379">
        <f t="shared" si="80"/>
        <v>0</v>
      </c>
      <c r="AY19" s="379">
        <f t="shared" si="80"/>
        <v>0</v>
      </c>
      <c r="AZ19" s="379">
        <f t="shared" si="80"/>
        <v>0</v>
      </c>
      <c r="BA19" s="379">
        <f t="shared" si="80"/>
        <v>0</v>
      </c>
      <c r="BB19" s="379">
        <f t="shared" si="80"/>
        <v>0</v>
      </c>
      <c r="BC19" s="379">
        <f t="shared" si="80"/>
        <v>0</v>
      </c>
      <c r="BD19" s="379">
        <f t="shared" si="80"/>
        <v>0</v>
      </c>
      <c r="BE19" s="379">
        <f t="shared" si="80"/>
        <v>0</v>
      </c>
      <c r="BF19" s="379">
        <f t="shared" si="80"/>
        <v>0</v>
      </c>
      <c r="BG19" s="379">
        <f t="shared" si="80"/>
        <v>0</v>
      </c>
      <c r="BH19" s="379">
        <f t="shared" si="80"/>
        <v>0</v>
      </c>
      <c r="BI19" s="379">
        <f t="shared" si="80"/>
        <v>0</v>
      </c>
      <c r="BJ19" s="431">
        <f t="shared" si="80"/>
        <v>1762</v>
      </c>
      <c r="BK19" s="379">
        <f t="shared" si="80"/>
        <v>0</v>
      </c>
      <c r="BL19" s="379">
        <f t="shared" si="80"/>
        <v>0</v>
      </c>
      <c r="BM19" s="379">
        <f t="shared" si="80"/>
        <v>0</v>
      </c>
      <c r="BN19" s="379">
        <f t="shared" si="80"/>
        <v>0</v>
      </c>
      <c r="BO19" s="379">
        <f t="shared" si="80"/>
        <v>0</v>
      </c>
      <c r="BP19" s="379">
        <f t="shared" si="80"/>
        <v>0</v>
      </c>
      <c r="BQ19" s="379">
        <f t="shared" si="80"/>
        <v>0</v>
      </c>
      <c r="BR19" s="380">
        <f t="shared" si="20"/>
        <v>0</v>
      </c>
    </row>
    <row r="20" spans="1:70" s="295" customFormat="1" ht="15" customHeight="1">
      <c r="A20" s="377" t="s">
        <v>131</v>
      </c>
      <c r="B20" s="377"/>
      <c r="C20" s="378"/>
      <c r="D20" s="430">
        <v>37500</v>
      </c>
      <c r="E20" s="381" t="s">
        <v>262</v>
      </c>
      <c r="F20" s="384"/>
      <c r="G20" s="384"/>
      <c r="H20" s="384"/>
      <c r="I20" s="384"/>
      <c r="J20" s="384"/>
      <c r="K20" s="382">
        <v>0</v>
      </c>
      <c r="L20" s="383">
        <v>0</v>
      </c>
      <c r="M20" s="382">
        <v>0</v>
      </c>
      <c r="N20" s="382">
        <v>0</v>
      </c>
      <c r="O20" s="382">
        <v>0</v>
      </c>
      <c r="P20" s="382">
        <v>0</v>
      </c>
      <c r="Q20" s="382">
        <v>0</v>
      </c>
      <c r="R20" s="382">
        <v>0</v>
      </c>
      <c r="S20" s="382">
        <v>0.3125</v>
      </c>
      <c r="T20" s="382">
        <v>0.25</v>
      </c>
      <c r="U20" s="382">
        <v>0.3125</v>
      </c>
      <c r="V20" s="382">
        <v>0.125</v>
      </c>
      <c r="W20" s="382">
        <v>0</v>
      </c>
      <c r="X20" s="382"/>
      <c r="Y20" s="382"/>
      <c r="Z20" s="383">
        <f>SUM(F20:X20)</f>
        <v>1</v>
      </c>
      <c r="AA20" s="378"/>
      <c r="AB20" s="378"/>
      <c r="AC20" s="431">
        <f aca="true" t="shared" si="142" ref="AC20">F20*$D20</f>
        <v>0</v>
      </c>
      <c r="AD20" s="431">
        <f aca="true" t="shared" si="143" ref="AD20">G20*$D20</f>
        <v>0</v>
      </c>
      <c r="AE20" s="431">
        <f aca="true" t="shared" si="144" ref="AE20">H20*$D20</f>
        <v>0</v>
      </c>
      <c r="AF20" s="431">
        <f aca="true" t="shared" si="145" ref="AF20">I20*$D20</f>
        <v>0</v>
      </c>
      <c r="AG20" s="431">
        <f aca="true" t="shared" si="146" ref="AG20">J20*$D20</f>
        <v>0</v>
      </c>
      <c r="AH20" s="431">
        <f aca="true" t="shared" si="147" ref="AH20">K20*$D20</f>
        <v>0</v>
      </c>
      <c r="AI20" s="431">
        <f aca="true" t="shared" si="148" ref="AI20">L20*$D20</f>
        <v>0</v>
      </c>
      <c r="AJ20" s="431">
        <f aca="true" t="shared" si="149" ref="AJ20">M20*$D20</f>
        <v>0</v>
      </c>
      <c r="AK20" s="431">
        <f aca="true" t="shared" si="150" ref="AK20">N20*$D20</f>
        <v>0</v>
      </c>
      <c r="AL20" s="431">
        <f aca="true" t="shared" si="151" ref="AL20">O20*$D20</f>
        <v>0</v>
      </c>
      <c r="AM20" s="431">
        <f aca="true" t="shared" si="152" ref="AM20">P20*$D20</f>
        <v>0</v>
      </c>
      <c r="AN20" s="431">
        <f aca="true" t="shared" si="153" ref="AN20">Q20*$D20</f>
        <v>0</v>
      </c>
      <c r="AO20" s="431">
        <f aca="true" t="shared" si="154" ref="AO20">R20*$D20</f>
        <v>0</v>
      </c>
      <c r="AP20" s="431">
        <f aca="true" t="shared" si="155" ref="AP20">S20*$D20</f>
        <v>11718.75</v>
      </c>
      <c r="AQ20" s="431">
        <f aca="true" t="shared" si="156" ref="AQ20">T20*$D20</f>
        <v>9375</v>
      </c>
      <c r="AR20" s="431">
        <f aca="true" t="shared" si="157" ref="AR20">U20*$D20</f>
        <v>11718.75</v>
      </c>
      <c r="AS20" s="431">
        <f aca="true" t="shared" si="158" ref="AS20">V20*$D20</f>
        <v>4687.5</v>
      </c>
      <c r="AT20" s="431">
        <f aca="true" t="shared" si="159" ref="AT20">W20*$D20</f>
        <v>0</v>
      </c>
      <c r="AU20" s="431">
        <f aca="true" t="shared" si="160" ref="AU20">X20*$D20</f>
        <v>0</v>
      </c>
      <c r="AV20" s="430"/>
      <c r="AW20" s="379"/>
      <c r="AX20" s="379">
        <f aca="true" t="shared" si="161" ref="AX20:BQ20">IF(AX$3=$E20,$D20,0)</f>
        <v>0</v>
      </c>
      <c r="AY20" s="379">
        <f t="shared" si="161"/>
        <v>0</v>
      </c>
      <c r="AZ20" s="379">
        <f t="shared" si="161"/>
        <v>0</v>
      </c>
      <c r="BA20" s="379">
        <f t="shared" si="161"/>
        <v>0</v>
      </c>
      <c r="BB20" s="379">
        <f t="shared" si="161"/>
        <v>0</v>
      </c>
      <c r="BC20" s="379">
        <f t="shared" si="161"/>
        <v>0</v>
      </c>
      <c r="BD20" s="379">
        <f t="shared" si="161"/>
        <v>0</v>
      </c>
      <c r="BE20" s="379">
        <f t="shared" si="161"/>
        <v>0</v>
      </c>
      <c r="BF20" s="379">
        <f t="shared" si="161"/>
        <v>0</v>
      </c>
      <c r="BG20" s="379">
        <f t="shared" si="161"/>
        <v>0</v>
      </c>
      <c r="BH20" s="379">
        <f t="shared" si="161"/>
        <v>0</v>
      </c>
      <c r="BI20" s="379">
        <f t="shared" si="161"/>
        <v>0</v>
      </c>
      <c r="BJ20" s="431">
        <f t="shared" si="161"/>
        <v>0</v>
      </c>
      <c r="BK20" s="379">
        <f t="shared" si="161"/>
        <v>37500</v>
      </c>
      <c r="BL20" s="379">
        <f t="shared" si="161"/>
        <v>0</v>
      </c>
      <c r="BM20" s="379">
        <f t="shared" si="161"/>
        <v>0</v>
      </c>
      <c r="BN20" s="379">
        <f t="shared" si="161"/>
        <v>0</v>
      </c>
      <c r="BO20" s="379">
        <f t="shared" si="161"/>
        <v>0</v>
      </c>
      <c r="BP20" s="379">
        <f t="shared" si="161"/>
        <v>0</v>
      </c>
      <c r="BQ20" s="379">
        <f t="shared" si="161"/>
        <v>0</v>
      </c>
      <c r="BR20" s="380">
        <f aca="true" t="shared" si="162" ref="BR20">SUM(AC20:AV20)-SUM(AX20:BQ20)</f>
        <v>0</v>
      </c>
    </row>
    <row r="21" spans="1:72" ht="15" customHeight="1">
      <c r="A21" s="448" t="s">
        <v>132</v>
      </c>
      <c r="B21" s="448"/>
      <c r="C21" s="449"/>
      <c r="D21" s="398">
        <v>2772876.18</v>
      </c>
      <c r="E21" s="449" t="s">
        <v>199</v>
      </c>
      <c r="F21" s="450"/>
      <c r="G21" s="450"/>
      <c r="H21" s="450"/>
      <c r="I21" s="450">
        <v>0</v>
      </c>
      <c r="J21" s="450"/>
      <c r="K21" s="450">
        <v>0.07476635325274422</v>
      </c>
      <c r="L21" s="450">
        <v>0.056074764942302374</v>
      </c>
      <c r="M21" s="450">
        <v>0.07476635325</v>
      </c>
      <c r="N21" s="450">
        <v>0.03738317662637211</v>
      </c>
      <c r="O21" s="450">
        <v>0.26168224359733216</v>
      </c>
      <c r="P21" s="450">
        <v>0.05607476591327636</v>
      </c>
      <c r="Q21" s="450">
        <v>0.14953270650548844</v>
      </c>
      <c r="R21" s="450">
        <v>0.04672897200011289</v>
      </c>
      <c r="S21" s="450">
        <v>0</v>
      </c>
      <c r="T21" s="450">
        <v>0.11214952987911635</v>
      </c>
      <c r="U21" s="450">
        <v>0.056074764939558173</v>
      </c>
      <c r="V21" s="450">
        <v>0.07476635325274422</v>
      </c>
      <c r="W21" s="450"/>
      <c r="X21" s="451">
        <f>1-(W21+V21+U21+T21+S21+R21+Q21+P21+O21+N21+M21+L21+K21+J21+I21)</f>
        <v>1.5840952549694975E-08</v>
      </c>
      <c r="Y21" s="452"/>
      <c r="Z21" s="453">
        <f t="shared" si="21"/>
        <v>0.9999999999999998</v>
      </c>
      <c r="AA21" s="449"/>
      <c r="AB21" s="449"/>
      <c r="AC21" s="454">
        <f t="shared" si="0"/>
        <v>0</v>
      </c>
      <c r="AD21" s="398">
        <f t="shared" si="1"/>
        <v>0</v>
      </c>
      <c r="AE21" s="398">
        <f t="shared" si="2"/>
        <v>0</v>
      </c>
      <c r="AF21" s="398">
        <f>I21*$D21</f>
        <v>0</v>
      </c>
      <c r="AG21" s="398">
        <f>J21*$D21</f>
        <v>0</v>
      </c>
      <c r="AH21" s="398">
        <f t="shared" si="22"/>
        <v>207317.84</v>
      </c>
      <c r="AI21" s="398">
        <f t="shared" si="23"/>
        <v>155488.38000760935</v>
      </c>
      <c r="AJ21" s="398">
        <f t="shared" si="24"/>
        <v>207317.8399923906</v>
      </c>
      <c r="AK21" s="398">
        <f>N21*$D21</f>
        <v>103658.92</v>
      </c>
      <c r="AL21" s="398">
        <f>O21*$D21</f>
        <v>725612.46</v>
      </c>
      <c r="AM21" s="399">
        <f t="shared" si="8"/>
        <v>155488.3827</v>
      </c>
      <c r="AN21" s="399">
        <f t="shared" si="9"/>
        <v>414635.68</v>
      </c>
      <c r="AO21" s="399">
        <f t="shared" si="10"/>
        <v>129573.653375</v>
      </c>
      <c r="AP21" s="399">
        <f t="shared" si="11"/>
        <v>0</v>
      </c>
      <c r="AQ21" s="399">
        <f t="shared" si="12"/>
        <v>310976.76</v>
      </c>
      <c r="AR21" s="399">
        <f t="shared" si="13"/>
        <v>155488.38</v>
      </c>
      <c r="AS21" s="399">
        <f t="shared" si="14"/>
        <v>207317.84</v>
      </c>
      <c r="AT21" s="399">
        <f t="shared" si="15"/>
        <v>0</v>
      </c>
      <c r="AU21" s="454">
        <f t="shared" si="16"/>
        <v>0.04392499999355946</v>
      </c>
      <c r="AV21" s="454"/>
      <c r="AW21" s="454"/>
      <c r="AX21" s="454">
        <f t="shared" si="17"/>
        <v>0</v>
      </c>
      <c r="AY21" s="399">
        <f t="shared" si="17"/>
        <v>0</v>
      </c>
      <c r="AZ21" s="399">
        <f t="shared" si="17"/>
        <v>0</v>
      </c>
      <c r="BA21" s="399">
        <f t="shared" si="17"/>
        <v>2772876.18</v>
      </c>
      <c r="BB21" s="399">
        <f t="shared" si="17"/>
        <v>0</v>
      </c>
      <c r="BC21" s="399">
        <f t="shared" si="17"/>
        <v>0</v>
      </c>
      <c r="BD21" s="399">
        <f t="shared" si="17"/>
        <v>0</v>
      </c>
      <c r="BE21" s="399">
        <f t="shared" si="17"/>
        <v>0</v>
      </c>
      <c r="BF21" s="399">
        <f t="shared" si="17"/>
        <v>0</v>
      </c>
      <c r="BG21" s="399">
        <f t="shared" si="17"/>
        <v>0</v>
      </c>
      <c r="BH21" s="399">
        <f t="shared" si="17"/>
        <v>0</v>
      </c>
      <c r="BI21" s="454">
        <f t="shared" si="17"/>
        <v>0</v>
      </c>
      <c r="BJ21" s="454">
        <f t="shared" si="17"/>
        <v>0</v>
      </c>
      <c r="BK21" s="454">
        <f t="shared" si="17"/>
        <v>0</v>
      </c>
      <c r="BL21" s="454">
        <f t="shared" si="17"/>
        <v>0</v>
      </c>
      <c r="BM21" s="454">
        <f t="shared" si="101"/>
        <v>0</v>
      </c>
      <c r="BN21" s="454">
        <f t="shared" si="80"/>
        <v>0</v>
      </c>
      <c r="BO21" s="454">
        <f t="shared" si="80"/>
        <v>0</v>
      </c>
      <c r="BP21" s="454">
        <f t="shared" si="80"/>
        <v>0</v>
      </c>
      <c r="BQ21" s="454">
        <f t="shared" si="80"/>
        <v>0</v>
      </c>
      <c r="BR21" s="455">
        <f t="shared" si="20"/>
        <v>0</v>
      </c>
      <c r="BT21" s="355"/>
    </row>
    <row r="22" spans="1:70" s="295" customFormat="1" ht="15" customHeight="1">
      <c r="A22" s="448" t="s">
        <v>134</v>
      </c>
      <c r="B22" s="448"/>
      <c r="C22" s="449"/>
      <c r="D22" s="398">
        <v>23.99</v>
      </c>
      <c r="E22" s="449" t="s">
        <v>181</v>
      </c>
      <c r="F22" s="450"/>
      <c r="G22" s="450"/>
      <c r="H22" s="450"/>
      <c r="I22" s="450"/>
      <c r="J22" s="450">
        <v>0</v>
      </c>
      <c r="K22" s="450">
        <v>0</v>
      </c>
      <c r="L22" s="450">
        <v>1</v>
      </c>
      <c r="M22" s="450">
        <v>0</v>
      </c>
      <c r="N22" s="450"/>
      <c r="O22" s="450"/>
      <c r="P22" s="450"/>
      <c r="Q22" s="450"/>
      <c r="R22" s="450"/>
      <c r="S22" s="450"/>
      <c r="T22" s="456"/>
      <c r="U22" s="456"/>
      <c r="V22" s="456"/>
      <c r="W22" s="456"/>
      <c r="X22" s="456"/>
      <c r="Y22" s="456"/>
      <c r="Z22" s="453">
        <f t="shared" si="21"/>
        <v>1</v>
      </c>
      <c r="AA22" s="449"/>
      <c r="AB22" s="449"/>
      <c r="AC22" s="454">
        <f aca="true" t="shared" si="163" ref="AC22">F22*$D22</f>
        <v>0</v>
      </c>
      <c r="AD22" s="398">
        <f aca="true" t="shared" si="164" ref="AD22">G22*$D22</f>
        <v>0</v>
      </c>
      <c r="AE22" s="398">
        <f aca="true" t="shared" si="165" ref="AE22">H22*$D22</f>
        <v>0</v>
      </c>
      <c r="AF22" s="398">
        <f aca="true" t="shared" si="166" ref="AF22">I22*$D22</f>
        <v>0</v>
      </c>
      <c r="AG22" s="398">
        <f aca="true" t="shared" si="167" ref="AG22:AG27">J22*$D22</f>
        <v>0</v>
      </c>
      <c r="AH22" s="398">
        <f aca="true" t="shared" si="168" ref="AH22">K22*$D22</f>
        <v>0</v>
      </c>
      <c r="AI22" s="398">
        <f aca="true" t="shared" si="169" ref="AI22">L22*$D22</f>
        <v>23.99</v>
      </c>
      <c r="AJ22" s="398">
        <f aca="true" t="shared" si="170" ref="AJ22">M22*$D22</f>
        <v>0</v>
      </c>
      <c r="AK22" s="398">
        <f aca="true" t="shared" si="171" ref="AK22">N22*$D22</f>
        <v>0</v>
      </c>
      <c r="AL22" s="454">
        <f aca="true" t="shared" si="172" ref="AL22">O22*$D22</f>
        <v>0</v>
      </c>
      <c r="AM22" s="454">
        <f aca="true" t="shared" si="173" ref="AM22">P22*$D22</f>
        <v>0</v>
      </c>
      <c r="AN22" s="454">
        <f aca="true" t="shared" si="174" ref="AN22">Q22*$D22</f>
        <v>0</v>
      </c>
      <c r="AO22" s="454">
        <f aca="true" t="shared" si="175" ref="AO22">R22*$D22</f>
        <v>0</v>
      </c>
      <c r="AP22" s="399">
        <f aca="true" t="shared" si="176" ref="AP22">S22*$D22</f>
        <v>0</v>
      </c>
      <c r="AQ22" s="399">
        <f aca="true" t="shared" si="177" ref="AQ22">T22*$D22</f>
        <v>0</v>
      </c>
      <c r="AR22" s="399">
        <f t="shared" si="13"/>
        <v>0</v>
      </c>
      <c r="AS22" s="399">
        <f t="shared" si="14"/>
        <v>0</v>
      </c>
      <c r="AT22" s="399">
        <f t="shared" si="15"/>
        <v>0</v>
      </c>
      <c r="AU22" s="454">
        <f t="shared" si="16"/>
        <v>0</v>
      </c>
      <c r="AV22" s="454"/>
      <c r="AW22" s="454"/>
      <c r="AX22" s="454">
        <f t="shared" si="17"/>
        <v>0</v>
      </c>
      <c r="AY22" s="454">
        <f t="shared" si="17"/>
        <v>0</v>
      </c>
      <c r="AZ22" s="454">
        <f t="shared" si="17"/>
        <v>0</v>
      </c>
      <c r="BA22" s="454">
        <f aca="true" t="shared" si="178" ref="BA22:BL22">IF(BA$3=$E22,$D22,0)</f>
        <v>0</v>
      </c>
      <c r="BB22" s="454">
        <v>0</v>
      </c>
      <c r="BC22" s="454">
        <v>0</v>
      </c>
      <c r="BD22" s="398">
        <f t="shared" si="178"/>
        <v>23.99</v>
      </c>
      <c r="BE22" s="454">
        <f t="shared" si="178"/>
        <v>0</v>
      </c>
      <c r="BF22" s="454">
        <f t="shared" si="178"/>
        <v>0</v>
      </c>
      <c r="BG22" s="454">
        <f t="shared" si="178"/>
        <v>0</v>
      </c>
      <c r="BH22" s="454">
        <f t="shared" si="178"/>
        <v>0</v>
      </c>
      <c r="BI22" s="454">
        <f t="shared" si="178"/>
        <v>0</v>
      </c>
      <c r="BJ22" s="454">
        <f t="shared" si="178"/>
        <v>0</v>
      </c>
      <c r="BK22" s="454">
        <f t="shared" si="178"/>
        <v>0</v>
      </c>
      <c r="BL22" s="454">
        <f t="shared" si="178"/>
        <v>0</v>
      </c>
      <c r="BM22" s="454">
        <f t="shared" si="101"/>
        <v>0</v>
      </c>
      <c r="BN22" s="454">
        <f t="shared" si="80"/>
        <v>0</v>
      </c>
      <c r="BO22" s="454">
        <f t="shared" si="80"/>
        <v>0</v>
      </c>
      <c r="BP22" s="454">
        <f t="shared" si="80"/>
        <v>0</v>
      </c>
      <c r="BQ22" s="454">
        <f t="shared" si="80"/>
        <v>0</v>
      </c>
      <c r="BR22" s="455">
        <f t="shared" si="20"/>
        <v>0</v>
      </c>
    </row>
    <row r="23" spans="1:70" s="295" customFormat="1" ht="15" customHeight="1">
      <c r="A23" s="448" t="s">
        <v>134</v>
      </c>
      <c r="B23" s="448"/>
      <c r="C23" s="449"/>
      <c r="D23" s="398">
        <v>56.92</v>
      </c>
      <c r="E23" s="449" t="s">
        <v>181</v>
      </c>
      <c r="F23" s="450"/>
      <c r="G23" s="450"/>
      <c r="H23" s="450"/>
      <c r="I23" s="450"/>
      <c r="J23" s="450">
        <v>0</v>
      </c>
      <c r="K23" s="450">
        <v>0</v>
      </c>
      <c r="L23" s="450">
        <v>0</v>
      </c>
      <c r="M23" s="450">
        <v>1</v>
      </c>
      <c r="N23" s="450"/>
      <c r="O23" s="450"/>
      <c r="P23" s="450"/>
      <c r="Q23" s="450"/>
      <c r="R23" s="450"/>
      <c r="S23" s="450"/>
      <c r="T23" s="456"/>
      <c r="U23" s="456"/>
      <c r="V23" s="456"/>
      <c r="W23" s="456"/>
      <c r="X23" s="456"/>
      <c r="Y23" s="456"/>
      <c r="Z23" s="453">
        <f t="shared" si="21"/>
        <v>1</v>
      </c>
      <c r="AA23" s="449"/>
      <c r="AB23" s="449"/>
      <c r="AC23" s="454">
        <f t="shared" si="0"/>
        <v>0</v>
      </c>
      <c r="AD23" s="398">
        <f t="shared" si="1"/>
        <v>0</v>
      </c>
      <c r="AE23" s="398">
        <f t="shared" si="2"/>
        <v>0</v>
      </c>
      <c r="AF23" s="398">
        <f aca="true" t="shared" si="179" ref="AF23">I23*$D23</f>
        <v>0</v>
      </c>
      <c r="AG23" s="398">
        <f t="shared" si="167"/>
        <v>0</v>
      </c>
      <c r="AH23" s="398">
        <f t="shared" si="22"/>
        <v>0</v>
      </c>
      <c r="AI23" s="398">
        <f t="shared" si="23"/>
        <v>0</v>
      </c>
      <c r="AJ23" s="398">
        <f t="shared" si="24"/>
        <v>56.92</v>
      </c>
      <c r="AK23" s="398">
        <f>N23*$D23</f>
        <v>0</v>
      </c>
      <c r="AL23" s="454">
        <f t="shared" si="19"/>
        <v>0</v>
      </c>
      <c r="AM23" s="454">
        <f t="shared" si="8"/>
        <v>0</v>
      </c>
      <c r="AN23" s="454">
        <f t="shared" si="9"/>
        <v>0</v>
      </c>
      <c r="AO23" s="454">
        <f t="shared" si="10"/>
        <v>0</v>
      </c>
      <c r="AP23" s="399">
        <f t="shared" si="11"/>
        <v>0</v>
      </c>
      <c r="AQ23" s="399">
        <f t="shared" si="12"/>
        <v>0</v>
      </c>
      <c r="AR23" s="399">
        <f t="shared" si="13"/>
        <v>0</v>
      </c>
      <c r="AS23" s="399">
        <f t="shared" si="14"/>
        <v>0</v>
      </c>
      <c r="AT23" s="399">
        <f t="shared" si="15"/>
        <v>0</v>
      </c>
      <c r="AU23" s="454">
        <f t="shared" si="16"/>
        <v>0</v>
      </c>
      <c r="AV23" s="454"/>
      <c r="AW23" s="454"/>
      <c r="AX23" s="454">
        <f t="shared" si="17"/>
        <v>0</v>
      </c>
      <c r="AY23" s="454">
        <f t="shared" si="17"/>
        <v>0</v>
      </c>
      <c r="AZ23" s="454">
        <f t="shared" si="17"/>
        <v>0</v>
      </c>
      <c r="BA23" s="454">
        <f t="shared" si="17"/>
        <v>0</v>
      </c>
      <c r="BB23" s="454">
        <v>0</v>
      </c>
      <c r="BC23" s="454">
        <v>0</v>
      </c>
      <c r="BD23" s="454">
        <f t="shared" si="17"/>
        <v>56.92</v>
      </c>
      <c r="BE23" s="398">
        <f t="shared" si="17"/>
        <v>0</v>
      </c>
      <c r="BF23" s="454">
        <f t="shared" si="17"/>
        <v>0</v>
      </c>
      <c r="BG23" s="454">
        <f t="shared" si="17"/>
        <v>0</v>
      </c>
      <c r="BH23" s="454">
        <f t="shared" si="17"/>
        <v>0</v>
      </c>
      <c r="BI23" s="454">
        <f t="shared" si="17"/>
        <v>0</v>
      </c>
      <c r="BJ23" s="454">
        <f t="shared" si="17"/>
        <v>0</v>
      </c>
      <c r="BK23" s="454">
        <f t="shared" si="17"/>
        <v>0</v>
      </c>
      <c r="BL23" s="454">
        <f t="shared" si="17"/>
        <v>0</v>
      </c>
      <c r="BM23" s="454">
        <f t="shared" si="101"/>
        <v>0</v>
      </c>
      <c r="BN23" s="454">
        <f t="shared" si="80"/>
        <v>0</v>
      </c>
      <c r="BO23" s="454">
        <f t="shared" si="80"/>
        <v>0</v>
      </c>
      <c r="BP23" s="454">
        <f t="shared" si="80"/>
        <v>0</v>
      </c>
      <c r="BQ23" s="454">
        <f t="shared" si="80"/>
        <v>0</v>
      </c>
      <c r="BR23" s="455">
        <f t="shared" si="20"/>
        <v>0</v>
      </c>
    </row>
    <row r="24" spans="1:70" s="295" customFormat="1" ht="15" customHeight="1">
      <c r="A24" s="460" t="s">
        <v>135</v>
      </c>
      <c r="B24" s="461"/>
      <c r="C24" s="462"/>
      <c r="D24" s="463">
        <v>36998.88</v>
      </c>
      <c r="E24" s="462" t="s">
        <v>167</v>
      </c>
      <c r="F24" s="464"/>
      <c r="G24" s="464"/>
      <c r="H24" s="464"/>
      <c r="I24" s="464">
        <v>0.24325060650484556</v>
      </c>
      <c r="J24" s="464">
        <v>0.2619517131329381</v>
      </c>
      <c r="K24" s="464">
        <v>0.23700393092980113</v>
      </c>
      <c r="L24" s="464">
        <v>0.2577937494324153</v>
      </c>
      <c r="M24" s="464">
        <v>0</v>
      </c>
      <c r="N24" s="464"/>
      <c r="O24" s="464"/>
      <c r="P24" s="464"/>
      <c r="Q24" s="464"/>
      <c r="R24" s="465"/>
      <c r="S24" s="465"/>
      <c r="T24" s="465"/>
      <c r="U24" s="465"/>
      <c r="V24" s="465"/>
      <c r="W24" s="465"/>
      <c r="X24" s="465"/>
      <c r="Y24" s="465"/>
      <c r="Z24" s="466">
        <f t="shared" si="21"/>
        <v>1</v>
      </c>
      <c r="AA24" s="462"/>
      <c r="AB24" s="462"/>
      <c r="AC24" s="467">
        <f t="shared" si="0"/>
        <v>0</v>
      </c>
      <c r="AD24" s="467">
        <f t="shared" si="1"/>
        <v>0</v>
      </c>
      <c r="AE24" s="467">
        <f t="shared" si="2"/>
        <v>0</v>
      </c>
      <c r="AF24" s="467">
        <f t="shared" si="3"/>
        <v>9000</v>
      </c>
      <c r="AG24" s="463">
        <f t="shared" si="167"/>
        <v>9691.92</v>
      </c>
      <c r="AH24" s="463">
        <f t="shared" si="22"/>
        <v>8768.88</v>
      </c>
      <c r="AI24" s="463">
        <f t="shared" si="23"/>
        <v>9538.08</v>
      </c>
      <c r="AJ24" s="463">
        <f t="shared" si="24"/>
        <v>0</v>
      </c>
      <c r="AK24" s="463">
        <f>N24*$D24</f>
        <v>0</v>
      </c>
      <c r="AL24" s="463">
        <f t="shared" si="19"/>
        <v>0</v>
      </c>
      <c r="AM24" s="463">
        <f t="shared" si="8"/>
        <v>0</v>
      </c>
      <c r="AN24" s="463">
        <f t="shared" si="9"/>
        <v>0</v>
      </c>
      <c r="AO24" s="463">
        <f t="shared" si="10"/>
        <v>0</v>
      </c>
      <c r="AP24" s="468">
        <f t="shared" si="11"/>
        <v>0</v>
      </c>
      <c r="AQ24" s="468">
        <f t="shared" si="12"/>
        <v>0</v>
      </c>
      <c r="AR24" s="468">
        <f t="shared" si="13"/>
        <v>0</v>
      </c>
      <c r="AS24" s="468">
        <f t="shared" si="14"/>
        <v>0</v>
      </c>
      <c r="AT24" s="468">
        <f t="shared" si="15"/>
        <v>0</v>
      </c>
      <c r="AU24" s="467">
        <f t="shared" si="16"/>
        <v>0</v>
      </c>
      <c r="AV24" s="467"/>
      <c r="AW24" s="467"/>
      <c r="AX24" s="467">
        <f t="shared" si="17"/>
        <v>0</v>
      </c>
      <c r="AY24" s="467">
        <f t="shared" si="17"/>
        <v>0</v>
      </c>
      <c r="AZ24" s="463">
        <f aca="true" t="shared" si="180" ref="AZ24:BA45">IF(AZ$3=$E24,$D24,0)</f>
        <v>36998.88</v>
      </c>
      <c r="BA24" s="467">
        <f t="shared" si="180"/>
        <v>0</v>
      </c>
      <c r="BB24" s="467">
        <f t="shared" si="17"/>
        <v>0</v>
      </c>
      <c r="BC24" s="467">
        <f t="shared" si="17"/>
        <v>0</v>
      </c>
      <c r="BD24" s="467">
        <f t="shared" si="17"/>
        <v>0</v>
      </c>
      <c r="BE24" s="467">
        <f t="shared" si="17"/>
        <v>0</v>
      </c>
      <c r="BF24" s="467">
        <f t="shared" si="17"/>
        <v>0</v>
      </c>
      <c r="BG24" s="467">
        <f t="shared" si="17"/>
        <v>0</v>
      </c>
      <c r="BH24" s="467">
        <f t="shared" si="17"/>
        <v>0</v>
      </c>
      <c r="BI24" s="467">
        <f t="shared" si="17"/>
        <v>0</v>
      </c>
      <c r="BJ24" s="467">
        <f t="shared" si="17"/>
        <v>0</v>
      </c>
      <c r="BK24" s="467">
        <f t="shared" si="17"/>
        <v>0</v>
      </c>
      <c r="BL24" s="467">
        <f t="shared" si="17"/>
        <v>0</v>
      </c>
      <c r="BM24" s="467">
        <f t="shared" si="101"/>
        <v>0</v>
      </c>
      <c r="BN24" s="467">
        <f t="shared" si="80"/>
        <v>0</v>
      </c>
      <c r="BO24" s="467">
        <f t="shared" si="80"/>
        <v>0</v>
      </c>
      <c r="BP24" s="467">
        <f t="shared" si="80"/>
        <v>0</v>
      </c>
      <c r="BQ24" s="467">
        <f t="shared" si="80"/>
        <v>0</v>
      </c>
      <c r="BR24" s="469">
        <f t="shared" si="20"/>
        <v>0</v>
      </c>
    </row>
    <row r="25" spans="1:70" ht="15" customHeight="1">
      <c r="A25" s="460" t="s">
        <v>135</v>
      </c>
      <c r="B25" s="461"/>
      <c r="C25" s="462"/>
      <c r="D25" s="463">
        <f>99000+851.16</f>
        <v>99851.16</v>
      </c>
      <c r="E25" s="462" t="s">
        <v>167</v>
      </c>
      <c r="F25" s="464"/>
      <c r="G25" s="464"/>
      <c r="H25" s="470">
        <v>0</v>
      </c>
      <c r="I25" s="470">
        <v>0.3304919041501371</v>
      </c>
      <c r="J25" s="470">
        <v>0.27120045475686017</v>
      </c>
      <c r="K25" s="470">
        <v>0.26270741371457274</v>
      </c>
      <c r="L25" s="464">
        <v>0.13560022737843005</v>
      </c>
      <c r="M25" s="464"/>
      <c r="N25" s="464"/>
      <c r="O25" s="465"/>
      <c r="P25" s="465"/>
      <c r="Q25" s="464"/>
      <c r="R25" s="464"/>
      <c r="S25" s="464"/>
      <c r="T25" s="464"/>
      <c r="U25" s="464"/>
      <c r="V25" s="464"/>
      <c r="W25" s="464"/>
      <c r="X25" s="464"/>
      <c r="Y25" s="464"/>
      <c r="Z25" s="466">
        <f>SUM(F25:X25)</f>
        <v>1</v>
      </c>
      <c r="AA25" s="462"/>
      <c r="AB25" s="462"/>
      <c r="AC25" s="467">
        <f aca="true" t="shared" si="181" ref="AC25:AF27">F25*$D25</f>
        <v>0</v>
      </c>
      <c r="AD25" s="467">
        <f t="shared" si="181"/>
        <v>0</v>
      </c>
      <c r="AE25" s="467">
        <f t="shared" si="181"/>
        <v>0</v>
      </c>
      <c r="AF25" s="467">
        <f t="shared" si="181"/>
        <v>33000</v>
      </c>
      <c r="AG25" s="467">
        <f t="shared" si="167"/>
        <v>27079.680000000008</v>
      </c>
      <c r="AH25" s="467">
        <f aca="true" t="shared" si="182" ref="AH25:AJ27">K25*$D25</f>
        <v>26231.639999999996</v>
      </c>
      <c r="AI25" s="463">
        <f t="shared" si="182"/>
        <v>13539.84</v>
      </c>
      <c r="AJ25" s="463">
        <f t="shared" si="182"/>
        <v>0</v>
      </c>
      <c r="AK25" s="463">
        <f>N25*$D25</f>
        <v>0</v>
      </c>
      <c r="AL25" s="463">
        <f aca="true" t="shared" si="183" ref="AL25:AU27">O25*$D25</f>
        <v>0</v>
      </c>
      <c r="AM25" s="463">
        <f t="shared" si="183"/>
        <v>0</v>
      </c>
      <c r="AN25" s="463">
        <f t="shared" si="183"/>
        <v>0</v>
      </c>
      <c r="AO25" s="463">
        <f t="shared" si="183"/>
        <v>0</v>
      </c>
      <c r="AP25" s="468">
        <f t="shared" si="183"/>
        <v>0</v>
      </c>
      <c r="AQ25" s="468">
        <f t="shared" si="183"/>
        <v>0</v>
      </c>
      <c r="AR25" s="468">
        <f t="shared" si="183"/>
        <v>0</v>
      </c>
      <c r="AS25" s="468">
        <f t="shared" si="183"/>
        <v>0</v>
      </c>
      <c r="AT25" s="468">
        <f t="shared" si="183"/>
        <v>0</v>
      </c>
      <c r="AU25" s="467">
        <f t="shared" si="183"/>
        <v>0</v>
      </c>
      <c r="AV25" s="467"/>
      <c r="AW25" s="467"/>
      <c r="AX25" s="467">
        <f aca="true" t="shared" si="184" ref="AX25:BG25">IF(AX$3=$E25,$D25,0)</f>
        <v>0</v>
      </c>
      <c r="AY25" s="467">
        <f t="shared" si="184"/>
        <v>0</v>
      </c>
      <c r="AZ25" s="463">
        <f t="shared" si="184"/>
        <v>99851.16</v>
      </c>
      <c r="BA25" s="467">
        <f t="shared" si="184"/>
        <v>0</v>
      </c>
      <c r="BB25" s="467">
        <f t="shared" si="184"/>
        <v>0</v>
      </c>
      <c r="BC25" s="467">
        <f t="shared" si="184"/>
        <v>0</v>
      </c>
      <c r="BD25" s="467">
        <f t="shared" si="184"/>
        <v>0</v>
      </c>
      <c r="BE25" s="467">
        <f t="shared" si="184"/>
        <v>0</v>
      </c>
      <c r="BF25" s="467">
        <f t="shared" si="184"/>
        <v>0</v>
      </c>
      <c r="BG25" s="467">
        <f t="shared" si="184"/>
        <v>0</v>
      </c>
      <c r="BH25" s="467">
        <f t="shared" si="17"/>
        <v>0</v>
      </c>
      <c r="BI25" s="467">
        <f t="shared" si="17"/>
        <v>0</v>
      </c>
      <c r="BJ25" s="467">
        <f t="shared" si="17"/>
        <v>0</v>
      </c>
      <c r="BK25" s="467">
        <f t="shared" si="17"/>
        <v>0</v>
      </c>
      <c r="BL25" s="467">
        <f t="shared" si="17"/>
        <v>0</v>
      </c>
      <c r="BM25" s="467">
        <f t="shared" si="17"/>
        <v>0</v>
      </c>
      <c r="BN25" s="467">
        <f t="shared" si="17"/>
        <v>0</v>
      </c>
      <c r="BO25" s="467">
        <f t="shared" si="80"/>
        <v>0</v>
      </c>
      <c r="BP25" s="467">
        <f t="shared" si="80"/>
        <v>0</v>
      </c>
      <c r="BQ25" s="467">
        <f t="shared" si="80"/>
        <v>0</v>
      </c>
      <c r="BR25" s="469">
        <f t="shared" si="20"/>
        <v>0</v>
      </c>
    </row>
    <row r="26" spans="1:70" ht="15" customHeight="1">
      <c r="A26" s="460" t="s">
        <v>135</v>
      </c>
      <c r="B26" s="461"/>
      <c r="C26" s="462"/>
      <c r="D26" s="463">
        <v>4000</v>
      </c>
      <c r="E26" s="462" t="s">
        <v>167</v>
      </c>
      <c r="F26" s="464"/>
      <c r="G26" s="464"/>
      <c r="H26" s="464">
        <v>1</v>
      </c>
      <c r="I26" s="464"/>
      <c r="J26" s="464"/>
      <c r="K26" s="464"/>
      <c r="L26" s="464"/>
      <c r="M26" s="464"/>
      <c r="N26" s="464"/>
      <c r="O26" s="465"/>
      <c r="P26" s="465"/>
      <c r="Q26" s="464"/>
      <c r="R26" s="464"/>
      <c r="S26" s="464"/>
      <c r="T26" s="464"/>
      <c r="U26" s="464"/>
      <c r="V26" s="464"/>
      <c r="W26" s="464"/>
      <c r="X26" s="464"/>
      <c r="Y26" s="464"/>
      <c r="Z26" s="466">
        <f>SUM(F26:X26)</f>
        <v>1</v>
      </c>
      <c r="AA26" s="462"/>
      <c r="AB26" s="462"/>
      <c r="AC26" s="467">
        <f t="shared" si="181"/>
        <v>0</v>
      </c>
      <c r="AD26" s="467">
        <f t="shared" si="181"/>
        <v>0</v>
      </c>
      <c r="AE26" s="467">
        <f t="shared" si="181"/>
        <v>4000</v>
      </c>
      <c r="AF26" s="467">
        <f t="shared" si="181"/>
        <v>0</v>
      </c>
      <c r="AG26" s="467">
        <f t="shared" si="167"/>
        <v>0</v>
      </c>
      <c r="AH26" s="467">
        <f t="shared" si="182"/>
        <v>0</v>
      </c>
      <c r="AI26" s="463">
        <f t="shared" si="182"/>
        <v>0</v>
      </c>
      <c r="AJ26" s="463">
        <f t="shared" si="182"/>
        <v>0</v>
      </c>
      <c r="AK26" s="463">
        <f>N26*$D26</f>
        <v>0</v>
      </c>
      <c r="AL26" s="463">
        <f t="shared" si="183"/>
        <v>0</v>
      </c>
      <c r="AM26" s="463">
        <f t="shared" si="183"/>
        <v>0</v>
      </c>
      <c r="AN26" s="463">
        <f t="shared" si="183"/>
        <v>0</v>
      </c>
      <c r="AO26" s="463">
        <f t="shared" si="183"/>
        <v>0</v>
      </c>
      <c r="AP26" s="468">
        <f t="shared" si="183"/>
        <v>0</v>
      </c>
      <c r="AQ26" s="468">
        <f t="shared" si="183"/>
        <v>0</v>
      </c>
      <c r="AR26" s="468">
        <f t="shared" si="183"/>
        <v>0</v>
      </c>
      <c r="AS26" s="468">
        <f t="shared" si="183"/>
        <v>0</v>
      </c>
      <c r="AT26" s="468">
        <f t="shared" si="183"/>
        <v>0</v>
      </c>
      <c r="AU26" s="467">
        <f t="shared" si="183"/>
        <v>0</v>
      </c>
      <c r="AV26" s="467"/>
      <c r="AW26" s="467"/>
      <c r="AX26" s="467">
        <f t="shared" si="80"/>
        <v>0</v>
      </c>
      <c r="AY26" s="467">
        <f t="shared" si="80"/>
        <v>0</v>
      </c>
      <c r="AZ26" s="463">
        <f t="shared" si="80"/>
        <v>4000</v>
      </c>
      <c r="BA26" s="467">
        <f t="shared" si="80"/>
        <v>0</v>
      </c>
      <c r="BB26" s="467">
        <f t="shared" si="80"/>
        <v>0</v>
      </c>
      <c r="BC26" s="467">
        <f t="shared" si="80"/>
        <v>0</v>
      </c>
      <c r="BD26" s="467">
        <f t="shared" si="80"/>
        <v>0</v>
      </c>
      <c r="BE26" s="467">
        <f t="shared" si="80"/>
        <v>0</v>
      </c>
      <c r="BF26" s="467">
        <f t="shared" si="80"/>
        <v>0</v>
      </c>
      <c r="BG26" s="467">
        <f t="shared" si="80"/>
        <v>0</v>
      </c>
      <c r="BH26" s="467">
        <f t="shared" si="80"/>
        <v>0</v>
      </c>
      <c r="BI26" s="467">
        <f t="shared" si="80"/>
        <v>0</v>
      </c>
      <c r="BJ26" s="467">
        <f t="shared" si="80"/>
        <v>0</v>
      </c>
      <c r="BK26" s="467">
        <f t="shared" si="80"/>
        <v>0</v>
      </c>
      <c r="BL26" s="467">
        <f t="shared" si="80"/>
        <v>0</v>
      </c>
      <c r="BM26" s="467">
        <f t="shared" si="80"/>
        <v>0</v>
      </c>
      <c r="BN26" s="467">
        <f t="shared" si="80"/>
        <v>0</v>
      </c>
      <c r="BO26" s="467">
        <f t="shared" si="80"/>
        <v>0</v>
      </c>
      <c r="BP26" s="467">
        <f t="shared" si="80"/>
        <v>0</v>
      </c>
      <c r="BQ26" s="467">
        <f aca="true" t="shared" si="185" ref="BQ26:BQ36">IF(BQ$3=$E26,$D26,0)</f>
        <v>0</v>
      </c>
      <c r="BR26" s="469">
        <f t="shared" si="20"/>
        <v>0</v>
      </c>
    </row>
    <row r="27" spans="1:70" s="295" customFormat="1" ht="15" customHeight="1">
      <c r="A27" s="460" t="s">
        <v>135</v>
      </c>
      <c r="B27" s="461"/>
      <c r="C27" s="462"/>
      <c r="D27" s="463">
        <v>1500</v>
      </c>
      <c r="E27" s="462" t="s">
        <v>199</v>
      </c>
      <c r="F27" s="464"/>
      <c r="G27" s="464"/>
      <c r="H27" s="464"/>
      <c r="I27" s="464">
        <v>1</v>
      </c>
      <c r="J27" s="464"/>
      <c r="K27" s="464">
        <v>0</v>
      </c>
      <c r="L27" s="464"/>
      <c r="M27" s="464"/>
      <c r="N27" s="464"/>
      <c r="O27" s="464"/>
      <c r="P27" s="464"/>
      <c r="Q27" s="464"/>
      <c r="R27" s="465"/>
      <c r="S27" s="465"/>
      <c r="T27" s="465"/>
      <c r="U27" s="465"/>
      <c r="V27" s="465"/>
      <c r="W27" s="465"/>
      <c r="X27" s="465"/>
      <c r="Y27" s="465"/>
      <c r="Z27" s="466">
        <f>SUM(F27:X27)</f>
        <v>1</v>
      </c>
      <c r="AA27" s="462"/>
      <c r="AB27" s="462"/>
      <c r="AC27" s="467">
        <f t="shared" si="181"/>
        <v>0</v>
      </c>
      <c r="AD27" s="467">
        <f t="shared" si="181"/>
        <v>0</v>
      </c>
      <c r="AE27" s="467">
        <f t="shared" si="181"/>
        <v>0</v>
      </c>
      <c r="AF27" s="467">
        <f t="shared" si="181"/>
        <v>1500</v>
      </c>
      <c r="AG27" s="467">
        <f t="shared" si="167"/>
        <v>0</v>
      </c>
      <c r="AH27" s="467">
        <f t="shared" si="182"/>
        <v>0</v>
      </c>
      <c r="AI27" s="463">
        <f t="shared" si="182"/>
        <v>0</v>
      </c>
      <c r="AJ27" s="463">
        <f t="shared" si="182"/>
        <v>0</v>
      </c>
      <c r="AK27" s="463">
        <f>N27*$D27</f>
        <v>0</v>
      </c>
      <c r="AL27" s="463">
        <f t="shared" si="183"/>
        <v>0</v>
      </c>
      <c r="AM27" s="463">
        <f t="shared" si="183"/>
        <v>0</v>
      </c>
      <c r="AN27" s="463">
        <f t="shared" si="183"/>
        <v>0</v>
      </c>
      <c r="AO27" s="463">
        <f t="shared" si="183"/>
        <v>0</v>
      </c>
      <c r="AP27" s="468">
        <f t="shared" si="183"/>
        <v>0</v>
      </c>
      <c r="AQ27" s="468">
        <f t="shared" si="183"/>
        <v>0</v>
      </c>
      <c r="AR27" s="468">
        <f t="shared" si="183"/>
        <v>0</v>
      </c>
      <c r="AS27" s="468">
        <f t="shared" si="183"/>
        <v>0</v>
      </c>
      <c r="AT27" s="468">
        <f t="shared" si="183"/>
        <v>0</v>
      </c>
      <c r="AU27" s="467">
        <f t="shared" si="183"/>
        <v>0</v>
      </c>
      <c r="AV27" s="467"/>
      <c r="AW27" s="467"/>
      <c r="AX27" s="467">
        <f t="shared" si="80"/>
        <v>0</v>
      </c>
      <c r="AY27" s="467">
        <f t="shared" si="80"/>
        <v>0</v>
      </c>
      <c r="AZ27" s="463">
        <f t="shared" si="80"/>
        <v>0</v>
      </c>
      <c r="BA27" s="463">
        <f t="shared" si="80"/>
        <v>1500</v>
      </c>
      <c r="BB27" s="467">
        <f t="shared" si="80"/>
        <v>0</v>
      </c>
      <c r="BC27" s="467">
        <f t="shared" si="80"/>
        <v>0</v>
      </c>
      <c r="BD27" s="467">
        <f t="shared" si="80"/>
        <v>0</v>
      </c>
      <c r="BE27" s="467">
        <f t="shared" si="80"/>
        <v>0</v>
      </c>
      <c r="BF27" s="467">
        <f t="shared" si="80"/>
        <v>0</v>
      </c>
      <c r="BG27" s="467">
        <f t="shared" si="80"/>
        <v>0</v>
      </c>
      <c r="BH27" s="467">
        <f t="shared" si="80"/>
        <v>0</v>
      </c>
      <c r="BI27" s="467">
        <f t="shared" si="80"/>
        <v>0</v>
      </c>
      <c r="BJ27" s="467">
        <f t="shared" si="80"/>
        <v>0</v>
      </c>
      <c r="BK27" s="467">
        <f t="shared" si="80"/>
        <v>0</v>
      </c>
      <c r="BL27" s="467">
        <f t="shared" si="80"/>
        <v>0</v>
      </c>
      <c r="BM27" s="467">
        <f t="shared" si="80"/>
        <v>0</v>
      </c>
      <c r="BN27" s="467">
        <f t="shared" si="80"/>
        <v>0</v>
      </c>
      <c r="BO27" s="467">
        <f t="shared" si="80"/>
        <v>0</v>
      </c>
      <c r="BP27" s="467">
        <f t="shared" si="80"/>
        <v>0</v>
      </c>
      <c r="BQ27" s="467">
        <f t="shared" si="185"/>
        <v>0</v>
      </c>
      <c r="BR27" s="469">
        <f t="shared" si="20"/>
        <v>0</v>
      </c>
    </row>
    <row r="28" spans="1:70" s="295" customFormat="1" ht="15" customHeight="1">
      <c r="A28" s="460" t="s">
        <v>135</v>
      </c>
      <c r="B28" s="461"/>
      <c r="C28" s="462"/>
      <c r="D28" s="463">
        <v>43134</v>
      </c>
      <c r="E28" s="462" t="s">
        <v>181</v>
      </c>
      <c r="F28" s="464"/>
      <c r="G28" s="464"/>
      <c r="H28" s="464"/>
      <c r="I28" s="464"/>
      <c r="J28" s="464"/>
      <c r="K28" s="464"/>
      <c r="L28" s="464">
        <v>0</v>
      </c>
      <c r="M28" s="464">
        <v>0.2461538461538461</v>
      </c>
      <c r="N28" s="464">
        <v>0.2625641025641025</v>
      </c>
      <c r="O28" s="464">
        <v>0.25435897435897437</v>
      </c>
      <c r="P28" s="464">
        <f>1-(O28+N28+M28)</f>
        <v>0.23692307692307701</v>
      </c>
      <c r="Q28" s="464"/>
      <c r="R28" s="464"/>
      <c r="S28" s="464"/>
      <c r="T28" s="464"/>
      <c r="U28" s="464"/>
      <c r="V28" s="464"/>
      <c r="W28" s="464"/>
      <c r="X28" s="464"/>
      <c r="Y28" s="464"/>
      <c r="Z28" s="466">
        <f t="shared" si="21"/>
        <v>1</v>
      </c>
      <c r="AA28" s="462"/>
      <c r="AB28" s="462"/>
      <c r="AC28" s="467">
        <f aca="true" t="shared" si="186" ref="AC28">F28*$D28</f>
        <v>0</v>
      </c>
      <c r="AD28" s="467">
        <f aca="true" t="shared" si="187" ref="AD28">G28*$D28</f>
        <v>0</v>
      </c>
      <c r="AE28" s="467">
        <f aca="true" t="shared" si="188" ref="AE28">H28*$D28</f>
        <v>0</v>
      </c>
      <c r="AF28" s="467">
        <f aca="true" t="shared" si="189" ref="AF28">I28*$D28</f>
        <v>0</v>
      </c>
      <c r="AG28" s="467">
        <f aca="true" t="shared" si="190" ref="AG28">J28*$D28</f>
        <v>0</v>
      </c>
      <c r="AH28" s="467">
        <f aca="true" t="shared" si="191" ref="AH28">K28*$D28</f>
        <v>0</v>
      </c>
      <c r="AI28" s="463">
        <f aca="true" t="shared" si="192" ref="AI28">L28*$D28</f>
        <v>0</v>
      </c>
      <c r="AJ28" s="463">
        <f aca="true" t="shared" si="193" ref="AJ28">M28*$D28</f>
        <v>10617.599999999999</v>
      </c>
      <c r="AK28" s="463">
        <f aca="true" t="shared" si="194" ref="AK28">N28*$D28</f>
        <v>11325.439999999997</v>
      </c>
      <c r="AL28" s="463">
        <f aca="true" t="shared" si="195" ref="AL28">O28*$D28</f>
        <v>10971.52</v>
      </c>
      <c r="AM28" s="463">
        <f aca="true" t="shared" si="196" ref="AM28">P28*$D28</f>
        <v>10219.440000000004</v>
      </c>
      <c r="AN28" s="463">
        <f aca="true" t="shared" si="197" ref="AN28">Q28*$D28</f>
        <v>0</v>
      </c>
      <c r="AO28" s="463">
        <f aca="true" t="shared" si="198" ref="AO28">R28*$D28</f>
        <v>0</v>
      </c>
      <c r="AP28" s="468">
        <f aca="true" t="shared" si="199" ref="AP28">S28*$D28</f>
        <v>0</v>
      </c>
      <c r="AQ28" s="468">
        <f aca="true" t="shared" si="200" ref="AQ28">T28*$D28</f>
        <v>0</v>
      </c>
      <c r="AR28" s="468">
        <f t="shared" si="13"/>
        <v>0</v>
      </c>
      <c r="AS28" s="468">
        <f t="shared" si="14"/>
        <v>0</v>
      </c>
      <c r="AT28" s="468">
        <f t="shared" si="15"/>
        <v>0</v>
      </c>
      <c r="AU28" s="467">
        <f t="shared" si="16"/>
        <v>0</v>
      </c>
      <c r="AV28" s="467"/>
      <c r="AW28" s="467"/>
      <c r="AX28" s="467">
        <f t="shared" si="17"/>
        <v>0</v>
      </c>
      <c r="AY28" s="467">
        <f t="shared" si="17"/>
        <v>0</v>
      </c>
      <c r="AZ28" s="463">
        <f t="shared" si="17"/>
        <v>0</v>
      </c>
      <c r="BA28" s="467">
        <f t="shared" si="180"/>
        <v>0</v>
      </c>
      <c r="BB28" s="467">
        <f t="shared" si="17"/>
        <v>0</v>
      </c>
      <c r="BC28" s="467">
        <f t="shared" si="17"/>
        <v>0</v>
      </c>
      <c r="BD28" s="467">
        <f aca="true" t="shared" si="201" ref="BD28:BL35">IF(BD$3=$E28,$D28,0)</f>
        <v>43134</v>
      </c>
      <c r="BE28" s="467">
        <f t="shared" si="17"/>
        <v>0</v>
      </c>
      <c r="BF28" s="467">
        <f t="shared" si="17"/>
        <v>0</v>
      </c>
      <c r="BG28" s="467">
        <f t="shared" si="17"/>
        <v>0</v>
      </c>
      <c r="BH28" s="467">
        <f t="shared" si="17"/>
        <v>0</v>
      </c>
      <c r="BI28" s="467">
        <f t="shared" si="17"/>
        <v>0</v>
      </c>
      <c r="BJ28" s="467">
        <f t="shared" si="17"/>
        <v>0</v>
      </c>
      <c r="BK28" s="467">
        <f t="shared" si="17"/>
        <v>0</v>
      </c>
      <c r="BL28" s="467">
        <f t="shared" si="17"/>
        <v>0</v>
      </c>
      <c r="BM28" s="467">
        <f t="shared" si="101"/>
        <v>0</v>
      </c>
      <c r="BN28" s="467">
        <f t="shared" si="80"/>
        <v>0</v>
      </c>
      <c r="BO28" s="467">
        <f t="shared" si="80"/>
        <v>0</v>
      </c>
      <c r="BP28" s="467">
        <f t="shared" si="80"/>
        <v>0</v>
      </c>
      <c r="BQ28" s="467">
        <f t="shared" si="185"/>
        <v>0</v>
      </c>
      <c r="BR28" s="469">
        <f t="shared" si="20"/>
        <v>0</v>
      </c>
    </row>
    <row r="29" spans="1:70" s="295" customFormat="1" ht="15" customHeight="1">
      <c r="A29" s="460" t="s">
        <v>135</v>
      </c>
      <c r="B29" s="461"/>
      <c r="C29" s="462"/>
      <c r="D29" s="463">
        <v>18489.64</v>
      </c>
      <c r="E29" s="462" t="s">
        <v>181</v>
      </c>
      <c r="F29" s="464"/>
      <c r="G29" s="464"/>
      <c r="H29" s="464"/>
      <c r="I29" s="464"/>
      <c r="J29" s="464"/>
      <c r="K29" s="464"/>
      <c r="L29" s="464">
        <v>0.17481789802289285</v>
      </c>
      <c r="M29" s="464">
        <v>0.2434963579604579</v>
      </c>
      <c r="N29" s="464">
        <v>0.2705515088449532</v>
      </c>
      <c r="O29" s="464">
        <v>0.2570239334027056</v>
      </c>
      <c r="P29" s="464">
        <v>0.05411030176899065</v>
      </c>
      <c r="Q29" s="464"/>
      <c r="R29" s="464"/>
      <c r="S29" s="464"/>
      <c r="T29" s="464"/>
      <c r="U29" s="464"/>
      <c r="V29" s="464"/>
      <c r="W29" s="464"/>
      <c r="X29" s="464"/>
      <c r="Y29" s="464"/>
      <c r="Z29" s="466">
        <f aca="true" t="shared" si="202" ref="Z29:Z34">SUM(F29:X29)</f>
        <v>1.0000000000000002</v>
      </c>
      <c r="AA29" s="462"/>
      <c r="AB29" s="462"/>
      <c r="AC29" s="467">
        <f aca="true" t="shared" si="203" ref="AC29:AL34">F29*$D29</f>
        <v>0</v>
      </c>
      <c r="AD29" s="467">
        <f t="shared" si="203"/>
        <v>0</v>
      </c>
      <c r="AE29" s="467">
        <f t="shared" si="203"/>
        <v>0</v>
      </c>
      <c r="AF29" s="467">
        <f t="shared" si="203"/>
        <v>0</v>
      </c>
      <c r="AG29" s="467">
        <f t="shared" si="203"/>
        <v>0</v>
      </c>
      <c r="AH29" s="467">
        <f t="shared" si="203"/>
        <v>0</v>
      </c>
      <c r="AI29" s="463">
        <f t="shared" si="203"/>
        <v>3232.3200000000006</v>
      </c>
      <c r="AJ29" s="463">
        <f t="shared" si="203"/>
        <v>4502.160000000001</v>
      </c>
      <c r="AK29" s="463">
        <f t="shared" si="203"/>
        <v>5002.400000000001</v>
      </c>
      <c r="AL29" s="463">
        <f t="shared" si="203"/>
        <v>4752.280000000001</v>
      </c>
      <c r="AM29" s="463">
        <f aca="true" t="shared" si="204" ref="AM29:AU34">P29*$D29</f>
        <v>1000.4800000000002</v>
      </c>
      <c r="AN29" s="463">
        <f t="shared" si="204"/>
        <v>0</v>
      </c>
      <c r="AO29" s="463">
        <f t="shared" si="204"/>
        <v>0</v>
      </c>
      <c r="AP29" s="468">
        <f t="shared" si="204"/>
        <v>0</v>
      </c>
      <c r="AQ29" s="468">
        <f t="shared" si="204"/>
        <v>0</v>
      </c>
      <c r="AR29" s="468">
        <f t="shared" si="204"/>
        <v>0</v>
      </c>
      <c r="AS29" s="468">
        <f t="shared" si="204"/>
        <v>0</v>
      </c>
      <c r="AT29" s="468">
        <f t="shared" si="204"/>
        <v>0</v>
      </c>
      <c r="AU29" s="467">
        <f t="shared" si="204"/>
        <v>0</v>
      </c>
      <c r="AV29" s="467"/>
      <c r="AW29" s="467"/>
      <c r="AX29" s="467">
        <f aca="true" t="shared" si="205" ref="AX29:BG29">IF(AX$3=$E29,$D29,0)</f>
        <v>0</v>
      </c>
      <c r="AY29" s="467">
        <f t="shared" si="205"/>
        <v>0</v>
      </c>
      <c r="AZ29" s="463">
        <f t="shared" si="205"/>
        <v>0</v>
      </c>
      <c r="BA29" s="467">
        <f t="shared" si="205"/>
        <v>0</v>
      </c>
      <c r="BB29" s="467">
        <f t="shared" si="205"/>
        <v>0</v>
      </c>
      <c r="BC29" s="467">
        <f t="shared" si="205"/>
        <v>0</v>
      </c>
      <c r="BD29" s="467">
        <f t="shared" si="205"/>
        <v>18489.64</v>
      </c>
      <c r="BE29" s="467">
        <f t="shared" si="205"/>
        <v>0</v>
      </c>
      <c r="BF29" s="467">
        <f t="shared" si="205"/>
        <v>0</v>
      </c>
      <c r="BG29" s="467">
        <f t="shared" si="205"/>
        <v>0</v>
      </c>
      <c r="BH29" s="467">
        <f t="shared" si="17"/>
        <v>0</v>
      </c>
      <c r="BI29" s="467">
        <f t="shared" si="17"/>
        <v>0</v>
      </c>
      <c r="BJ29" s="467">
        <f t="shared" si="17"/>
        <v>0</v>
      </c>
      <c r="BK29" s="467">
        <f t="shared" si="17"/>
        <v>0</v>
      </c>
      <c r="BL29" s="467">
        <f t="shared" si="17"/>
        <v>0</v>
      </c>
      <c r="BM29" s="467">
        <f t="shared" si="17"/>
        <v>0</v>
      </c>
      <c r="BN29" s="467">
        <f t="shared" si="17"/>
        <v>0</v>
      </c>
      <c r="BO29" s="467">
        <f t="shared" si="80"/>
        <v>0</v>
      </c>
      <c r="BP29" s="467">
        <f t="shared" si="80"/>
        <v>0</v>
      </c>
      <c r="BQ29" s="467">
        <f t="shared" si="185"/>
        <v>0</v>
      </c>
      <c r="BR29" s="469">
        <f t="shared" si="20"/>
        <v>0</v>
      </c>
    </row>
    <row r="30" spans="1:70" s="295" customFormat="1" ht="15" customHeight="1">
      <c r="A30" s="460" t="s">
        <v>135</v>
      </c>
      <c r="B30" s="461"/>
      <c r="C30" s="462"/>
      <c r="D30" s="463">
        <v>1800</v>
      </c>
      <c r="E30" s="462" t="s">
        <v>181</v>
      </c>
      <c r="F30" s="464"/>
      <c r="G30" s="464"/>
      <c r="H30" s="464">
        <v>0</v>
      </c>
      <c r="I30" s="464"/>
      <c r="J30" s="464"/>
      <c r="K30" s="464"/>
      <c r="L30" s="464">
        <v>1</v>
      </c>
      <c r="M30" s="464">
        <v>0</v>
      </c>
      <c r="N30" s="464"/>
      <c r="O30" s="465"/>
      <c r="P30" s="465"/>
      <c r="Q30" s="464"/>
      <c r="R30" s="464"/>
      <c r="S30" s="464"/>
      <c r="T30" s="464"/>
      <c r="U30" s="464"/>
      <c r="V30" s="464"/>
      <c r="W30" s="464"/>
      <c r="X30" s="464"/>
      <c r="Y30" s="464"/>
      <c r="Z30" s="466">
        <f t="shared" si="202"/>
        <v>1</v>
      </c>
      <c r="AA30" s="462"/>
      <c r="AB30" s="462"/>
      <c r="AC30" s="467">
        <f t="shared" si="203"/>
        <v>0</v>
      </c>
      <c r="AD30" s="467">
        <f t="shared" si="203"/>
        <v>0</v>
      </c>
      <c r="AE30" s="467">
        <f t="shared" si="203"/>
        <v>0</v>
      </c>
      <c r="AF30" s="467">
        <f t="shared" si="203"/>
        <v>0</v>
      </c>
      <c r="AG30" s="467">
        <f t="shared" si="203"/>
        <v>0</v>
      </c>
      <c r="AH30" s="467">
        <f t="shared" si="203"/>
        <v>0</v>
      </c>
      <c r="AI30" s="463">
        <f t="shared" si="203"/>
        <v>1800</v>
      </c>
      <c r="AJ30" s="463">
        <f t="shared" si="203"/>
        <v>0</v>
      </c>
      <c r="AK30" s="463">
        <f t="shared" si="203"/>
        <v>0</v>
      </c>
      <c r="AL30" s="463">
        <f t="shared" si="203"/>
        <v>0</v>
      </c>
      <c r="AM30" s="463">
        <f t="shared" si="204"/>
        <v>0</v>
      </c>
      <c r="AN30" s="463">
        <f t="shared" si="204"/>
        <v>0</v>
      </c>
      <c r="AO30" s="463">
        <f t="shared" si="204"/>
        <v>0</v>
      </c>
      <c r="AP30" s="468">
        <f t="shared" si="204"/>
        <v>0</v>
      </c>
      <c r="AQ30" s="468">
        <f t="shared" si="204"/>
        <v>0</v>
      </c>
      <c r="AR30" s="468">
        <f t="shared" si="204"/>
        <v>0</v>
      </c>
      <c r="AS30" s="468">
        <f t="shared" si="204"/>
        <v>0</v>
      </c>
      <c r="AT30" s="468">
        <f t="shared" si="204"/>
        <v>0</v>
      </c>
      <c r="AU30" s="467">
        <f t="shared" si="204"/>
        <v>0</v>
      </c>
      <c r="AV30" s="467"/>
      <c r="AW30" s="467"/>
      <c r="AX30" s="467">
        <f t="shared" si="80"/>
        <v>0</v>
      </c>
      <c r="AY30" s="467">
        <f t="shared" si="80"/>
        <v>0</v>
      </c>
      <c r="AZ30" s="463">
        <f t="shared" si="80"/>
        <v>0</v>
      </c>
      <c r="BA30" s="467">
        <f t="shared" si="80"/>
        <v>0</v>
      </c>
      <c r="BB30" s="467">
        <f t="shared" si="80"/>
        <v>0</v>
      </c>
      <c r="BC30" s="467">
        <f t="shared" si="80"/>
        <v>0</v>
      </c>
      <c r="BD30" s="467">
        <f t="shared" si="80"/>
        <v>1800</v>
      </c>
      <c r="BE30" s="467">
        <f t="shared" si="80"/>
        <v>0</v>
      </c>
      <c r="BF30" s="467">
        <f t="shared" si="80"/>
        <v>0</v>
      </c>
      <c r="BG30" s="467">
        <f t="shared" si="80"/>
        <v>0</v>
      </c>
      <c r="BH30" s="467">
        <f t="shared" si="80"/>
        <v>0</v>
      </c>
      <c r="BI30" s="467">
        <f t="shared" si="80"/>
        <v>0</v>
      </c>
      <c r="BJ30" s="467">
        <f t="shared" si="80"/>
        <v>0</v>
      </c>
      <c r="BK30" s="467">
        <f t="shared" si="80"/>
        <v>0</v>
      </c>
      <c r="BL30" s="467">
        <f t="shared" si="80"/>
        <v>0</v>
      </c>
      <c r="BM30" s="467">
        <f t="shared" si="80"/>
        <v>0</v>
      </c>
      <c r="BN30" s="467">
        <f t="shared" si="80"/>
        <v>0</v>
      </c>
      <c r="BO30" s="467">
        <f t="shared" si="80"/>
        <v>0</v>
      </c>
      <c r="BP30" s="467">
        <f t="shared" si="80"/>
        <v>0</v>
      </c>
      <c r="BQ30" s="467">
        <f t="shared" si="185"/>
        <v>0</v>
      </c>
      <c r="BR30" s="469">
        <f t="shared" si="20"/>
        <v>0</v>
      </c>
    </row>
    <row r="31" spans="1:70" s="295" customFormat="1" ht="15" customHeight="1">
      <c r="A31" s="460" t="s">
        <v>135</v>
      </c>
      <c r="B31" s="461"/>
      <c r="C31" s="462"/>
      <c r="D31" s="463">
        <v>111566.08</v>
      </c>
      <c r="E31" s="462" t="s">
        <v>181</v>
      </c>
      <c r="F31" s="464"/>
      <c r="G31" s="464"/>
      <c r="H31" s="470"/>
      <c r="I31" s="470"/>
      <c r="J31" s="470"/>
      <c r="K31" s="470"/>
      <c r="L31" s="464">
        <v>0.08430232558139536</v>
      </c>
      <c r="M31" s="471">
        <v>0.26744186046511637</v>
      </c>
      <c r="N31" s="464">
        <v>0.2761627906976745</v>
      </c>
      <c r="O31" s="464">
        <v>0.2703488372093024</v>
      </c>
      <c r="P31" s="464">
        <v>0.10174418604651164</v>
      </c>
      <c r="Q31" s="464"/>
      <c r="R31" s="464"/>
      <c r="S31" s="464"/>
      <c r="T31" s="464"/>
      <c r="U31" s="464"/>
      <c r="V31" s="464"/>
      <c r="W31" s="464"/>
      <c r="X31" s="464"/>
      <c r="Y31" s="464"/>
      <c r="Z31" s="466">
        <f t="shared" si="202"/>
        <v>1.0000000000000002</v>
      </c>
      <c r="AA31" s="462"/>
      <c r="AB31" s="462"/>
      <c r="AC31" s="467">
        <f t="shared" si="203"/>
        <v>0</v>
      </c>
      <c r="AD31" s="467">
        <f t="shared" si="203"/>
        <v>0</v>
      </c>
      <c r="AE31" s="467">
        <f t="shared" si="203"/>
        <v>0</v>
      </c>
      <c r="AF31" s="467">
        <f t="shared" si="203"/>
        <v>0</v>
      </c>
      <c r="AG31" s="467">
        <f t="shared" si="203"/>
        <v>0</v>
      </c>
      <c r="AH31" s="467">
        <f t="shared" si="203"/>
        <v>0</v>
      </c>
      <c r="AI31" s="463">
        <f t="shared" si="203"/>
        <v>9405.28</v>
      </c>
      <c r="AJ31" s="463">
        <f t="shared" si="203"/>
        <v>29837.44000000001</v>
      </c>
      <c r="AK31" s="463">
        <f t="shared" si="203"/>
        <v>30810.400000000012</v>
      </c>
      <c r="AL31" s="463">
        <f t="shared" si="203"/>
        <v>30161.76000000001</v>
      </c>
      <c r="AM31" s="463">
        <f t="shared" si="204"/>
        <v>11351.200000000003</v>
      </c>
      <c r="AN31" s="463">
        <f t="shared" si="204"/>
        <v>0</v>
      </c>
      <c r="AO31" s="463">
        <f t="shared" si="204"/>
        <v>0</v>
      </c>
      <c r="AP31" s="468">
        <f t="shared" si="204"/>
        <v>0</v>
      </c>
      <c r="AQ31" s="468">
        <f t="shared" si="204"/>
        <v>0</v>
      </c>
      <c r="AR31" s="468">
        <f t="shared" si="204"/>
        <v>0</v>
      </c>
      <c r="AS31" s="468">
        <f t="shared" si="204"/>
        <v>0</v>
      </c>
      <c r="AT31" s="468">
        <f t="shared" si="204"/>
        <v>0</v>
      </c>
      <c r="AU31" s="467">
        <f t="shared" si="204"/>
        <v>0</v>
      </c>
      <c r="AV31" s="467"/>
      <c r="AW31" s="467"/>
      <c r="AX31" s="467">
        <f t="shared" si="80"/>
        <v>0</v>
      </c>
      <c r="AY31" s="467">
        <f t="shared" si="80"/>
        <v>0</v>
      </c>
      <c r="AZ31" s="463">
        <f t="shared" si="80"/>
        <v>0</v>
      </c>
      <c r="BA31" s="467">
        <f t="shared" si="80"/>
        <v>0</v>
      </c>
      <c r="BB31" s="467">
        <f t="shared" si="80"/>
        <v>0</v>
      </c>
      <c r="BC31" s="467">
        <f t="shared" si="80"/>
        <v>0</v>
      </c>
      <c r="BD31" s="467">
        <f t="shared" si="80"/>
        <v>111566.08</v>
      </c>
      <c r="BE31" s="467">
        <f t="shared" si="80"/>
        <v>0</v>
      </c>
      <c r="BF31" s="467">
        <f t="shared" si="80"/>
        <v>0</v>
      </c>
      <c r="BG31" s="467">
        <f t="shared" si="80"/>
        <v>0</v>
      </c>
      <c r="BH31" s="467">
        <f t="shared" si="80"/>
        <v>0</v>
      </c>
      <c r="BI31" s="467">
        <f t="shared" si="80"/>
        <v>0</v>
      </c>
      <c r="BJ31" s="467">
        <f t="shared" si="80"/>
        <v>0</v>
      </c>
      <c r="BK31" s="467">
        <f t="shared" si="80"/>
        <v>0</v>
      </c>
      <c r="BL31" s="467">
        <f t="shared" si="80"/>
        <v>0</v>
      </c>
      <c r="BM31" s="467">
        <f t="shared" si="80"/>
        <v>0</v>
      </c>
      <c r="BN31" s="467">
        <f t="shared" si="80"/>
        <v>0</v>
      </c>
      <c r="BO31" s="467">
        <f t="shared" si="80"/>
        <v>0</v>
      </c>
      <c r="BP31" s="467">
        <f t="shared" si="80"/>
        <v>0</v>
      </c>
      <c r="BQ31" s="467">
        <f t="shared" si="185"/>
        <v>0</v>
      </c>
      <c r="BR31" s="469">
        <f t="shared" si="20"/>
        <v>0</v>
      </c>
    </row>
    <row r="32" spans="1:70" s="295" customFormat="1" ht="15" customHeight="1">
      <c r="A32" s="460" t="s">
        <v>135</v>
      </c>
      <c r="B32" s="461"/>
      <c r="C32" s="462"/>
      <c r="D32" s="463">
        <v>7725.48</v>
      </c>
      <c r="E32" s="462" t="s">
        <v>181</v>
      </c>
      <c r="F32" s="464"/>
      <c r="G32" s="464"/>
      <c r="H32" s="464"/>
      <c r="I32" s="464"/>
      <c r="J32" s="464"/>
      <c r="K32" s="464">
        <v>0</v>
      </c>
      <c r="L32" s="464">
        <v>1</v>
      </c>
      <c r="M32" s="464">
        <v>0</v>
      </c>
      <c r="N32" s="464">
        <v>0</v>
      </c>
      <c r="O32" s="464">
        <v>0</v>
      </c>
      <c r="P32" s="464">
        <v>0</v>
      </c>
      <c r="Q32" s="464">
        <v>0</v>
      </c>
      <c r="R32" s="464">
        <v>0</v>
      </c>
      <c r="S32" s="464"/>
      <c r="T32" s="464"/>
      <c r="U32" s="464"/>
      <c r="V32" s="464"/>
      <c r="W32" s="464"/>
      <c r="X32" s="464"/>
      <c r="Y32" s="464"/>
      <c r="Z32" s="466">
        <f t="shared" si="202"/>
        <v>1</v>
      </c>
      <c r="AA32" s="462"/>
      <c r="AB32" s="462"/>
      <c r="AC32" s="467">
        <f t="shared" si="203"/>
        <v>0</v>
      </c>
      <c r="AD32" s="467">
        <f t="shared" si="203"/>
        <v>0</v>
      </c>
      <c r="AE32" s="467">
        <f t="shared" si="203"/>
        <v>0</v>
      </c>
      <c r="AF32" s="467">
        <f t="shared" si="203"/>
        <v>0</v>
      </c>
      <c r="AG32" s="467">
        <f t="shared" si="203"/>
        <v>0</v>
      </c>
      <c r="AH32" s="467">
        <f t="shared" si="203"/>
        <v>0</v>
      </c>
      <c r="AI32" s="463">
        <f t="shared" si="203"/>
        <v>7725.48</v>
      </c>
      <c r="AJ32" s="463">
        <f t="shared" si="203"/>
        <v>0</v>
      </c>
      <c r="AK32" s="463">
        <f t="shared" si="203"/>
        <v>0</v>
      </c>
      <c r="AL32" s="463">
        <f t="shared" si="203"/>
        <v>0</v>
      </c>
      <c r="AM32" s="463">
        <f t="shared" si="204"/>
        <v>0</v>
      </c>
      <c r="AN32" s="463">
        <f t="shared" si="204"/>
        <v>0</v>
      </c>
      <c r="AO32" s="463">
        <f t="shared" si="204"/>
        <v>0</v>
      </c>
      <c r="AP32" s="468">
        <f t="shared" si="204"/>
        <v>0</v>
      </c>
      <c r="AQ32" s="468">
        <f t="shared" si="204"/>
        <v>0</v>
      </c>
      <c r="AR32" s="468">
        <f t="shared" si="204"/>
        <v>0</v>
      </c>
      <c r="AS32" s="468">
        <f t="shared" si="204"/>
        <v>0</v>
      </c>
      <c r="AT32" s="468">
        <f t="shared" si="204"/>
        <v>0</v>
      </c>
      <c r="AU32" s="467">
        <f t="shared" si="204"/>
        <v>0</v>
      </c>
      <c r="AV32" s="467"/>
      <c r="AW32" s="467"/>
      <c r="AX32" s="467">
        <f t="shared" si="80"/>
        <v>0</v>
      </c>
      <c r="AY32" s="467">
        <f t="shared" si="80"/>
        <v>0</v>
      </c>
      <c r="AZ32" s="463">
        <f t="shared" si="80"/>
        <v>0</v>
      </c>
      <c r="BA32" s="467">
        <f t="shared" si="80"/>
        <v>0</v>
      </c>
      <c r="BB32" s="467">
        <f t="shared" si="80"/>
        <v>0</v>
      </c>
      <c r="BC32" s="467">
        <f t="shared" si="80"/>
        <v>0</v>
      </c>
      <c r="BD32" s="467">
        <f t="shared" si="80"/>
        <v>7725.48</v>
      </c>
      <c r="BE32" s="467">
        <f t="shared" si="80"/>
        <v>0</v>
      </c>
      <c r="BF32" s="467">
        <f t="shared" si="80"/>
        <v>0</v>
      </c>
      <c r="BG32" s="467">
        <f t="shared" si="80"/>
        <v>0</v>
      </c>
      <c r="BH32" s="467">
        <f t="shared" si="80"/>
        <v>0</v>
      </c>
      <c r="BI32" s="467">
        <f t="shared" si="80"/>
        <v>0</v>
      </c>
      <c r="BJ32" s="467">
        <f t="shared" si="80"/>
        <v>0</v>
      </c>
      <c r="BK32" s="467">
        <f t="shared" si="80"/>
        <v>0</v>
      </c>
      <c r="BL32" s="467">
        <f t="shared" si="80"/>
        <v>0</v>
      </c>
      <c r="BM32" s="467">
        <f t="shared" si="80"/>
        <v>0</v>
      </c>
      <c r="BN32" s="467">
        <f t="shared" si="80"/>
        <v>0</v>
      </c>
      <c r="BO32" s="467">
        <f t="shared" si="80"/>
        <v>0</v>
      </c>
      <c r="BP32" s="467">
        <f t="shared" si="80"/>
        <v>0</v>
      </c>
      <c r="BQ32" s="467">
        <f t="shared" si="185"/>
        <v>0</v>
      </c>
      <c r="BR32" s="469">
        <f t="shared" si="20"/>
        <v>0</v>
      </c>
    </row>
    <row r="33" spans="1:70" s="295" customFormat="1" ht="15" customHeight="1">
      <c r="A33" s="460" t="s">
        <v>135</v>
      </c>
      <c r="B33" s="461"/>
      <c r="C33" s="462"/>
      <c r="D33" s="463">
        <v>1241.07</v>
      </c>
      <c r="E33" s="462" t="s">
        <v>221</v>
      </c>
      <c r="F33" s="464"/>
      <c r="G33" s="464"/>
      <c r="H33" s="464"/>
      <c r="I33" s="464"/>
      <c r="J33" s="464"/>
      <c r="K33" s="464">
        <v>0</v>
      </c>
      <c r="L33" s="464">
        <v>0</v>
      </c>
      <c r="M33" s="464">
        <v>1</v>
      </c>
      <c r="N33" s="464">
        <v>0</v>
      </c>
      <c r="O33" s="464">
        <v>0</v>
      </c>
      <c r="P33" s="464">
        <v>0</v>
      </c>
      <c r="Q33" s="464">
        <v>0</v>
      </c>
      <c r="R33" s="464">
        <v>0</v>
      </c>
      <c r="S33" s="464"/>
      <c r="T33" s="464"/>
      <c r="U33" s="464"/>
      <c r="V33" s="464"/>
      <c r="W33" s="464"/>
      <c r="X33" s="464"/>
      <c r="Y33" s="464"/>
      <c r="Z33" s="466">
        <f t="shared" si="202"/>
        <v>1</v>
      </c>
      <c r="AA33" s="462"/>
      <c r="AB33" s="462"/>
      <c r="AC33" s="467">
        <f t="shared" si="203"/>
        <v>0</v>
      </c>
      <c r="AD33" s="467">
        <f t="shared" si="203"/>
        <v>0</v>
      </c>
      <c r="AE33" s="467">
        <f t="shared" si="203"/>
        <v>0</v>
      </c>
      <c r="AF33" s="467">
        <f t="shared" si="203"/>
        <v>0</v>
      </c>
      <c r="AG33" s="467">
        <f t="shared" si="203"/>
        <v>0</v>
      </c>
      <c r="AH33" s="467">
        <f t="shared" si="203"/>
        <v>0</v>
      </c>
      <c r="AI33" s="463">
        <f t="shared" si="203"/>
        <v>0</v>
      </c>
      <c r="AJ33" s="463">
        <f t="shared" si="203"/>
        <v>1241.07</v>
      </c>
      <c r="AK33" s="463">
        <f t="shared" si="203"/>
        <v>0</v>
      </c>
      <c r="AL33" s="463">
        <f t="shared" si="203"/>
        <v>0</v>
      </c>
      <c r="AM33" s="463">
        <f t="shared" si="204"/>
        <v>0</v>
      </c>
      <c r="AN33" s="463">
        <f t="shared" si="204"/>
        <v>0</v>
      </c>
      <c r="AO33" s="463">
        <f t="shared" si="204"/>
        <v>0</v>
      </c>
      <c r="AP33" s="468">
        <f t="shared" si="204"/>
        <v>0</v>
      </c>
      <c r="AQ33" s="468">
        <f t="shared" si="204"/>
        <v>0</v>
      </c>
      <c r="AR33" s="468">
        <f t="shared" si="204"/>
        <v>0</v>
      </c>
      <c r="AS33" s="468">
        <f t="shared" si="204"/>
        <v>0</v>
      </c>
      <c r="AT33" s="468">
        <f t="shared" si="204"/>
        <v>0</v>
      </c>
      <c r="AU33" s="467">
        <f t="shared" si="204"/>
        <v>0</v>
      </c>
      <c r="AV33" s="467"/>
      <c r="AW33" s="467"/>
      <c r="AX33" s="467">
        <f t="shared" si="80"/>
        <v>0</v>
      </c>
      <c r="AY33" s="467">
        <f t="shared" si="80"/>
        <v>0</v>
      </c>
      <c r="AZ33" s="463">
        <f t="shared" si="80"/>
        <v>0</v>
      </c>
      <c r="BA33" s="467">
        <f t="shared" si="80"/>
        <v>0</v>
      </c>
      <c r="BB33" s="467">
        <f t="shared" si="80"/>
        <v>0</v>
      </c>
      <c r="BC33" s="467">
        <f t="shared" si="80"/>
        <v>0</v>
      </c>
      <c r="BD33" s="467">
        <f t="shared" si="80"/>
        <v>0</v>
      </c>
      <c r="BE33" s="467">
        <f t="shared" si="80"/>
        <v>1241.07</v>
      </c>
      <c r="BF33" s="467">
        <f t="shared" si="80"/>
        <v>0</v>
      </c>
      <c r="BG33" s="467">
        <f t="shared" si="80"/>
        <v>0</v>
      </c>
      <c r="BH33" s="467">
        <f t="shared" si="80"/>
        <v>0</v>
      </c>
      <c r="BI33" s="467">
        <f t="shared" si="80"/>
        <v>0</v>
      </c>
      <c r="BJ33" s="467">
        <f t="shared" si="80"/>
        <v>0</v>
      </c>
      <c r="BK33" s="467">
        <f t="shared" si="80"/>
        <v>0</v>
      </c>
      <c r="BL33" s="467">
        <f t="shared" si="80"/>
        <v>0</v>
      </c>
      <c r="BM33" s="467">
        <f t="shared" si="80"/>
        <v>0</v>
      </c>
      <c r="BN33" s="467">
        <f t="shared" si="80"/>
        <v>0</v>
      </c>
      <c r="BO33" s="467">
        <f t="shared" si="80"/>
        <v>0</v>
      </c>
      <c r="BP33" s="467">
        <f t="shared" si="80"/>
        <v>0</v>
      </c>
      <c r="BQ33" s="467">
        <f t="shared" si="185"/>
        <v>0</v>
      </c>
      <c r="BR33" s="469">
        <f t="shared" si="20"/>
        <v>0</v>
      </c>
    </row>
    <row r="34" spans="1:70" s="295" customFormat="1" ht="15" customHeight="1">
      <c r="A34" s="460" t="s">
        <v>135</v>
      </c>
      <c r="B34" s="461"/>
      <c r="C34" s="462"/>
      <c r="D34" s="463">
        <v>167.23</v>
      </c>
      <c r="E34" s="462" t="s">
        <v>244</v>
      </c>
      <c r="F34" s="464"/>
      <c r="G34" s="464"/>
      <c r="H34" s="464"/>
      <c r="I34" s="464"/>
      <c r="J34" s="464"/>
      <c r="K34" s="464">
        <v>0</v>
      </c>
      <c r="L34" s="464">
        <v>0</v>
      </c>
      <c r="M34" s="464">
        <v>0</v>
      </c>
      <c r="N34" s="464">
        <v>1</v>
      </c>
      <c r="O34" s="464">
        <v>0</v>
      </c>
      <c r="P34" s="464">
        <v>0</v>
      </c>
      <c r="Q34" s="464">
        <v>0</v>
      </c>
      <c r="R34" s="464">
        <v>0</v>
      </c>
      <c r="S34" s="464"/>
      <c r="T34" s="464"/>
      <c r="U34" s="464"/>
      <c r="V34" s="464"/>
      <c r="W34" s="464"/>
      <c r="X34" s="464"/>
      <c r="Y34" s="464"/>
      <c r="Z34" s="466">
        <f t="shared" si="202"/>
        <v>1</v>
      </c>
      <c r="AA34" s="462"/>
      <c r="AB34" s="462"/>
      <c r="AC34" s="467">
        <f t="shared" si="203"/>
        <v>0</v>
      </c>
      <c r="AD34" s="467">
        <f t="shared" si="203"/>
        <v>0</v>
      </c>
      <c r="AE34" s="467">
        <f t="shared" si="203"/>
        <v>0</v>
      </c>
      <c r="AF34" s="467">
        <f t="shared" si="203"/>
        <v>0</v>
      </c>
      <c r="AG34" s="467">
        <f t="shared" si="203"/>
        <v>0</v>
      </c>
      <c r="AH34" s="467">
        <f t="shared" si="203"/>
        <v>0</v>
      </c>
      <c r="AI34" s="463">
        <f t="shared" si="203"/>
        <v>0</v>
      </c>
      <c r="AJ34" s="463">
        <f t="shared" si="203"/>
        <v>0</v>
      </c>
      <c r="AK34" s="463">
        <f t="shared" si="203"/>
        <v>167.23</v>
      </c>
      <c r="AL34" s="463">
        <f t="shared" si="203"/>
        <v>0</v>
      </c>
      <c r="AM34" s="463">
        <f t="shared" si="204"/>
        <v>0</v>
      </c>
      <c r="AN34" s="463">
        <f t="shared" si="204"/>
        <v>0</v>
      </c>
      <c r="AO34" s="463">
        <f t="shared" si="204"/>
        <v>0</v>
      </c>
      <c r="AP34" s="468">
        <f t="shared" si="204"/>
        <v>0</v>
      </c>
      <c r="AQ34" s="468">
        <f t="shared" si="204"/>
        <v>0</v>
      </c>
      <c r="AR34" s="468">
        <f t="shared" si="204"/>
        <v>0</v>
      </c>
      <c r="AS34" s="468">
        <f t="shared" si="204"/>
        <v>0</v>
      </c>
      <c r="AT34" s="468">
        <f t="shared" si="204"/>
        <v>0</v>
      </c>
      <c r="AU34" s="467">
        <f t="shared" si="204"/>
        <v>0</v>
      </c>
      <c r="AV34" s="467"/>
      <c r="AW34" s="467"/>
      <c r="AX34" s="467">
        <f t="shared" si="80"/>
        <v>0</v>
      </c>
      <c r="AY34" s="467">
        <f t="shared" si="80"/>
        <v>0</v>
      </c>
      <c r="AZ34" s="463">
        <f t="shared" si="80"/>
        <v>0</v>
      </c>
      <c r="BA34" s="467">
        <f t="shared" si="80"/>
        <v>0</v>
      </c>
      <c r="BB34" s="467">
        <f t="shared" si="80"/>
        <v>0</v>
      </c>
      <c r="BC34" s="467">
        <f t="shared" si="80"/>
        <v>0</v>
      </c>
      <c r="BD34" s="467">
        <f t="shared" si="80"/>
        <v>0</v>
      </c>
      <c r="BE34" s="467">
        <f t="shared" si="80"/>
        <v>0</v>
      </c>
      <c r="BF34" s="467">
        <f t="shared" si="80"/>
        <v>167.23</v>
      </c>
      <c r="BG34" s="467">
        <f t="shared" si="80"/>
        <v>0</v>
      </c>
      <c r="BH34" s="467">
        <f t="shared" si="80"/>
        <v>0</v>
      </c>
      <c r="BI34" s="467">
        <f t="shared" si="80"/>
        <v>0</v>
      </c>
      <c r="BJ34" s="467">
        <f t="shared" si="80"/>
        <v>0</v>
      </c>
      <c r="BK34" s="467">
        <f t="shared" si="80"/>
        <v>0</v>
      </c>
      <c r="BL34" s="467">
        <f t="shared" si="80"/>
        <v>0</v>
      </c>
      <c r="BM34" s="467">
        <f t="shared" si="80"/>
        <v>0</v>
      </c>
      <c r="BN34" s="467">
        <f t="shared" si="80"/>
        <v>0</v>
      </c>
      <c r="BO34" s="467">
        <f t="shared" si="80"/>
        <v>0</v>
      </c>
      <c r="BP34" s="467">
        <f t="shared" si="80"/>
        <v>0</v>
      </c>
      <c r="BQ34" s="467">
        <f t="shared" si="185"/>
        <v>0</v>
      </c>
      <c r="BR34" s="469">
        <f t="shared" si="20"/>
        <v>0</v>
      </c>
    </row>
    <row r="35" spans="1:70" s="295" customFormat="1" ht="15" customHeight="1">
      <c r="A35" s="460" t="s">
        <v>135</v>
      </c>
      <c r="B35" s="461"/>
      <c r="C35" s="462"/>
      <c r="D35" s="463">
        <v>35945</v>
      </c>
      <c r="E35" s="462" t="s">
        <v>261</v>
      </c>
      <c r="F35" s="464">
        <v>0</v>
      </c>
      <c r="G35" s="464"/>
      <c r="H35" s="464"/>
      <c r="I35" s="464"/>
      <c r="J35" s="464"/>
      <c r="K35" s="464"/>
      <c r="L35" s="464">
        <v>0</v>
      </c>
      <c r="M35" s="464">
        <v>0</v>
      </c>
      <c r="N35" s="464">
        <v>0</v>
      </c>
      <c r="O35" s="464">
        <v>0</v>
      </c>
      <c r="P35" s="464">
        <v>0</v>
      </c>
      <c r="Q35" s="464">
        <v>0.29046153846153844</v>
      </c>
      <c r="R35" s="464">
        <v>0.30523076923076925</v>
      </c>
      <c r="S35" s="464">
        <v>0.30523076923076925</v>
      </c>
      <c r="T35" s="464">
        <f>1-(S35+R35+Q35)</f>
        <v>0.09907692307692306</v>
      </c>
      <c r="U35" s="464"/>
      <c r="V35" s="464"/>
      <c r="W35" s="464"/>
      <c r="X35" s="464"/>
      <c r="Y35" s="464"/>
      <c r="Z35" s="466">
        <f t="shared" si="21"/>
        <v>1</v>
      </c>
      <c r="AA35" s="462"/>
      <c r="AB35" s="462"/>
      <c r="AC35" s="467">
        <f aca="true" t="shared" si="206" ref="AC35">F35*$D35</f>
        <v>0</v>
      </c>
      <c r="AD35" s="467">
        <f aca="true" t="shared" si="207" ref="AD35">G35*$D35</f>
        <v>0</v>
      </c>
      <c r="AE35" s="467">
        <f aca="true" t="shared" si="208" ref="AE35">H35*$D35</f>
        <v>0</v>
      </c>
      <c r="AF35" s="467">
        <f aca="true" t="shared" si="209" ref="AF35">I35*$D35</f>
        <v>0</v>
      </c>
      <c r="AG35" s="467">
        <f aca="true" t="shared" si="210" ref="AG35">J35*$D35</f>
        <v>0</v>
      </c>
      <c r="AH35" s="467">
        <f aca="true" t="shared" si="211" ref="AH35">K35*$D35</f>
        <v>0</v>
      </c>
      <c r="AI35" s="463">
        <f aca="true" t="shared" si="212" ref="AI35">L35*$D35</f>
        <v>0</v>
      </c>
      <c r="AJ35" s="463">
        <f aca="true" t="shared" si="213" ref="AJ35">M35*$D35</f>
        <v>0</v>
      </c>
      <c r="AK35" s="463">
        <f aca="true" t="shared" si="214" ref="AK35">N35*$D35</f>
        <v>0</v>
      </c>
      <c r="AL35" s="463">
        <f aca="true" t="shared" si="215" ref="AL35">O35*$D35</f>
        <v>0</v>
      </c>
      <c r="AM35" s="463">
        <f aca="true" t="shared" si="216" ref="AM35">P35*$D35</f>
        <v>0</v>
      </c>
      <c r="AN35" s="463">
        <f aca="true" t="shared" si="217" ref="AN35">Q35*$D35</f>
        <v>10440.64</v>
      </c>
      <c r="AO35" s="463">
        <f aca="true" t="shared" si="218" ref="AO35">R35*$D35</f>
        <v>10971.52</v>
      </c>
      <c r="AP35" s="468">
        <f aca="true" t="shared" si="219" ref="AP35">S35*$D35</f>
        <v>10971.52</v>
      </c>
      <c r="AQ35" s="468">
        <f aca="true" t="shared" si="220" ref="AQ35">T35*$D35</f>
        <v>3561.3199999999993</v>
      </c>
      <c r="AR35" s="468">
        <f aca="true" t="shared" si="221" ref="AR35">U35*$D35</f>
        <v>0</v>
      </c>
      <c r="AS35" s="468">
        <f aca="true" t="shared" si="222" ref="AS35">V35*$D35</f>
        <v>0</v>
      </c>
      <c r="AT35" s="468">
        <f aca="true" t="shared" si="223" ref="AT35">W35*$D35</f>
        <v>0</v>
      </c>
      <c r="AU35" s="467">
        <f aca="true" t="shared" si="224" ref="AU35">X35*$D35</f>
        <v>0</v>
      </c>
      <c r="AV35" s="467"/>
      <c r="AW35" s="467"/>
      <c r="AX35" s="467">
        <f t="shared" si="17"/>
        <v>0</v>
      </c>
      <c r="AY35" s="467">
        <f t="shared" si="17"/>
        <v>0</v>
      </c>
      <c r="AZ35" s="463">
        <f t="shared" si="17"/>
        <v>0</v>
      </c>
      <c r="BA35" s="467">
        <f t="shared" si="180"/>
        <v>0</v>
      </c>
      <c r="BB35" s="467">
        <f t="shared" si="17"/>
        <v>0</v>
      </c>
      <c r="BC35" s="467">
        <f t="shared" si="17"/>
        <v>0</v>
      </c>
      <c r="BD35" s="467">
        <f t="shared" si="201"/>
        <v>0</v>
      </c>
      <c r="BE35" s="467">
        <f t="shared" si="201"/>
        <v>0</v>
      </c>
      <c r="BF35" s="467">
        <f t="shared" si="201"/>
        <v>0</v>
      </c>
      <c r="BG35" s="467">
        <f t="shared" si="201"/>
        <v>0</v>
      </c>
      <c r="BH35" s="468">
        <f t="shared" si="201"/>
        <v>35945</v>
      </c>
      <c r="BI35" s="467">
        <f t="shared" si="201"/>
        <v>0</v>
      </c>
      <c r="BJ35" s="467">
        <f t="shared" si="201"/>
        <v>0</v>
      </c>
      <c r="BK35" s="467">
        <f t="shared" si="201"/>
        <v>0</v>
      </c>
      <c r="BL35" s="467">
        <f t="shared" si="201"/>
        <v>0</v>
      </c>
      <c r="BM35" s="467">
        <f t="shared" si="101"/>
        <v>0</v>
      </c>
      <c r="BN35" s="467">
        <f t="shared" si="80"/>
        <v>0</v>
      </c>
      <c r="BO35" s="467">
        <f t="shared" si="80"/>
        <v>0</v>
      </c>
      <c r="BP35" s="467">
        <f t="shared" si="80"/>
        <v>0</v>
      </c>
      <c r="BQ35" s="467">
        <f t="shared" si="185"/>
        <v>0</v>
      </c>
      <c r="BR35" s="469">
        <f t="shared" si="20"/>
        <v>0</v>
      </c>
    </row>
    <row r="36" spans="1:70" s="295" customFormat="1" ht="15" customHeight="1">
      <c r="A36" s="460" t="s">
        <v>135</v>
      </c>
      <c r="B36" s="461"/>
      <c r="C36" s="462"/>
      <c r="D36" s="463">
        <v>18759</v>
      </c>
      <c r="E36" s="462" t="s">
        <v>261</v>
      </c>
      <c r="F36" s="464"/>
      <c r="G36" s="464"/>
      <c r="H36" s="464"/>
      <c r="I36" s="464"/>
      <c r="J36" s="464"/>
      <c r="K36" s="464"/>
      <c r="L36" s="464">
        <v>0</v>
      </c>
      <c r="M36" s="464">
        <v>0</v>
      </c>
      <c r="N36" s="464">
        <v>0</v>
      </c>
      <c r="O36" s="464">
        <v>0</v>
      </c>
      <c r="P36" s="464">
        <v>0.1723076923076923</v>
      </c>
      <c r="Q36" s="464">
        <v>0.2482051282051282</v>
      </c>
      <c r="R36" s="464">
        <v>0.2543589743589743</v>
      </c>
      <c r="S36" s="464">
        <v>0.2533333333333333</v>
      </c>
      <c r="T36" s="464">
        <f>1-(S36+R36+Q36+P36)</f>
        <v>0.07179487179487187</v>
      </c>
      <c r="U36" s="464"/>
      <c r="V36" s="464"/>
      <c r="W36" s="464"/>
      <c r="X36" s="464"/>
      <c r="Y36" s="464"/>
      <c r="Z36" s="466">
        <f aca="true" t="shared" si="225" ref="Z36">SUM(F36:X36)</f>
        <v>1</v>
      </c>
      <c r="AA36" s="462"/>
      <c r="AB36" s="462"/>
      <c r="AC36" s="467">
        <f aca="true" t="shared" si="226" ref="AC36">F36*$D36</f>
        <v>0</v>
      </c>
      <c r="AD36" s="467">
        <f aca="true" t="shared" si="227" ref="AD36">G36*$D36</f>
        <v>0</v>
      </c>
      <c r="AE36" s="467">
        <f aca="true" t="shared" si="228" ref="AE36">H36*$D36</f>
        <v>0</v>
      </c>
      <c r="AF36" s="467">
        <f aca="true" t="shared" si="229" ref="AF36">I36*$D36</f>
        <v>0</v>
      </c>
      <c r="AG36" s="467">
        <f aca="true" t="shared" si="230" ref="AG36">J36*$D36</f>
        <v>0</v>
      </c>
      <c r="AH36" s="467">
        <f aca="true" t="shared" si="231" ref="AH36">K36*$D36</f>
        <v>0</v>
      </c>
      <c r="AI36" s="463">
        <f aca="true" t="shared" si="232" ref="AI36">L36*$D36</f>
        <v>0</v>
      </c>
      <c r="AJ36" s="463">
        <f aca="true" t="shared" si="233" ref="AJ36">M36*$D36</f>
        <v>0</v>
      </c>
      <c r="AK36" s="463">
        <f aca="true" t="shared" si="234" ref="AK36">N36*$D36</f>
        <v>0</v>
      </c>
      <c r="AL36" s="463">
        <f aca="true" t="shared" si="235" ref="AL36">O36*$D36</f>
        <v>0</v>
      </c>
      <c r="AM36" s="463">
        <f aca="true" t="shared" si="236" ref="AM36">P36*$D36</f>
        <v>3232.3199999999997</v>
      </c>
      <c r="AN36" s="463">
        <f aca="true" t="shared" si="237" ref="AN36">Q36*$D36</f>
        <v>4656.08</v>
      </c>
      <c r="AO36" s="463">
        <f aca="true" t="shared" si="238" ref="AO36">R36*$D36</f>
        <v>4771.5199999999995</v>
      </c>
      <c r="AP36" s="468">
        <f aca="true" t="shared" si="239" ref="AP36">S36*$D36</f>
        <v>4752.28</v>
      </c>
      <c r="AQ36" s="468">
        <f aca="true" t="shared" si="240" ref="AQ36">T36*$D36</f>
        <v>1346.8000000000015</v>
      </c>
      <c r="AR36" s="468">
        <f aca="true" t="shared" si="241" ref="AR36">U36*$D36</f>
        <v>0</v>
      </c>
      <c r="AS36" s="468">
        <f aca="true" t="shared" si="242" ref="AS36">V36*$D36</f>
        <v>0</v>
      </c>
      <c r="AT36" s="468">
        <f aca="true" t="shared" si="243" ref="AT36">W36*$D36</f>
        <v>0</v>
      </c>
      <c r="AU36" s="467">
        <f aca="true" t="shared" si="244" ref="AU36">X36*$D36</f>
        <v>0</v>
      </c>
      <c r="AV36" s="467"/>
      <c r="AW36" s="467"/>
      <c r="AX36" s="467">
        <f aca="true" t="shared" si="245" ref="AX36:BL36">IF(AX$3=$E36,$D36,0)</f>
        <v>0</v>
      </c>
      <c r="AY36" s="467">
        <f t="shared" si="245"/>
        <v>0</v>
      </c>
      <c r="AZ36" s="463">
        <f t="shared" si="245"/>
        <v>0</v>
      </c>
      <c r="BA36" s="467">
        <f t="shared" si="180"/>
        <v>0</v>
      </c>
      <c r="BB36" s="467">
        <f t="shared" si="245"/>
        <v>0</v>
      </c>
      <c r="BC36" s="467">
        <f t="shared" si="245"/>
        <v>0</v>
      </c>
      <c r="BD36" s="467">
        <f t="shared" si="245"/>
        <v>0</v>
      </c>
      <c r="BE36" s="467">
        <f t="shared" si="245"/>
        <v>0</v>
      </c>
      <c r="BF36" s="467">
        <f t="shared" si="245"/>
        <v>0</v>
      </c>
      <c r="BG36" s="467">
        <f t="shared" si="245"/>
        <v>0</v>
      </c>
      <c r="BH36" s="467">
        <f t="shared" si="245"/>
        <v>18759</v>
      </c>
      <c r="BI36" s="467">
        <f t="shared" si="245"/>
        <v>0</v>
      </c>
      <c r="BJ36" s="467">
        <f t="shared" si="245"/>
        <v>0</v>
      </c>
      <c r="BK36" s="467">
        <f t="shared" si="245"/>
        <v>0</v>
      </c>
      <c r="BL36" s="467">
        <f t="shared" si="245"/>
        <v>0</v>
      </c>
      <c r="BM36" s="467">
        <f t="shared" si="101"/>
        <v>0</v>
      </c>
      <c r="BN36" s="467">
        <f t="shared" si="80"/>
        <v>0</v>
      </c>
      <c r="BO36" s="467">
        <f t="shared" si="80"/>
        <v>0</v>
      </c>
      <c r="BP36" s="467">
        <f t="shared" si="80"/>
        <v>0</v>
      </c>
      <c r="BQ36" s="467">
        <f t="shared" si="185"/>
        <v>0</v>
      </c>
      <c r="BR36" s="469">
        <f t="shared" si="20"/>
        <v>0</v>
      </c>
    </row>
    <row r="37" spans="1:70" s="295" customFormat="1" ht="15" customHeight="1">
      <c r="A37" s="460" t="s">
        <v>135</v>
      </c>
      <c r="B37" s="461"/>
      <c r="C37" s="462"/>
      <c r="D37" s="463">
        <v>9982.8</v>
      </c>
      <c r="E37" s="462" t="s">
        <v>261</v>
      </c>
      <c r="F37" s="464"/>
      <c r="G37" s="464"/>
      <c r="H37" s="464"/>
      <c r="I37" s="464"/>
      <c r="J37" s="464"/>
      <c r="K37" s="464">
        <v>0</v>
      </c>
      <c r="L37" s="464">
        <v>0</v>
      </c>
      <c r="M37" s="464">
        <v>0</v>
      </c>
      <c r="N37" s="464">
        <v>0</v>
      </c>
      <c r="O37" s="464">
        <v>0</v>
      </c>
      <c r="P37" s="464">
        <v>0</v>
      </c>
      <c r="Q37" s="464">
        <v>1</v>
      </c>
      <c r="R37" s="464">
        <v>0</v>
      </c>
      <c r="S37" s="464">
        <v>0</v>
      </c>
      <c r="T37" s="464">
        <v>0</v>
      </c>
      <c r="U37" s="464"/>
      <c r="V37" s="464"/>
      <c r="W37" s="464"/>
      <c r="X37" s="464"/>
      <c r="Y37" s="464"/>
      <c r="Z37" s="466">
        <f aca="true" t="shared" si="246" ref="Z37">SUM(F37:X37)</f>
        <v>1</v>
      </c>
      <c r="AA37" s="462"/>
      <c r="AB37" s="462"/>
      <c r="AC37" s="467">
        <f aca="true" t="shared" si="247" ref="AC37">F37*$D37</f>
        <v>0</v>
      </c>
      <c r="AD37" s="467">
        <f aca="true" t="shared" si="248" ref="AD37">G37*$D37</f>
        <v>0</v>
      </c>
      <c r="AE37" s="467">
        <f aca="true" t="shared" si="249" ref="AE37">H37*$D37</f>
        <v>0</v>
      </c>
      <c r="AF37" s="467">
        <f aca="true" t="shared" si="250" ref="AF37">I37*$D37</f>
        <v>0</v>
      </c>
      <c r="AG37" s="467">
        <f aca="true" t="shared" si="251" ref="AG37">J37*$D37</f>
        <v>0</v>
      </c>
      <c r="AH37" s="467">
        <f aca="true" t="shared" si="252" ref="AH37">K37*$D37</f>
        <v>0</v>
      </c>
      <c r="AI37" s="463">
        <f aca="true" t="shared" si="253" ref="AI37">L37*$D37</f>
        <v>0</v>
      </c>
      <c r="AJ37" s="463">
        <f aca="true" t="shared" si="254" ref="AJ37">M37*$D37</f>
        <v>0</v>
      </c>
      <c r="AK37" s="463">
        <f aca="true" t="shared" si="255" ref="AK37">N37*$D37</f>
        <v>0</v>
      </c>
      <c r="AL37" s="463">
        <f aca="true" t="shared" si="256" ref="AL37">O37*$D37</f>
        <v>0</v>
      </c>
      <c r="AM37" s="463">
        <f aca="true" t="shared" si="257" ref="AM37">P37*$D37</f>
        <v>0</v>
      </c>
      <c r="AN37" s="463">
        <f aca="true" t="shared" si="258" ref="AN37">Q37*$D37</f>
        <v>9982.8</v>
      </c>
      <c r="AO37" s="463">
        <f aca="true" t="shared" si="259" ref="AO37">R37*$D37</f>
        <v>0</v>
      </c>
      <c r="AP37" s="468">
        <f aca="true" t="shared" si="260" ref="AP37">S37*$D37</f>
        <v>0</v>
      </c>
      <c r="AQ37" s="468">
        <f aca="true" t="shared" si="261" ref="AQ37">T37*$D37</f>
        <v>0</v>
      </c>
      <c r="AR37" s="468">
        <f aca="true" t="shared" si="262" ref="AR37">U37*$D37</f>
        <v>0</v>
      </c>
      <c r="AS37" s="468">
        <f aca="true" t="shared" si="263" ref="AS37">V37*$D37</f>
        <v>0</v>
      </c>
      <c r="AT37" s="468">
        <f aca="true" t="shared" si="264" ref="AT37">W37*$D37</f>
        <v>0</v>
      </c>
      <c r="AU37" s="467">
        <f aca="true" t="shared" si="265" ref="AU37">X37*$D37</f>
        <v>0</v>
      </c>
      <c r="AV37" s="467"/>
      <c r="AW37" s="467"/>
      <c r="AX37" s="467">
        <f aca="true" t="shared" si="266" ref="AX37:BQ39">IF(AX$3=$E37,$D37,0)</f>
        <v>0</v>
      </c>
      <c r="AY37" s="467">
        <f t="shared" si="266"/>
        <v>0</v>
      </c>
      <c r="AZ37" s="463">
        <f t="shared" si="266"/>
        <v>0</v>
      </c>
      <c r="BA37" s="467">
        <f t="shared" si="180"/>
        <v>0</v>
      </c>
      <c r="BB37" s="467">
        <f t="shared" si="266"/>
        <v>0</v>
      </c>
      <c r="BC37" s="467">
        <f t="shared" si="266"/>
        <v>0</v>
      </c>
      <c r="BD37" s="467">
        <f t="shared" si="266"/>
        <v>0</v>
      </c>
      <c r="BE37" s="467">
        <f t="shared" si="266"/>
        <v>0</v>
      </c>
      <c r="BF37" s="467">
        <f t="shared" si="266"/>
        <v>0</v>
      </c>
      <c r="BG37" s="467">
        <f t="shared" si="266"/>
        <v>0</v>
      </c>
      <c r="BH37" s="468">
        <f t="shared" si="266"/>
        <v>9982.8</v>
      </c>
      <c r="BI37" s="467">
        <f t="shared" si="266"/>
        <v>0</v>
      </c>
      <c r="BJ37" s="467">
        <f t="shared" si="266"/>
        <v>0</v>
      </c>
      <c r="BK37" s="467">
        <f t="shared" si="266"/>
        <v>0</v>
      </c>
      <c r="BL37" s="467">
        <f t="shared" si="266"/>
        <v>0</v>
      </c>
      <c r="BM37" s="467">
        <f t="shared" si="266"/>
        <v>0</v>
      </c>
      <c r="BN37" s="467">
        <f t="shared" si="266"/>
        <v>0</v>
      </c>
      <c r="BO37" s="467">
        <f t="shared" si="266"/>
        <v>0</v>
      </c>
      <c r="BP37" s="467">
        <f t="shared" si="266"/>
        <v>0</v>
      </c>
      <c r="BQ37" s="467">
        <f t="shared" si="266"/>
        <v>0</v>
      </c>
      <c r="BR37" s="469">
        <f t="shared" si="20"/>
        <v>0</v>
      </c>
    </row>
    <row r="38" spans="1:70" s="295" customFormat="1" ht="15" customHeight="1">
      <c r="A38" s="460" t="s">
        <v>135</v>
      </c>
      <c r="B38" s="461"/>
      <c r="C38" s="462"/>
      <c r="D38" s="463">
        <v>35002.5</v>
      </c>
      <c r="E38" s="462" t="s">
        <v>262</v>
      </c>
      <c r="F38" s="464"/>
      <c r="G38" s="464"/>
      <c r="H38" s="464"/>
      <c r="I38" s="464"/>
      <c r="J38" s="464"/>
      <c r="K38" s="464">
        <v>0</v>
      </c>
      <c r="L38" s="464">
        <v>0</v>
      </c>
      <c r="M38" s="464">
        <v>0</v>
      </c>
      <c r="N38" s="464">
        <v>0</v>
      </c>
      <c r="O38" s="464">
        <v>0</v>
      </c>
      <c r="P38" s="464">
        <v>0</v>
      </c>
      <c r="Q38" s="464">
        <v>0</v>
      </c>
      <c r="R38" s="464">
        <v>0</v>
      </c>
      <c r="S38" s="464">
        <v>0.25</v>
      </c>
      <c r="T38" s="464">
        <v>0.25</v>
      </c>
      <c r="U38" s="464">
        <v>0.25</v>
      </c>
      <c r="V38" s="464">
        <v>0.25</v>
      </c>
      <c r="W38" s="464"/>
      <c r="X38" s="464"/>
      <c r="Y38" s="464"/>
      <c r="Z38" s="466">
        <f aca="true" t="shared" si="267" ref="Z38">SUM(F38:X38)</f>
        <v>1</v>
      </c>
      <c r="AA38" s="462"/>
      <c r="AB38" s="462"/>
      <c r="AC38" s="467">
        <f aca="true" t="shared" si="268" ref="AC38">F38*$D38</f>
        <v>0</v>
      </c>
      <c r="AD38" s="467">
        <f aca="true" t="shared" si="269" ref="AD38">G38*$D38</f>
        <v>0</v>
      </c>
      <c r="AE38" s="467">
        <f aca="true" t="shared" si="270" ref="AE38">H38*$D38</f>
        <v>0</v>
      </c>
      <c r="AF38" s="467">
        <f aca="true" t="shared" si="271" ref="AF38">I38*$D38</f>
        <v>0</v>
      </c>
      <c r="AG38" s="467">
        <f aca="true" t="shared" si="272" ref="AG38">J38*$D38</f>
        <v>0</v>
      </c>
      <c r="AH38" s="467">
        <f aca="true" t="shared" si="273" ref="AH38">K38*$D38</f>
        <v>0</v>
      </c>
      <c r="AI38" s="463">
        <f aca="true" t="shared" si="274" ref="AI38">L38*$D38</f>
        <v>0</v>
      </c>
      <c r="AJ38" s="463">
        <f aca="true" t="shared" si="275" ref="AJ38">M38*$D38</f>
        <v>0</v>
      </c>
      <c r="AK38" s="463">
        <f aca="true" t="shared" si="276" ref="AK38">N38*$D38</f>
        <v>0</v>
      </c>
      <c r="AL38" s="463">
        <f aca="true" t="shared" si="277" ref="AL38">O38*$D38</f>
        <v>0</v>
      </c>
      <c r="AM38" s="463">
        <f aca="true" t="shared" si="278" ref="AM38">P38*$D38</f>
        <v>0</v>
      </c>
      <c r="AN38" s="463">
        <f aca="true" t="shared" si="279" ref="AN38">Q38*$D38</f>
        <v>0</v>
      </c>
      <c r="AO38" s="463">
        <f aca="true" t="shared" si="280" ref="AO38">R38*$D38</f>
        <v>0</v>
      </c>
      <c r="AP38" s="468">
        <f aca="true" t="shared" si="281" ref="AP38">S38*$D38</f>
        <v>8750.625</v>
      </c>
      <c r="AQ38" s="468">
        <f aca="true" t="shared" si="282" ref="AQ38">T38*$D38</f>
        <v>8750.625</v>
      </c>
      <c r="AR38" s="468">
        <f aca="true" t="shared" si="283" ref="AR38">U38*$D38</f>
        <v>8750.625</v>
      </c>
      <c r="AS38" s="468">
        <f aca="true" t="shared" si="284" ref="AS38">V38*$D38</f>
        <v>8750.625</v>
      </c>
      <c r="AT38" s="467">
        <f aca="true" t="shared" si="285" ref="AT38">W38*$D38</f>
        <v>0</v>
      </c>
      <c r="AU38" s="467">
        <f aca="true" t="shared" si="286" ref="AU38">X38*$D38</f>
        <v>0</v>
      </c>
      <c r="AV38" s="467"/>
      <c r="AW38" s="467"/>
      <c r="AX38" s="467">
        <f t="shared" si="266"/>
        <v>0</v>
      </c>
      <c r="AY38" s="467">
        <f t="shared" si="266"/>
        <v>0</v>
      </c>
      <c r="AZ38" s="463">
        <f t="shared" si="266"/>
        <v>0</v>
      </c>
      <c r="BA38" s="467">
        <f t="shared" si="180"/>
        <v>0</v>
      </c>
      <c r="BB38" s="467">
        <f t="shared" si="266"/>
        <v>0</v>
      </c>
      <c r="BC38" s="467">
        <f t="shared" si="266"/>
        <v>0</v>
      </c>
      <c r="BD38" s="467">
        <f t="shared" si="266"/>
        <v>0</v>
      </c>
      <c r="BE38" s="467">
        <f t="shared" si="266"/>
        <v>0</v>
      </c>
      <c r="BF38" s="467">
        <f t="shared" si="266"/>
        <v>0</v>
      </c>
      <c r="BG38" s="467">
        <f t="shared" si="266"/>
        <v>0</v>
      </c>
      <c r="BH38" s="467">
        <f t="shared" si="266"/>
        <v>0</v>
      </c>
      <c r="BI38" s="467">
        <f t="shared" si="266"/>
        <v>0</v>
      </c>
      <c r="BJ38" s="467">
        <f t="shared" si="266"/>
        <v>0</v>
      </c>
      <c r="BK38" s="468">
        <f t="shared" si="266"/>
        <v>35002.5</v>
      </c>
      <c r="BL38" s="467">
        <f t="shared" si="266"/>
        <v>0</v>
      </c>
      <c r="BM38" s="467">
        <f t="shared" si="266"/>
        <v>0</v>
      </c>
      <c r="BN38" s="467">
        <f t="shared" si="266"/>
        <v>0</v>
      </c>
      <c r="BO38" s="467">
        <f t="shared" si="266"/>
        <v>0</v>
      </c>
      <c r="BP38" s="467">
        <f t="shared" si="266"/>
        <v>0</v>
      </c>
      <c r="BQ38" s="467">
        <f t="shared" si="266"/>
        <v>0</v>
      </c>
      <c r="BR38" s="469">
        <f t="shared" si="20"/>
        <v>0</v>
      </c>
    </row>
    <row r="39" spans="1:70" s="295" customFormat="1" ht="15" customHeight="1">
      <c r="A39" s="460" t="s">
        <v>135</v>
      </c>
      <c r="B39" s="461"/>
      <c r="C39" s="462"/>
      <c r="D39" s="463">
        <v>35002.5</v>
      </c>
      <c r="E39" s="462" t="s">
        <v>262</v>
      </c>
      <c r="F39" s="464"/>
      <c r="G39" s="464"/>
      <c r="H39" s="464"/>
      <c r="I39" s="464"/>
      <c r="J39" s="464"/>
      <c r="K39" s="464">
        <v>0</v>
      </c>
      <c r="L39" s="464">
        <v>0</v>
      </c>
      <c r="M39" s="464">
        <v>0</v>
      </c>
      <c r="N39" s="464">
        <v>0</v>
      </c>
      <c r="O39" s="464">
        <v>0</v>
      </c>
      <c r="P39" s="464">
        <v>0</v>
      </c>
      <c r="Q39" s="464">
        <v>0</v>
      </c>
      <c r="R39" s="464">
        <v>0</v>
      </c>
      <c r="S39" s="464">
        <v>0.25</v>
      </c>
      <c r="T39" s="464">
        <v>0.25</v>
      </c>
      <c r="U39" s="464">
        <v>0.25</v>
      </c>
      <c r="V39" s="464">
        <v>0.25</v>
      </c>
      <c r="W39" s="464"/>
      <c r="X39" s="464"/>
      <c r="Y39" s="464"/>
      <c r="Z39" s="466">
        <f aca="true" t="shared" si="287" ref="Z39">SUM(F39:X39)</f>
        <v>1</v>
      </c>
      <c r="AA39" s="462"/>
      <c r="AB39" s="462"/>
      <c r="AC39" s="467">
        <f aca="true" t="shared" si="288" ref="AC39">F39*$D39</f>
        <v>0</v>
      </c>
      <c r="AD39" s="467">
        <f aca="true" t="shared" si="289" ref="AD39">G39*$D39</f>
        <v>0</v>
      </c>
      <c r="AE39" s="467">
        <f aca="true" t="shared" si="290" ref="AE39">H39*$D39</f>
        <v>0</v>
      </c>
      <c r="AF39" s="467">
        <f aca="true" t="shared" si="291" ref="AF39">I39*$D39</f>
        <v>0</v>
      </c>
      <c r="AG39" s="467">
        <f aca="true" t="shared" si="292" ref="AG39">J39*$D39</f>
        <v>0</v>
      </c>
      <c r="AH39" s="467">
        <f aca="true" t="shared" si="293" ref="AH39">K39*$D39</f>
        <v>0</v>
      </c>
      <c r="AI39" s="463">
        <f aca="true" t="shared" si="294" ref="AI39">L39*$D39</f>
        <v>0</v>
      </c>
      <c r="AJ39" s="463">
        <f aca="true" t="shared" si="295" ref="AJ39">M39*$D39</f>
        <v>0</v>
      </c>
      <c r="AK39" s="463">
        <f aca="true" t="shared" si="296" ref="AK39">N39*$D39</f>
        <v>0</v>
      </c>
      <c r="AL39" s="463">
        <f aca="true" t="shared" si="297" ref="AL39">O39*$D39</f>
        <v>0</v>
      </c>
      <c r="AM39" s="463">
        <f aca="true" t="shared" si="298" ref="AM39">P39*$D39</f>
        <v>0</v>
      </c>
      <c r="AN39" s="463">
        <f aca="true" t="shared" si="299" ref="AN39">Q39*$D39</f>
        <v>0</v>
      </c>
      <c r="AO39" s="463">
        <f aca="true" t="shared" si="300" ref="AO39">R39*$D39</f>
        <v>0</v>
      </c>
      <c r="AP39" s="468">
        <f aca="true" t="shared" si="301" ref="AP39">S39*$D39</f>
        <v>8750.625</v>
      </c>
      <c r="AQ39" s="468">
        <f aca="true" t="shared" si="302" ref="AQ39">T39*$D39</f>
        <v>8750.625</v>
      </c>
      <c r="AR39" s="468">
        <f aca="true" t="shared" si="303" ref="AR39">U39*$D39</f>
        <v>8750.625</v>
      </c>
      <c r="AS39" s="468">
        <f aca="true" t="shared" si="304" ref="AS39">V39*$D39</f>
        <v>8750.625</v>
      </c>
      <c r="AT39" s="467">
        <f aca="true" t="shared" si="305" ref="AT39">W39*$D39</f>
        <v>0</v>
      </c>
      <c r="AU39" s="467">
        <f aca="true" t="shared" si="306" ref="AU39">X39*$D39</f>
        <v>0</v>
      </c>
      <c r="AV39" s="467"/>
      <c r="AW39" s="467"/>
      <c r="AX39" s="467">
        <f t="shared" si="266"/>
        <v>0</v>
      </c>
      <c r="AY39" s="467">
        <f t="shared" si="266"/>
        <v>0</v>
      </c>
      <c r="AZ39" s="463">
        <f t="shared" si="266"/>
        <v>0</v>
      </c>
      <c r="BA39" s="467">
        <f t="shared" si="180"/>
        <v>0</v>
      </c>
      <c r="BB39" s="467">
        <f t="shared" si="266"/>
        <v>0</v>
      </c>
      <c r="BC39" s="467">
        <f t="shared" si="266"/>
        <v>0</v>
      </c>
      <c r="BD39" s="467">
        <f t="shared" si="266"/>
        <v>0</v>
      </c>
      <c r="BE39" s="467">
        <f t="shared" si="266"/>
        <v>0</v>
      </c>
      <c r="BF39" s="467">
        <f t="shared" si="266"/>
        <v>0</v>
      </c>
      <c r="BG39" s="467">
        <f t="shared" si="266"/>
        <v>0</v>
      </c>
      <c r="BH39" s="467">
        <f t="shared" si="266"/>
        <v>0</v>
      </c>
      <c r="BI39" s="467">
        <f t="shared" si="266"/>
        <v>0</v>
      </c>
      <c r="BJ39" s="467">
        <f t="shared" si="266"/>
        <v>0</v>
      </c>
      <c r="BK39" s="468">
        <f t="shared" si="266"/>
        <v>35002.5</v>
      </c>
      <c r="BL39" s="467">
        <f t="shared" si="266"/>
        <v>0</v>
      </c>
      <c r="BM39" s="467">
        <f t="shared" si="266"/>
        <v>0</v>
      </c>
      <c r="BN39" s="467">
        <f t="shared" si="266"/>
        <v>0</v>
      </c>
      <c r="BO39" s="467">
        <f t="shared" si="266"/>
        <v>0</v>
      </c>
      <c r="BP39" s="467">
        <f t="shared" si="266"/>
        <v>0</v>
      </c>
      <c r="BQ39" s="467">
        <f t="shared" si="266"/>
        <v>0</v>
      </c>
      <c r="BR39" s="469">
        <f t="shared" si="20"/>
        <v>0</v>
      </c>
    </row>
    <row r="40" spans="1:70" s="295" customFormat="1" ht="15" customHeight="1">
      <c r="A40" s="460" t="s">
        <v>135</v>
      </c>
      <c r="B40" s="461"/>
      <c r="C40" s="462"/>
      <c r="D40" s="463">
        <v>35002.5</v>
      </c>
      <c r="E40" s="462" t="s">
        <v>261</v>
      </c>
      <c r="F40" s="464"/>
      <c r="G40" s="464"/>
      <c r="H40" s="464"/>
      <c r="I40" s="464"/>
      <c r="J40" s="464"/>
      <c r="K40" s="464">
        <v>0</v>
      </c>
      <c r="L40" s="464">
        <v>0</v>
      </c>
      <c r="M40" s="464">
        <v>0</v>
      </c>
      <c r="N40" s="464">
        <v>0</v>
      </c>
      <c r="O40" s="464">
        <v>0</v>
      </c>
      <c r="P40" s="464">
        <v>0</v>
      </c>
      <c r="Q40" s="464">
        <v>0.25435897435897437</v>
      </c>
      <c r="R40" s="464">
        <v>0.25435897435897437</v>
      </c>
      <c r="S40" s="464">
        <v>0.25435897435897437</v>
      </c>
      <c r="T40" s="464">
        <f>1-(S40+R40+Q40)</f>
        <v>0.2369230769230769</v>
      </c>
      <c r="U40" s="464"/>
      <c r="V40" s="464"/>
      <c r="W40" s="464"/>
      <c r="X40" s="464"/>
      <c r="Y40" s="464"/>
      <c r="Z40" s="466">
        <f>SUM(F40:X40)</f>
        <v>1</v>
      </c>
      <c r="AA40" s="462"/>
      <c r="AB40" s="462"/>
      <c r="AC40" s="467">
        <f aca="true" t="shared" si="307" ref="AC40:AL44">F40*$D40</f>
        <v>0</v>
      </c>
      <c r="AD40" s="467">
        <f t="shared" si="307"/>
        <v>0</v>
      </c>
      <c r="AE40" s="467">
        <f t="shared" si="307"/>
        <v>0</v>
      </c>
      <c r="AF40" s="467">
        <f t="shared" si="307"/>
        <v>0</v>
      </c>
      <c r="AG40" s="467">
        <f t="shared" si="307"/>
        <v>0</v>
      </c>
      <c r="AH40" s="467">
        <f t="shared" si="307"/>
        <v>0</v>
      </c>
      <c r="AI40" s="463">
        <f t="shared" si="307"/>
        <v>0</v>
      </c>
      <c r="AJ40" s="463">
        <f t="shared" si="307"/>
        <v>0</v>
      </c>
      <c r="AK40" s="463">
        <f t="shared" si="307"/>
        <v>0</v>
      </c>
      <c r="AL40" s="463">
        <f t="shared" si="307"/>
        <v>0</v>
      </c>
      <c r="AM40" s="463">
        <f aca="true" t="shared" si="308" ref="AM40:AU44">P40*$D40</f>
        <v>0</v>
      </c>
      <c r="AN40" s="463">
        <f t="shared" si="308"/>
        <v>8903.2</v>
      </c>
      <c r="AO40" s="463">
        <f t="shared" si="308"/>
        <v>8903.2</v>
      </c>
      <c r="AP40" s="463">
        <f t="shared" si="308"/>
        <v>8903.2</v>
      </c>
      <c r="AQ40" s="468">
        <f t="shared" si="308"/>
        <v>8292.9</v>
      </c>
      <c r="AR40" s="467">
        <f t="shared" si="308"/>
        <v>0</v>
      </c>
      <c r="AS40" s="467">
        <f t="shared" si="308"/>
        <v>0</v>
      </c>
      <c r="AT40" s="467">
        <f t="shared" si="308"/>
        <v>0</v>
      </c>
      <c r="AU40" s="467">
        <f t="shared" si="308"/>
        <v>0</v>
      </c>
      <c r="AV40" s="467"/>
      <c r="AW40" s="467"/>
      <c r="AX40" s="467">
        <f aca="true" t="shared" si="309" ref="AX40:BG42">IF(AX$3=$E40,$D40,0)</f>
        <v>0</v>
      </c>
      <c r="AY40" s="467">
        <f t="shared" si="309"/>
        <v>0</v>
      </c>
      <c r="AZ40" s="463">
        <f t="shared" si="309"/>
        <v>0</v>
      </c>
      <c r="BA40" s="467">
        <f t="shared" si="309"/>
        <v>0</v>
      </c>
      <c r="BB40" s="467">
        <f t="shared" si="309"/>
        <v>0</v>
      </c>
      <c r="BC40" s="467">
        <f t="shared" si="309"/>
        <v>0</v>
      </c>
      <c r="BD40" s="467">
        <f t="shared" si="309"/>
        <v>0</v>
      </c>
      <c r="BE40" s="467">
        <f t="shared" si="309"/>
        <v>0</v>
      </c>
      <c r="BF40" s="467">
        <f t="shared" si="309"/>
        <v>0</v>
      </c>
      <c r="BG40" s="467">
        <f t="shared" si="309"/>
        <v>0</v>
      </c>
      <c r="BH40" s="467">
        <f aca="true" t="shared" si="310" ref="BH40:BQ43">IF(BH$3=$E40,$D40,0)</f>
        <v>35002.5</v>
      </c>
      <c r="BI40" s="467">
        <f t="shared" si="310"/>
        <v>0</v>
      </c>
      <c r="BJ40" s="467">
        <f t="shared" si="310"/>
        <v>0</v>
      </c>
      <c r="BK40" s="467">
        <f t="shared" si="310"/>
        <v>0</v>
      </c>
      <c r="BL40" s="467">
        <f t="shared" si="310"/>
        <v>0</v>
      </c>
      <c r="BM40" s="467">
        <f t="shared" si="310"/>
        <v>0</v>
      </c>
      <c r="BN40" s="467">
        <f t="shared" si="310"/>
        <v>0</v>
      </c>
      <c r="BO40" s="467">
        <f t="shared" si="310"/>
        <v>0</v>
      </c>
      <c r="BP40" s="467">
        <f t="shared" si="310"/>
        <v>0</v>
      </c>
      <c r="BQ40" s="467">
        <f t="shared" si="310"/>
        <v>0</v>
      </c>
      <c r="BR40" s="469">
        <f t="shared" si="20"/>
        <v>0</v>
      </c>
    </row>
    <row r="41" spans="1:70" s="295" customFormat="1" ht="15" customHeight="1">
      <c r="A41" s="460" t="s">
        <v>135</v>
      </c>
      <c r="B41" s="461"/>
      <c r="C41" s="462"/>
      <c r="D41" s="463">
        <v>30299.6</v>
      </c>
      <c r="E41" s="462" t="s">
        <v>213</v>
      </c>
      <c r="F41" s="464"/>
      <c r="G41" s="464"/>
      <c r="H41" s="464"/>
      <c r="I41" s="464"/>
      <c r="J41" s="464"/>
      <c r="K41" s="464">
        <v>0</v>
      </c>
      <c r="L41" s="464">
        <v>0</v>
      </c>
      <c r="M41" s="464">
        <v>0</v>
      </c>
      <c r="N41" s="464">
        <v>0</v>
      </c>
      <c r="O41" s="464">
        <v>0</v>
      </c>
      <c r="P41" s="464">
        <v>0</v>
      </c>
      <c r="Q41" s="464">
        <v>0</v>
      </c>
      <c r="R41" s="464">
        <v>0</v>
      </c>
      <c r="S41" s="464">
        <v>0</v>
      </c>
      <c r="T41" s="464">
        <v>0</v>
      </c>
      <c r="U41" s="464">
        <v>0.29383886255924174</v>
      </c>
      <c r="V41" s="464">
        <v>0.3080568720379147</v>
      </c>
      <c r="W41" s="464">
        <v>0.2985781990521327</v>
      </c>
      <c r="X41" s="464">
        <v>0.0995260663507109</v>
      </c>
      <c r="Y41" s="464"/>
      <c r="Z41" s="466">
        <f>SUM(F41:X41)</f>
        <v>1</v>
      </c>
      <c r="AA41" s="462"/>
      <c r="AB41" s="462"/>
      <c r="AC41" s="467">
        <f aca="true" t="shared" si="311" ref="AC41">F41*$D41</f>
        <v>0</v>
      </c>
      <c r="AD41" s="467">
        <f aca="true" t="shared" si="312" ref="AD41">G41*$D41</f>
        <v>0</v>
      </c>
      <c r="AE41" s="467">
        <f aca="true" t="shared" si="313" ref="AE41">H41*$D41</f>
        <v>0</v>
      </c>
      <c r="AF41" s="467">
        <f aca="true" t="shared" si="314" ref="AF41">I41*$D41</f>
        <v>0</v>
      </c>
      <c r="AG41" s="467">
        <f aca="true" t="shared" si="315" ref="AG41">J41*$D41</f>
        <v>0</v>
      </c>
      <c r="AH41" s="467">
        <f aca="true" t="shared" si="316" ref="AH41">K41*$D41</f>
        <v>0</v>
      </c>
      <c r="AI41" s="463">
        <f aca="true" t="shared" si="317" ref="AI41">L41*$D41</f>
        <v>0</v>
      </c>
      <c r="AJ41" s="463">
        <f aca="true" t="shared" si="318" ref="AJ41">M41*$D41</f>
        <v>0</v>
      </c>
      <c r="AK41" s="463">
        <f aca="true" t="shared" si="319" ref="AK41">N41*$D41</f>
        <v>0</v>
      </c>
      <c r="AL41" s="463">
        <f aca="true" t="shared" si="320" ref="AL41">O41*$D41</f>
        <v>0</v>
      </c>
      <c r="AM41" s="463">
        <f aca="true" t="shared" si="321" ref="AM41">P41*$D41</f>
        <v>0</v>
      </c>
      <c r="AN41" s="463">
        <f aca="true" t="shared" si="322" ref="AN41">Q41*$D41</f>
        <v>0</v>
      </c>
      <c r="AO41" s="463">
        <f aca="true" t="shared" si="323" ref="AO41">R41*$D41</f>
        <v>0</v>
      </c>
      <c r="AP41" s="463">
        <f aca="true" t="shared" si="324" ref="AP41">S41*$D41</f>
        <v>0</v>
      </c>
      <c r="AQ41" s="468">
        <f aca="true" t="shared" si="325" ref="AQ41">T41*$D41</f>
        <v>0</v>
      </c>
      <c r="AR41" s="468">
        <f aca="true" t="shared" si="326" ref="AR41">U41*$D41</f>
        <v>8903.2</v>
      </c>
      <c r="AS41" s="468">
        <f aca="true" t="shared" si="327" ref="AS41">V41*$D41</f>
        <v>9334</v>
      </c>
      <c r="AT41" s="468">
        <f aca="true" t="shared" si="328" ref="AT41">W41*$D41</f>
        <v>9046.8</v>
      </c>
      <c r="AU41" s="468">
        <f aca="true" t="shared" si="329" ref="AU41">X41*$D41</f>
        <v>3015.6</v>
      </c>
      <c r="AV41" s="467"/>
      <c r="AW41" s="467"/>
      <c r="AX41" s="467">
        <f t="shared" si="309"/>
        <v>0</v>
      </c>
      <c r="AY41" s="467">
        <f t="shared" si="309"/>
        <v>0</v>
      </c>
      <c r="AZ41" s="463">
        <f t="shared" si="309"/>
        <v>0</v>
      </c>
      <c r="BA41" s="467">
        <f t="shared" si="309"/>
        <v>0</v>
      </c>
      <c r="BB41" s="467">
        <f t="shared" si="309"/>
        <v>0</v>
      </c>
      <c r="BC41" s="467">
        <f t="shared" si="309"/>
        <v>0</v>
      </c>
      <c r="BD41" s="467">
        <f t="shared" si="309"/>
        <v>0</v>
      </c>
      <c r="BE41" s="467">
        <f t="shared" si="309"/>
        <v>0</v>
      </c>
      <c r="BF41" s="467">
        <f t="shared" si="309"/>
        <v>0</v>
      </c>
      <c r="BG41" s="467">
        <f t="shared" si="309"/>
        <v>0</v>
      </c>
      <c r="BH41" s="467">
        <f t="shared" si="310"/>
        <v>0</v>
      </c>
      <c r="BI41" s="467">
        <f t="shared" si="310"/>
        <v>0</v>
      </c>
      <c r="BJ41" s="467">
        <f t="shared" si="310"/>
        <v>0</v>
      </c>
      <c r="BK41" s="467">
        <f t="shared" si="310"/>
        <v>0</v>
      </c>
      <c r="BL41" s="467">
        <f t="shared" si="310"/>
        <v>30299.6</v>
      </c>
      <c r="BM41" s="467">
        <f t="shared" si="310"/>
        <v>0</v>
      </c>
      <c r="BN41" s="467">
        <f t="shared" si="310"/>
        <v>0</v>
      </c>
      <c r="BO41" s="467">
        <f t="shared" si="310"/>
        <v>0</v>
      </c>
      <c r="BP41" s="467">
        <f t="shared" si="310"/>
        <v>0</v>
      </c>
      <c r="BQ41" s="467">
        <f t="shared" si="310"/>
        <v>0</v>
      </c>
      <c r="BR41" s="469">
        <f aca="true" t="shared" si="330" ref="BR41">SUM(AC41:AV41)-SUM(AX41:BQ41)</f>
        <v>0</v>
      </c>
    </row>
    <row r="42" spans="1:70" s="295" customFormat="1" ht="15" customHeight="1">
      <c r="A42" s="460" t="s">
        <v>135</v>
      </c>
      <c r="B42" s="461"/>
      <c r="C42" s="462"/>
      <c r="D42" s="463">
        <v>43134</v>
      </c>
      <c r="E42" s="462" t="s">
        <v>213</v>
      </c>
      <c r="F42" s="464"/>
      <c r="G42" s="464"/>
      <c r="H42" s="464"/>
      <c r="I42" s="464"/>
      <c r="J42" s="464"/>
      <c r="K42" s="464"/>
      <c r="L42" s="464">
        <v>0</v>
      </c>
      <c r="M42" s="464">
        <v>0</v>
      </c>
      <c r="N42" s="464">
        <v>0</v>
      </c>
      <c r="O42" s="464">
        <v>0</v>
      </c>
      <c r="P42" s="464">
        <v>0</v>
      </c>
      <c r="Q42" s="464">
        <v>0</v>
      </c>
      <c r="R42" s="464">
        <v>0</v>
      </c>
      <c r="S42" s="464">
        <v>0</v>
      </c>
      <c r="T42" s="464">
        <v>0.17481789802289285</v>
      </c>
      <c r="U42" s="464">
        <v>0.2434963579604579</v>
      </c>
      <c r="V42" s="464">
        <v>0.2705515088449532</v>
      </c>
      <c r="W42" s="464">
        <v>0.2570239334027056</v>
      </c>
      <c r="X42" s="464">
        <v>0.05411030176899065</v>
      </c>
      <c r="Y42" s="464"/>
      <c r="Z42" s="466">
        <f aca="true" t="shared" si="331" ref="Z42">SUM(F42:X42)</f>
        <v>1.0000000000000002</v>
      </c>
      <c r="AA42" s="462"/>
      <c r="AB42" s="462"/>
      <c r="AC42" s="467">
        <f t="shared" si="307"/>
        <v>0</v>
      </c>
      <c r="AD42" s="467">
        <f t="shared" si="307"/>
        <v>0</v>
      </c>
      <c r="AE42" s="467">
        <f t="shared" si="307"/>
        <v>0</v>
      </c>
      <c r="AF42" s="467">
        <f t="shared" si="307"/>
        <v>0</v>
      </c>
      <c r="AG42" s="467">
        <f t="shared" si="307"/>
        <v>0</v>
      </c>
      <c r="AH42" s="467">
        <f t="shared" si="307"/>
        <v>0</v>
      </c>
      <c r="AI42" s="463">
        <f t="shared" si="307"/>
        <v>0</v>
      </c>
      <c r="AJ42" s="463">
        <f t="shared" si="307"/>
        <v>0</v>
      </c>
      <c r="AK42" s="463">
        <f t="shared" si="307"/>
        <v>0</v>
      </c>
      <c r="AL42" s="463">
        <f t="shared" si="307"/>
        <v>0</v>
      </c>
      <c r="AM42" s="463">
        <f t="shared" si="308"/>
        <v>0</v>
      </c>
      <c r="AN42" s="463">
        <f t="shared" si="308"/>
        <v>0</v>
      </c>
      <c r="AO42" s="463">
        <f t="shared" si="308"/>
        <v>0</v>
      </c>
      <c r="AP42" s="463">
        <f t="shared" si="308"/>
        <v>0</v>
      </c>
      <c r="AQ42" s="468">
        <f t="shared" si="308"/>
        <v>7540.5952133194605</v>
      </c>
      <c r="AR42" s="468">
        <f t="shared" si="308"/>
        <v>10502.971904266391</v>
      </c>
      <c r="AS42" s="468">
        <f t="shared" si="308"/>
        <v>11669.968782518212</v>
      </c>
      <c r="AT42" s="468">
        <f t="shared" si="308"/>
        <v>11086.470343392302</v>
      </c>
      <c r="AU42" s="468">
        <f t="shared" si="308"/>
        <v>2333.9937565036425</v>
      </c>
      <c r="AV42" s="467"/>
      <c r="AW42" s="467"/>
      <c r="AX42" s="467">
        <f t="shared" si="17"/>
        <v>0</v>
      </c>
      <c r="AY42" s="467">
        <f t="shared" si="17"/>
        <v>0</v>
      </c>
      <c r="AZ42" s="463">
        <f t="shared" si="17"/>
        <v>0</v>
      </c>
      <c r="BA42" s="467">
        <f t="shared" si="180"/>
        <v>0</v>
      </c>
      <c r="BB42" s="467">
        <f t="shared" si="17"/>
        <v>0</v>
      </c>
      <c r="BC42" s="467">
        <f t="shared" si="17"/>
        <v>0</v>
      </c>
      <c r="BD42" s="467">
        <f t="shared" si="309"/>
        <v>0</v>
      </c>
      <c r="BE42" s="467">
        <f t="shared" si="17"/>
        <v>0</v>
      </c>
      <c r="BF42" s="467">
        <f t="shared" si="17"/>
        <v>0</v>
      </c>
      <c r="BG42" s="467">
        <f t="shared" si="17"/>
        <v>0</v>
      </c>
      <c r="BH42" s="467">
        <f t="shared" si="17"/>
        <v>0</v>
      </c>
      <c r="BI42" s="467">
        <f t="shared" si="17"/>
        <v>0</v>
      </c>
      <c r="BJ42" s="467">
        <f t="shared" si="17"/>
        <v>0</v>
      </c>
      <c r="BK42" s="467">
        <f t="shared" si="17"/>
        <v>0</v>
      </c>
      <c r="BL42" s="467">
        <f t="shared" si="17"/>
        <v>43134</v>
      </c>
      <c r="BM42" s="467">
        <f t="shared" si="101"/>
        <v>0</v>
      </c>
      <c r="BN42" s="467">
        <f t="shared" si="310"/>
        <v>0</v>
      </c>
      <c r="BO42" s="467">
        <f t="shared" si="310"/>
        <v>0</v>
      </c>
      <c r="BP42" s="467">
        <f t="shared" si="310"/>
        <v>0</v>
      </c>
      <c r="BQ42" s="467">
        <f t="shared" si="310"/>
        <v>0</v>
      </c>
      <c r="BR42" s="469">
        <f aca="true" t="shared" si="332" ref="BR42:BR43">SUM(AC42:AV42)-SUM(AX42:BQ42)</f>
        <v>0</v>
      </c>
    </row>
    <row r="43" spans="1:70" s="295" customFormat="1" ht="15" customHeight="1">
      <c r="A43" s="460" t="s">
        <v>135</v>
      </c>
      <c r="B43" s="461"/>
      <c r="C43" s="462"/>
      <c r="D43" s="463">
        <v>18489.64</v>
      </c>
      <c r="E43" s="462" t="s">
        <v>213</v>
      </c>
      <c r="F43" s="464"/>
      <c r="G43" s="464"/>
      <c r="H43" s="464"/>
      <c r="I43" s="464"/>
      <c r="J43" s="464"/>
      <c r="K43" s="464"/>
      <c r="L43" s="464">
        <v>0</v>
      </c>
      <c r="M43" s="464">
        <v>0</v>
      </c>
      <c r="N43" s="464">
        <v>0</v>
      </c>
      <c r="O43" s="464">
        <v>0</v>
      </c>
      <c r="P43" s="464">
        <v>0</v>
      </c>
      <c r="Q43" s="464">
        <v>0</v>
      </c>
      <c r="R43" s="464">
        <v>0</v>
      </c>
      <c r="S43" s="464">
        <v>0</v>
      </c>
      <c r="T43" s="464">
        <v>0.17481789802289285</v>
      </c>
      <c r="U43" s="464">
        <v>0.2434963579604579</v>
      </c>
      <c r="V43" s="464">
        <v>0.2705515088449532</v>
      </c>
      <c r="W43" s="464">
        <v>0.2570239334027056</v>
      </c>
      <c r="X43" s="464">
        <v>0.05411030176899065</v>
      </c>
      <c r="Y43" s="464"/>
      <c r="Z43" s="466">
        <f aca="true" t="shared" si="333" ref="Z43">SUM(F43:X43)</f>
        <v>1.0000000000000002</v>
      </c>
      <c r="AA43" s="462"/>
      <c r="AB43" s="462"/>
      <c r="AC43" s="467">
        <f t="shared" si="307"/>
        <v>0</v>
      </c>
      <c r="AD43" s="467">
        <f t="shared" si="307"/>
        <v>0</v>
      </c>
      <c r="AE43" s="467">
        <f t="shared" si="307"/>
        <v>0</v>
      </c>
      <c r="AF43" s="467">
        <f t="shared" si="307"/>
        <v>0</v>
      </c>
      <c r="AG43" s="467">
        <f t="shared" si="307"/>
        <v>0</v>
      </c>
      <c r="AH43" s="467">
        <f t="shared" si="307"/>
        <v>0</v>
      </c>
      <c r="AI43" s="463">
        <f t="shared" si="307"/>
        <v>0</v>
      </c>
      <c r="AJ43" s="463">
        <f t="shared" si="307"/>
        <v>0</v>
      </c>
      <c r="AK43" s="463">
        <f t="shared" si="307"/>
        <v>0</v>
      </c>
      <c r="AL43" s="463">
        <f t="shared" si="307"/>
        <v>0</v>
      </c>
      <c r="AM43" s="463">
        <f t="shared" si="308"/>
        <v>0</v>
      </c>
      <c r="AN43" s="468">
        <f t="shared" si="308"/>
        <v>0</v>
      </c>
      <c r="AO43" s="468">
        <f t="shared" si="308"/>
        <v>0</v>
      </c>
      <c r="AP43" s="468">
        <f t="shared" si="308"/>
        <v>0</v>
      </c>
      <c r="AQ43" s="468">
        <f t="shared" si="308"/>
        <v>3232.3200000000006</v>
      </c>
      <c r="AR43" s="468">
        <f t="shared" si="308"/>
        <v>4502.160000000001</v>
      </c>
      <c r="AS43" s="468">
        <f t="shared" si="308"/>
        <v>5002.400000000001</v>
      </c>
      <c r="AT43" s="468">
        <f t="shared" si="308"/>
        <v>4752.280000000001</v>
      </c>
      <c r="AU43" s="468">
        <f t="shared" si="308"/>
        <v>1000.4800000000002</v>
      </c>
      <c r="AV43" s="467"/>
      <c r="AW43" s="467"/>
      <c r="AX43" s="467">
        <f t="shared" si="17"/>
        <v>0</v>
      </c>
      <c r="AY43" s="467">
        <f t="shared" si="17"/>
        <v>0</v>
      </c>
      <c r="AZ43" s="463">
        <f t="shared" si="17"/>
        <v>0</v>
      </c>
      <c r="BA43" s="467">
        <f t="shared" si="17"/>
        <v>0</v>
      </c>
      <c r="BB43" s="467">
        <f t="shared" si="17"/>
        <v>0</v>
      </c>
      <c r="BC43" s="467">
        <f t="shared" si="17"/>
        <v>0</v>
      </c>
      <c r="BD43" s="467">
        <f t="shared" si="17"/>
        <v>0</v>
      </c>
      <c r="BE43" s="467">
        <f t="shared" si="17"/>
        <v>0</v>
      </c>
      <c r="BF43" s="467">
        <f t="shared" si="17"/>
        <v>0</v>
      </c>
      <c r="BG43" s="467">
        <f t="shared" si="17"/>
        <v>0</v>
      </c>
      <c r="BH43" s="467">
        <f t="shared" si="17"/>
        <v>0</v>
      </c>
      <c r="BI43" s="467">
        <f t="shared" si="17"/>
        <v>0</v>
      </c>
      <c r="BJ43" s="467">
        <f t="shared" si="17"/>
        <v>0</v>
      </c>
      <c r="BK43" s="467">
        <f t="shared" si="17"/>
        <v>0</v>
      </c>
      <c r="BL43" s="467">
        <f t="shared" si="17"/>
        <v>18489.64</v>
      </c>
      <c r="BM43" s="467">
        <f t="shared" si="17"/>
        <v>0</v>
      </c>
      <c r="BN43" s="467">
        <f t="shared" si="17"/>
        <v>0</v>
      </c>
      <c r="BO43" s="467">
        <f t="shared" si="310"/>
        <v>0</v>
      </c>
      <c r="BP43" s="467">
        <f t="shared" si="310"/>
        <v>0</v>
      </c>
      <c r="BQ43" s="467">
        <f t="shared" si="310"/>
        <v>0</v>
      </c>
      <c r="BR43" s="469">
        <f t="shared" si="332"/>
        <v>0</v>
      </c>
    </row>
    <row r="44" spans="1:70" s="295" customFormat="1" ht="15" customHeight="1">
      <c r="A44" s="460" t="s">
        <v>135</v>
      </c>
      <c r="B44" s="461"/>
      <c r="C44" s="462"/>
      <c r="D44" s="463">
        <v>72465.26</v>
      </c>
      <c r="E44" s="462" t="s">
        <v>261</v>
      </c>
      <c r="F44" s="464"/>
      <c r="G44" s="464"/>
      <c r="H44" s="464"/>
      <c r="I44" s="464"/>
      <c r="J44" s="464"/>
      <c r="K44" s="464">
        <v>0</v>
      </c>
      <c r="L44" s="464">
        <v>0</v>
      </c>
      <c r="M44" s="464">
        <v>0</v>
      </c>
      <c r="N44" s="464">
        <v>0</v>
      </c>
      <c r="O44" s="464">
        <v>0</v>
      </c>
      <c r="P44" s="464">
        <v>0.08951047715829627</v>
      </c>
      <c r="Q44" s="464">
        <v>0.27748247919071845</v>
      </c>
      <c r="R44" s="464">
        <v>0.27748247919071845</v>
      </c>
      <c r="S44" s="464">
        <v>0.27748247919071845</v>
      </c>
      <c r="T44" s="464">
        <f>1-(S44+R44+Q44+P44)</f>
        <v>0.07804208526954837</v>
      </c>
      <c r="U44" s="464"/>
      <c r="V44" s="464"/>
      <c r="W44" s="464"/>
      <c r="X44" s="464"/>
      <c r="Y44" s="464"/>
      <c r="Z44" s="466">
        <f aca="true" t="shared" si="334" ref="Z44">SUM(F44:X44)</f>
        <v>1</v>
      </c>
      <c r="AA44" s="462"/>
      <c r="AB44" s="462"/>
      <c r="AC44" s="467">
        <f t="shared" si="307"/>
        <v>0</v>
      </c>
      <c r="AD44" s="467">
        <f t="shared" si="307"/>
        <v>0</v>
      </c>
      <c r="AE44" s="467">
        <f t="shared" si="307"/>
        <v>0</v>
      </c>
      <c r="AF44" s="467">
        <f t="shared" si="307"/>
        <v>0</v>
      </c>
      <c r="AG44" s="467">
        <f t="shared" si="307"/>
        <v>0</v>
      </c>
      <c r="AH44" s="467">
        <f t="shared" si="307"/>
        <v>0</v>
      </c>
      <c r="AI44" s="463">
        <f t="shared" si="307"/>
        <v>0</v>
      </c>
      <c r="AJ44" s="463">
        <f t="shared" si="307"/>
        <v>0</v>
      </c>
      <c r="AK44" s="463">
        <f t="shared" si="307"/>
        <v>0</v>
      </c>
      <c r="AL44" s="463">
        <f t="shared" si="307"/>
        <v>0</v>
      </c>
      <c r="AM44" s="463">
        <f t="shared" si="308"/>
        <v>6486.4</v>
      </c>
      <c r="AN44" s="463">
        <f t="shared" si="308"/>
        <v>20107.84</v>
      </c>
      <c r="AO44" s="463">
        <f t="shared" si="308"/>
        <v>20107.84</v>
      </c>
      <c r="AP44" s="463">
        <f t="shared" si="308"/>
        <v>20107.84</v>
      </c>
      <c r="AQ44" s="468">
        <f t="shared" si="308"/>
        <v>5655.339999999992</v>
      </c>
      <c r="AR44" s="467">
        <f t="shared" si="308"/>
        <v>0</v>
      </c>
      <c r="AS44" s="467">
        <f t="shared" si="308"/>
        <v>0</v>
      </c>
      <c r="AT44" s="467">
        <f t="shared" si="308"/>
        <v>0</v>
      </c>
      <c r="AU44" s="467">
        <f t="shared" si="308"/>
        <v>0</v>
      </c>
      <c r="AV44" s="467"/>
      <c r="AW44" s="467"/>
      <c r="AX44" s="467">
        <f t="shared" si="17"/>
        <v>0</v>
      </c>
      <c r="AY44" s="467">
        <f t="shared" si="17"/>
        <v>0</v>
      </c>
      <c r="AZ44" s="463">
        <f t="shared" si="17"/>
        <v>0</v>
      </c>
      <c r="BA44" s="467">
        <f t="shared" si="180"/>
        <v>0</v>
      </c>
      <c r="BB44" s="467">
        <f t="shared" si="17"/>
        <v>0</v>
      </c>
      <c r="BC44" s="467">
        <f t="shared" si="17"/>
        <v>0</v>
      </c>
      <c r="BD44" s="467">
        <f t="shared" si="17"/>
        <v>0</v>
      </c>
      <c r="BE44" s="467">
        <f t="shared" si="17"/>
        <v>0</v>
      </c>
      <c r="BF44" s="467">
        <f t="shared" si="17"/>
        <v>0</v>
      </c>
      <c r="BG44" s="467">
        <f t="shared" si="17"/>
        <v>0</v>
      </c>
      <c r="BH44" s="467">
        <f t="shared" si="17"/>
        <v>72465.26</v>
      </c>
      <c r="BI44" s="467">
        <f t="shared" si="17"/>
        <v>0</v>
      </c>
      <c r="BJ44" s="467">
        <f t="shared" si="17"/>
        <v>0</v>
      </c>
      <c r="BK44" s="467">
        <f t="shared" si="17"/>
        <v>0</v>
      </c>
      <c r="BL44" s="467">
        <f t="shared" si="17"/>
        <v>0</v>
      </c>
      <c r="BM44" s="467">
        <f t="shared" si="101"/>
        <v>0</v>
      </c>
      <c r="BN44" s="467">
        <f aca="true" t="shared" si="335" ref="BN44:BQ58">IF(BN$3=$E44,$D44,0)</f>
        <v>0</v>
      </c>
      <c r="BO44" s="467">
        <f t="shared" si="335"/>
        <v>0</v>
      </c>
      <c r="BP44" s="467">
        <f t="shared" si="335"/>
        <v>0</v>
      </c>
      <c r="BQ44" s="467">
        <f t="shared" si="335"/>
        <v>0</v>
      </c>
      <c r="BR44" s="469">
        <f aca="true" t="shared" si="336" ref="BR44">SUM(AC44:AV44)-SUM(AX44:BQ44)</f>
        <v>0</v>
      </c>
    </row>
    <row r="45" spans="1:70" ht="15" customHeight="1">
      <c r="A45" s="460" t="s">
        <v>135</v>
      </c>
      <c r="B45" s="461"/>
      <c r="C45" s="462"/>
      <c r="D45" s="463">
        <v>79053</v>
      </c>
      <c r="E45" s="462" t="s">
        <v>213</v>
      </c>
      <c r="F45" s="464"/>
      <c r="G45" s="464"/>
      <c r="H45" s="464"/>
      <c r="I45" s="464"/>
      <c r="J45" s="464"/>
      <c r="K45" s="464">
        <v>0</v>
      </c>
      <c r="L45" s="464">
        <v>0</v>
      </c>
      <c r="M45" s="464">
        <v>0</v>
      </c>
      <c r="N45" s="464">
        <v>0</v>
      </c>
      <c r="O45" s="464">
        <v>0</v>
      </c>
      <c r="P45" s="464">
        <v>0</v>
      </c>
      <c r="Q45" s="464">
        <v>0</v>
      </c>
      <c r="R45" s="464">
        <v>0</v>
      </c>
      <c r="S45" s="464">
        <v>0</v>
      </c>
      <c r="T45" s="472">
        <v>0.1723076923076923</v>
      </c>
      <c r="U45" s="472">
        <v>0.2543589743589743</v>
      </c>
      <c r="V45" s="472">
        <v>0.26666666666666666</v>
      </c>
      <c r="W45" s="472">
        <v>0.25846153846153846</v>
      </c>
      <c r="X45" s="472">
        <v>0.048205128205128206</v>
      </c>
      <c r="Y45" s="464"/>
      <c r="Z45" s="466">
        <f t="shared" si="21"/>
        <v>1</v>
      </c>
      <c r="AA45" s="462"/>
      <c r="AB45" s="462"/>
      <c r="AC45" s="467">
        <f t="shared" si="0"/>
        <v>0</v>
      </c>
      <c r="AD45" s="467">
        <f t="shared" si="1"/>
        <v>0</v>
      </c>
      <c r="AE45" s="467">
        <f t="shared" si="2"/>
        <v>0</v>
      </c>
      <c r="AF45" s="467">
        <f t="shared" si="3"/>
        <v>0</v>
      </c>
      <c r="AG45" s="467">
        <f aca="true" t="shared" si="337" ref="AG45:AH47">J45*$D45</f>
        <v>0</v>
      </c>
      <c r="AH45" s="467">
        <f t="shared" si="337"/>
        <v>0</v>
      </c>
      <c r="AI45" s="463">
        <f t="shared" si="23"/>
        <v>0</v>
      </c>
      <c r="AJ45" s="463">
        <f t="shared" si="24"/>
        <v>0</v>
      </c>
      <c r="AK45" s="463">
        <f aca="true" t="shared" si="338" ref="AK45:AK57">N45*$D45</f>
        <v>0</v>
      </c>
      <c r="AL45" s="463">
        <f t="shared" si="19"/>
        <v>0</v>
      </c>
      <c r="AM45" s="463">
        <f t="shared" si="8"/>
        <v>0</v>
      </c>
      <c r="AN45" s="463">
        <f t="shared" si="9"/>
        <v>0</v>
      </c>
      <c r="AO45" s="463">
        <f t="shared" si="10"/>
        <v>0</v>
      </c>
      <c r="AP45" s="463">
        <f t="shared" si="11"/>
        <v>0</v>
      </c>
      <c r="AQ45" s="468">
        <f t="shared" si="12"/>
        <v>13621.439999999999</v>
      </c>
      <c r="AR45" s="468">
        <f t="shared" si="13"/>
        <v>20107.839999999997</v>
      </c>
      <c r="AS45" s="468">
        <f t="shared" si="14"/>
        <v>21080.8</v>
      </c>
      <c r="AT45" s="468">
        <f t="shared" si="15"/>
        <v>20432.16</v>
      </c>
      <c r="AU45" s="468">
        <f t="shared" si="16"/>
        <v>3810.76</v>
      </c>
      <c r="AV45" s="467"/>
      <c r="AW45" s="467"/>
      <c r="AX45" s="467">
        <f t="shared" si="17"/>
        <v>0</v>
      </c>
      <c r="AY45" s="467">
        <f t="shared" si="17"/>
        <v>0</v>
      </c>
      <c r="AZ45" s="463">
        <f t="shared" si="17"/>
        <v>0</v>
      </c>
      <c r="BA45" s="467">
        <f t="shared" si="180"/>
        <v>0</v>
      </c>
      <c r="BB45" s="467">
        <f t="shared" si="17"/>
        <v>0</v>
      </c>
      <c r="BC45" s="467">
        <f t="shared" si="17"/>
        <v>0</v>
      </c>
      <c r="BD45" s="467">
        <f t="shared" si="17"/>
        <v>0</v>
      </c>
      <c r="BE45" s="467">
        <f t="shared" si="17"/>
        <v>0</v>
      </c>
      <c r="BF45" s="467">
        <f t="shared" si="17"/>
        <v>0</v>
      </c>
      <c r="BG45" s="467">
        <f t="shared" si="17"/>
        <v>0</v>
      </c>
      <c r="BH45" s="467">
        <f t="shared" si="17"/>
        <v>0</v>
      </c>
      <c r="BI45" s="467">
        <f t="shared" si="17"/>
        <v>0</v>
      </c>
      <c r="BJ45" s="467">
        <f t="shared" si="17"/>
        <v>0</v>
      </c>
      <c r="BK45" s="467">
        <f t="shared" si="17"/>
        <v>0</v>
      </c>
      <c r="BL45" s="467">
        <f t="shared" si="17"/>
        <v>79053</v>
      </c>
      <c r="BM45" s="467">
        <f t="shared" si="101"/>
        <v>0</v>
      </c>
      <c r="BN45" s="467">
        <f t="shared" si="335"/>
        <v>0</v>
      </c>
      <c r="BO45" s="467">
        <f t="shared" si="335"/>
        <v>0</v>
      </c>
      <c r="BP45" s="467">
        <f t="shared" si="335"/>
        <v>0</v>
      </c>
      <c r="BQ45" s="467">
        <f t="shared" si="335"/>
        <v>0</v>
      </c>
      <c r="BR45" s="469">
        <f t="shared" si="20"/>
        <v>0</v>
      </c>
    </row>
    <row r="46" spans="1:70" s="295" customFormat="1" ht="15" customHeight="1">
      <c r="A46" s="473" t="s">
        <v>136</v>
      </c>
      <c r="B46" s="474"/>
      <c r="C46" s="475"/>
      <c r="D46" s="476">
        <v>61250</v>
      </c>
      <c r="E46" s="390" t="s">
        <v>195</v>
      </c>
      <c r="F46" s="389"/>
      <c r="G46" s="389">
        <v>0</v>
      </c>
      <c r="H46" s="389">
        <v>0.4</v>
      </c>
      <c r="I46" s="389">
        <v>0.6</v>
      </c>
      <c r="J46" s="389">
        <v>0</v>
      </c>
      <c r="K46" s="389"/>
      <c r="L46" s="389"/>
      <c r="M46" s="389"/>
      <c r="N46" s="389"/>
      <c r="O46" s="389"/>
      <c r="P46" s="389"/>
      <c r="Q46" s="389"/>
      <c r="R46" s="390"/>
      <c r="S46" s="390"/>
      <c r="T46" s="390"/>
      <c r="U46" s="390"/>
      <c r="V46" s="390"/>
      <c r="W46" s="390"/>
      <c r="X46" s="390"/>
      <c r="Y46" s="390"/>
      <c r="Z46" s="477">
        <f>SUM(F46:X46)</f>
        <v>1</v>
      </c>
      <c r="AA46" s="475"/>
      <c r="AB46" s="475"/>
      <c r="AC46" s="387">
        <f aca="true" t="shared" si="339" ref="AC46:AF47">F46*$D46</f>
        <v>0</v>
      </c>
      <c r="AD46" s="387">
        <f t="shared" si="339"/>
        <v>0</v>
      </c>
      <c r="AE46" s="387">
        <f t="shared" si="339"/>
        <v>24500</v>
      </c>
      <c r="AF46" s="387">
        <f t="shared" si="339"/>
        <v>36750</v>
      </c>
      <c r="AG46" s="387">
        <f t="shared" si="337"/>
        <v>0</v>
      </c>
      <c r="AH46" s="387">
        <f t="shared" si="337"/>
        <v>0</v>
      </c>
      <c r="AI46" s="387">
        <f>L46*$D46</f>
        <v>0</v>
      </c>
      <c r="AJ46" s="387">
        <f>M46*$D46</f>
        <v>0</v>
      </c>
      <c r="AK46" s="387">
        <f t="shared" si="338"/>
        <v>0</v>
      </c>
      <c r="AL46" s="387">
        <f>O46*$D46</f>
        <v>0</v>
      </c>
      <c r="AM46" s="478">
        <f t="shared" si="8"/>
        <v>0</v>
      </c>
      <c r="AN46" s="388">
        <f t="shared" si="9"/>
        <v>0</v>
      </c>
      <c r="AO46" s="388">
        <f t="shared" si="10"/>
        <v>0</v>
      </c>
      <c r="AP46" s="388">
        <f t="shared" si="11"/>
        <v>0</v>
      </c>
      <c r="AQ46" s="388">
        <f t="shared" si="12"/>
        <v>0</v>
      </c>
      <c r="AR46" s="388">
        <f t="shared" si="13"/>
        <v>0</v>
      </c>
      <c r="AS46" s="388">
        <f t="shared" si="14"/>
        <v>0</v>
      </c>
      <c r="AT46" s="388">
        <f t="shared" si="15"/>
        <v>0</v>
      </c>
      <c r="AU46" s="388">
        <f t="shared" si="16"/>
        <v>0</v>
      </c>
      <c r="AV46" s="388"/>
      <c r="AW46" s="388"/>
      <c r="AX46" s="388">
        <f aca="true" t="shared" si="340" ref="AX46:BG47">IF(AX$3=$E46,$D46,0)</f>
        <v>0</v>
      </c>
      <c r="AY46" s="388">
        <f t="shared" si="340"/>
        <v>61250</v>
      </c>
      <c r="AZ46" s="388">
        <f t="shared" si="340"/>
        <v>0</v>
      </c>
      <c r="BA46" s="388">
        <f t="shared" si="340"/>
        <v>0</v>
      </c>
      <c r="BB46" s="388">
        <f t="shared" si="340"/>
        <v>0</v>
      </c>
      <c r="BC46" s="388">
        <f t="shared" si="340"/>
        <v>0</v>
      </c>
      <c r="BD46" s="388">
        <f t="shared" si="340"/>
        <v>0</v>
      </c>
      <c r="BE46" s="388">
        <f t="shared" si="340"/>
        <v>0</v>
      </c>
      <c r="BF46" s="388">
        <f t="shared" si="340"/>
        <v>0</v>
      </c>
      <c r="BG46" s="388">
        <f t="shared" si="340"/>
        <v>0</v>
      </c>
      <c r="BH46" s="388">
        <f aca="true" t="shared" si="341" ref="BH46:BQ47">IF(BH$3=$E46,$D46,0)</f>
        <v>0</v>
      </c>
      <c r="BI46" s="388">
        <f t="shared" si="341"/>
        <v>0</v>
      </c>
      <c r="BJ46" s="388">
        <f t="shared" si="341"/>
        <v>0</v>
      </c>
      <c r="BK46" s="388">
        <f t="shared" si="341"/>
        <v>0</v>
      </c>
      <c r="BL46" s="388">
        <f t="shared" si="341"/>
        <v>0</v>
      </c>
      <c r="BM46" s="388">
        <f t="shared" si="341"/>
        <v>0</v>
      </c>
      <c r="BN46" s="388">
        <f t="shared" si="341"/>
        <v>0</v>
      </c>
      <c r="BO46" s="388">
        <f t="shared" si="341"/>
        <v>0</v>
      </c>
      <c r="BP46" s="388">
        <f t="shared" si="341"/>
        <v>0</v>
      </c>
      <c r="BQ46" s="388">
        <f t="shared" si="341"/>
        <v>0</v>
      </c>
      <c r="BR46" s="479">
        <f t="shared" si="20"/>
        <v>0</v>
      </c>
    </row>
    <row r="47" spans="1:70" ht="15" customHeight="1">
      <c r="A47" s="473" t="s">
        <v>136</v>
      </c>
      <c r="B47" s="474"/>
      <c r="C47" s="475"/>
      <c r="D47" s="387">
        <v>121200</v>
      </c>
      <c r="E47" s="475" t="s">
        <v>167</v>
      </c>
      <c r="F47" s="389"/>
      <c r="G47" s="389"/>
      <c r="H47" s="389"/>
      <c r="I47" s="389">
        <v>0.33333333</v>
      </c>
      <c r="J47" s="389">
        <v>0.16666666</v>
      </c>
      <c r="K47" s="389">
        <v>0.33333333</v>
      </c>
      <c r="L47" s="389">
        <v>0.16666668000000007</v>
      </c>
      <c r="M47" s="389"/>
      <c r="N47" s="389"/>
      <c r="O47" s="389"/>
      <c r="P47" s="389"/>
      <c r="Q47" s="389"/>
      <c r="R47" s="390"/>
      <c r="S47" s="390"/>
      <c r="T47" s="390"/>
      <c r="U47" s="390"/>
      <c r="V47" s="390"/>
      <c r="W47" s="390"/>
      <c r="X47" s="390"/>
      <c r="Y47" s="390"/>
      <c r="Z47" s="477">
        <f>SUM(F47:X47)</f>
        <v>1</v>
      </c>
      <c r="AA47" s="475"/>
      <c r="AB47" s="475"/>
      <c r="AC47" s="387">
        <f t="shared" si="339"/>
        <v>0</v>
      </c>
      <c r="AD47" s="387">
        <f t="shared" si="339"/>
        <v>0</v>
      </c>
      <c r="AE47" s="387">
        <f t="shared" si="339"/>
        <v>0</v>
      </c>
      <c r="AF47" s="387">
        <f t="shared" si="339"/>
        <v>40399.999596</v>
      </c>
      <c r="AG47" s="387">
        <f t="shared" si="337"/>
        <v>20199.999192</v>
      </c>
      <c r="AH47" s="387">
        <f t="shared" si="337"/>
        <v>40399.999596</v>
      </c>
      <c r="AI47" s="387">
        <f>L47*$D47</f>
        <v>20200.00161600001</v>
      </c>
      <c r="AJ47" s="387">
        <f>M47*$D47</f>
        <v>0</v>
      </c>
      <c r="AK47" s="387">
        <f t="shared" si="338"/>
        <v>0</v>
      </c>
      <c r="AL47" s="387">
        <f>O47*$D47</f>
        <v>0</v>
      </c>
      <c r="AM47" s="478">
        <f t="shared" si="8"/>
        <v>0</v>
      </c>
      <c r="AN47" s="388">
        <f t="shared" si="9"/>
        <v>0</v>
      </c>
      <c r="AO47" s="388">
        <f t="shared" si="10"/>
        <v>0</v>
      </c>
      <c r="AP47" s="388">
        <f t="shared" si="11"/>
        <v>0</v>
      </c>
      <c r="AQ47" s="388">
        <f t="shared" si="12"/>
        <v>0</v>
      </c>
      <c r="AR47" s="388">
        <f t="shared" si="13"/>
        <v>0</v>
      </c>
      <c r="AS47" s="388">
        <f t="shared" si="14"/>
        <v>0</v>
      </c>
      <c r="AT47" s="388">
        <f t="shared" si="15"/>
        <v>0</v>
      </c>
      <c r="AU47" s="388">
        <f t="shared" si="16"/>
        <v>0</v>
      </c>
      <c r="AV47" s="388"/>
      <c r="AW47" s="388"/>
      <c r="AX47" s="388">
        <f t="shared" si="340"/>
        <v>0</v>
      </c>
      <c r="AY47" s="388">
        <f t="shared" si="340"/>
        <v>0</v>
      </c>
      <c r="AZ47" s="388">
        <f t="shared" si="340"/>
        <v>121200</v>
      </c>
      <c r="BA47" s="388">
        <f t="shared" si="340"/>
        <v>0</v>
      </c>
      <c r="BB47" s="388">
        <f t="shared" si="340"/>
        <v>0</v>
      </c>
      <c r="BC47" s="388">
        <f t="shared" si="340"/>
        <v>0</v>
      </c>
      <c r="BD47" s="388">
        <f t="shared" si="340"/>
        <v>0</v>
      </c>
      <c r="BE47" s="388">
        <f t="shared" si="340"/>
        <v>0</v>
      </c>
      <c r="BF47" s="388">
        <f t="shared" si="340"/>
        <v>0</v>
      </c>
      <c r="BG47" s="388">
        <f t="shared" si="340"/>
        <v>0</v>
      </c>
      <c r="BH47" s="388">
        <f t="shared" si="341"/>
        <v>0</v>
      </c>
      <c r="BI47" s="388">
        <f t="shared" si="341"/>
        <v>0</v>
      </c>
      <c r="BJ47" s="388">
        <f t="shared" si="341"/>
        <v>0</v>
      </c>
      <c r="BK47" s="388">
        <f t="shared" si="341"/>
        <v>0</v>
      </c>
      <c r="BL47" s="388">
        <f t="shared" si="341"/>
        <v>0</v>
      </c>
      <c r="BM47" s="388">
        <f t="shared" si="341"/>
        <v>0</v>
      </c>
      <c r="BN47" s="388">
        <f t="shared" si="341"/>
        <v>0</v>
      </c>
      <c r="BO47" s="388">
        <f t="shared" si="341"/>
        <v>0</v>
      </c>
      <c r="BP47" s="388">
        <f t="shared" si="341"/>
        <v>0</v>
      </c>
      <c r="BQ47" s="388">
        <f t="shared" si="341"/>
        <v>0</v>
      </c>
      <c r="BR47" s="479">
        <f t="shared" si="20"/>
        <v>0</v>
      </c>
    </row>
    <row r="48" spans="1:70" ht="15" customHeight="1">
      <c r="A48" s="473" t="s">
        <v>136</v>
      </c>
      <c r="B48" s="474"/>
      <c r="C48" s="475"/>
      <c r="D48" s="387">
        <v>124265.64</v>
      </c>
      <c r="E48" s="475" t="s">
        <v>199</v>
      </c>
      <c r="F48" s="389"/>
      <c r="G48" s="389"/>
      <c r="H48" s="389"/>
      <c r="I48" s="389"/>
      <c r="J48" s="389">
        <v>0</v>
      </c>
      <c r="K48" s="389">
        <v>0.337651582529169</v>
      </c>
      <c r="L48" s="477">
        <v>0.07543967906172615</v>
      </c>
      <c r="M48" s="480">
        <v>0.05794039285517701</v>
      </c>
      <c r="N48" s="389">
        <v>0.049891023777771555</v>
      </c>
      <c r="O48" s="389">
        <v>0.041721669803495155</v>
      </c>
      <c r="P48" s="389">
        <v>0.052252336204923575</v>
      </c>
      <c r="Q48" s="389">
        <v>0.04512172471811194</v>
      </c>
      <c r="R48" s="389">
        <v>0</v>
      </c>
      <c r="S48" s="389">
        <v>0.1368037053525013</v>
      </c>
      <c r="T48" s="389">
        <v>0.1</v>
      </c>
      <c r="U48" s="389">
        <f>1-L48-R48-Q48-P48-N48-M48-O48-T48-S48-K48</f>
        <v>0.10317788569712444</v>
      </c>
      <c r="V48" s="390"/>
      <c r="W48" s="390"/>
      <c r="X48" s="390"/>
      <c r="Y48" s="390"/>
      <c r="Z48" s="477">
        <f t="shared" si="21"/>
        <v>1</v>
      </c>
      <c r="AA48" s="475"/>
      <c r="AB48" s="475"/>
      <c r="AC48" s="387">
        <f t="shared" si="0"/>
        <v>0</v>
      </c>
      <c r="AD48" s="387">
        <f t="shared" si="1"/>
        <v>0</v>
      </c>
      <c r="AE48" s="387">
        <f t="shared" si="2"/>
        <v>0</v>
      </c>
      <c r="AF48" s="387">
        <f t="shared" si="3"/>
        <v>0</v>
      </c>
      <c r="AG48" s="387">
        <f aca="true" t="shared" si="342" ref="AG48:AG57">J48*$D48</f>
        <v>0</v>
      </c>
      <c r="AH48" s="387">
        <f t="shared" si="22"/>
        <v>41958.490000000005</v>
      </c>
      <c r="AI48" s="387">
        <f t="shared" si="23"/>
        <v>9374.56</v>
      </c>
      <c r="AJ48" s="387">
        <f t="shared" si="24"/>
        <v>7199.999999999999</v>
      </c>
      <c r="AK48" s="387">
        <f t="shared" si="338"/>
        <v>6199.74</v>
      </c>
      <c r="AL48" s="387">
        <f t="shared" si="19"/>
        <v>5184.57</v>
      </c>
      <c r="AM48" s="478">
        <f t="shared" si="8"/>
        <v>6493.169999999999</v>
      </c>
      <c r="AN48" s="387">
        <f t="shared" si="9"/>
        <v>5607.08</v>
      </c>
      <c r="AO48" s="388">
        <f t="shared" si="10"/>
        <v>0</v>
      </c>
      <c r="AP48" s="386">
        <f t="shared" si="11"/>
        <v>17000</v>
      </c>
      <c r="AQ48" s="386">
        <f t="shared" si="12"/>
        <v>12426.564</v>
      </c>
      <c r="AR48" s="386">
        <f t="shared" si="13"/>
        <v>12821.466000000015</v>
      </c>
      <c r="AS48" s="388">
        <f t="shared" si="14"/>
        <v>0</v>
      </c>
      <c r="AT48" s="388">
        <f t="shared" si="15"/>
        <v>0</v>
      </c>
      <c r="AU48" s="388">
        <f t="shared" si="16"/>
        <v>0</v>
      </c>
      <c r="AV48" s="388"/>
      <c r="AW48" s="388"/>
      <c r="AX48" s="388">
        <f aca="true" t="shared" si="343" ref="AX48:BN69">IF(AX$3=$E48,$D48,0)</f>
        <v>0</v>
      </c>
      <c r="AY48" s="388">
        <f t="shared" si="343"/>
        <v>0</v>
      </c>
      <c r="AZ48" s="388">
        <f t="shared" si="343"/>
        <v>0</v>
      </c>
      <c r="BA48" s="388">
        <f t="shared" si="343"/>
        <v>124265.64</v>
      </c>
      <c r="BB48" s="388">
        <f t="shared" si="343"/>
        <v>0</v>
      </c>
      <c r="BC48" s="388">
        <f t="shared" si="343"/>
        <v>0</v>
      </c>
      <c r="BD48" s="388">
        <f t="shared" si="343"/>
        <v>0</v>
      </c>
      <c r="BE48" s="388">
        <f t="shared" si="343"/>
        <v>0</v>
      </c>
      <c r="BF48" s="388">
        <f t="shared" si="343"/>
        <v>0</v>
      </c>
      <c r="BG48" s="388">
        <f t="shared" si="343"/>
        <v>0</v>
      </c>
      <c r="BH48" s="388">
        <f t="shared" si="343"/>
        <v>0</v>
      </c>
      <c r="BI48" s="388">
        <f t="shared" si="343"/>
        <v>0</v>
      </c>
      <c r="BJ48" s="388">
        <f t="shared" si="343"/>
        <v>0</v>
      </c>
      <c r="BK48" s="388">
        <f t="shared" si="343"/>
        <v>0</v>
      </c>
      <c r="BL48" s="388">
        <f t="shared" si="343"/>
        <v>0</v>
      </c>
      <c r="BM48" s="388">
        <f t="shared" si="343"/>
        <v>0</v>
      </c>
      <c r="BN48" s="388">
        <f t="shared" si="343"/>
        <v>0</v>
      </c>
      <c r="BO48" s="388">
        <f t="shared" si="335"/>
        <v>0</v>
      </c>
      <c r="BP48" s="388">
        <f t="shared" si="335"/>
        <v>0</v>
      </c>
      <c r="BQ48" s="388">
        <f t="shared" si="335"/>
        <v>0</v>
      </c>
      <c r="BR48" s="479">
        <f t="shared" si="20"/>
        <v>0</v>
      </c>
    </row>
    <row r="49" spans="1:70" s="295" customFormat="1" ht="15" customHeight="1">
      <c r="A49" s="473" t="s">
        <v>138</v>
      </c>
      <c r="B49" s="474"/>
      <c r="C49" s="475"/>
      <c r="D49" s="387">
        <v>5000</v>
      </c>
      <c r="E49" s="475" t="s">
        <v>199</v>
      </c>
      <c r="F49" s="390"/>
      <c r="G49" s="390"/>
      <c r="H49" s="390"/>
      <c r="I49" s="389">
        <v>1</v>
      </c>
      <c r="J49" s="389"/>
      <c r="K49" s="389"/>
      <c r="L49" s="389"/>
      <c r="M49" s="389"/>
      <c r="N49" s="390"/>
      <c r="O49" s="390"/>
      <c r="P49" s="390"/>
      <c r="Q49" s="390"/>
      <c r="R49" s="390"/>
      <c r="S49" s="390"/>
      <c r="T49" s="390"/>
      <c r="U49" s="390"/>
      <c r="V49" s="390"/>
      <c r="W49" s="390"/>
      <c r="X49" s="390"/>
      <c r="Y49" s="390"/>
      <c r="Z49" s="477">
        <f>SUM(F49:X49)</f>
        <v>1</v>
      </c>
      <c r="AA49" s="475"/>
      <c r="AB49" s="475"/>
      <c r="AC49" s="387">
        <f>F49*$D49</f>
        <v>0</v>
      </c>
      <c r="AD49" s="387">
        <f>G49*$D49</f>
        <v>0</v>
      </c>
      <c r="AE49" s="387">
        <f>H49*$D49</f>
        <v>0</v>
      </c>
      <c r="AF49" s="387">
        <f>I49*$D49</f>
        <v>5000</v>
      </c>
      <c r="AG49" s="387">
        <f t="shared" si="342"/>
        <v>0</v>
      </c>
      <c r="AH49" s="387">
        <f>K49*$D49</f>
        <v>0</v>
      </c>
      <c r="AI49" s="387">
        <f>L49*$D49</f>
        <v>0</v>
      </c>
      <c r="AJ49" s="387">
        <f>M49*$D49</f>
        <v>0</v>
      </c>
      <c r="AK49" s="387">
        <f t="shared" si="338"/>
        <v>0</v>
      </c>
      <c r="AL49" s="387">
        <f aca="true" t="shared" si="344" ref="AL49:AU49">O49*$D49</f>
        <v>0</v>
      </c>
      <c r="AM49" s="478">
        <f t="shared" si="344"/>
        <v>0</v>
      </c>
      <c r="AN49" s="388">
        <f t="shared" si="344"/>
        <v>0</v>
      </c>
      <c r="AO49" s="388">
        <f t="shared" si="344"/>
        <v>0</v>
      </c>
      <c r="AP49" s="388">
        <f t="shared" si="344"/>
        <v>0</v>
      </c>
      <c r="AQ49" s="388">
        <f t="shared" si="344"/>
        <v>0</v>
      </c>
      <c r="AR49" s="388">
        <f t="shared" si="344"/>
        <v>0</v>
      </c>
      <c r="AS49" s="388">
        <f t="shared" si="344"/>
        <v>0</v>
      </c>
      <c r="AT49" s="388">
        <f t="shared" si="344"/>
        <v>0</v>
      </c>
      <c r="AU49" s="388">
        <f t="shared" si="344"/>
        <v>0</v>
      </c>
      <c r="AV49" s="388"/>
      <c r="AW49" s="388"/>
      <c r="AX49" s="388">
        <f aca="true" t="shared" si="345" ref="AX49:BQ49">IF(AX$3=$E49,$D49,0)</f>
        <v>0</v>
      </c>
      <c r="AY49" s="388">
        <f t="shared" si="345"/>
        <v>0</v>
      </c>
      <c r="AZ49" s="388">
        <f t="shared" si="345"/>
        <v>0</v>
      </c>
      <c r="BA49" s="388">
        <f t="shared" si="345"/>
        <v>5000</v>
      </c>
      <c r="BB49" s="388">
        <f t="shared" si="345"/>
        <v>0</v>
      </c>
      <c r="BC49" s="388">
        <f t="shared" si="345"/>
        <v>0</v>
      </c>
      <c r="BD49" s="388">
        <f t="shared" si="345"/>
        <v>0</v>
      </c>
      <c r="BE49" s="388">
        <f t="shared" si="345"/>
        <v>0</v>
      </c>
      <c r="BF49" s="388">
        <f t="shared" si="345"/>
        <v>0</v>
      </c>
      <c r="BG49" s="388">
        <f t="shared" si="345"/>
        <v>0</v>
      </c>
      <c r="BH49" s="388">
        <f t="shared" si="345"/>
        <v>0</v>
      </c>
      <c r="BI49" s="388">
        <f t="shared" si="345"/>
        <v>0</v>
      </c>
      <c r="BJ49" s="388">
        <f t="shared" si="345"/>
        <v>0</v>
      </c>
      <c r="BK49" s="388">
        <f t="shared" si="345"/>
        <v>0</v>
      </c>
      <c r="BL49" s="388">
        <f t="shared" si="345"/>
        <v>0</v>
      </c>
      <c r="BM49" s="388">
        <f t="shared" si="345"/>
        <v>0</v>
      </c>
      <c r="BN49" s="388">
        <f t="shared" si="345"/>
        <v>0</v>
      </c>
      <c r="BO49" s="388">
        <f t="shared" si="345"/>
        <v>0</v>
      </c>
      <c r="BP49" s="388">
        <f t="shared" si="345"/>
        <v>0</v>
      </c>
      <c r="BQ49" s="388">
        <f t="shared" si="345"/>
        <v>0</v>
      </c>
      <c r="BR49" s="479">
        <f t="shared" si="20"/>
        <v>0</v>
      </c>
    </row>
    <row r="50" spans="1:70" ht="15" customHeight="1">
      <c r="A50" s="473" t="s">
        <v>136</v>
      </c>
      <c r="B50" s="474"/>
      <c r="C50" s="475"/>
      <c r="D50" s="387">
        <v>57832.03</v>
      </c>
      <c r="E50" s="475" t="s">
        <v>196</v>
      </c>
      <c r="F50" s="390"/>
      <c r="G50" s="390"/>
      <c r="H50" s="390"/>
      <c r="I50" s="390"/>
      <c r="J50" s="481">
        <v>0.33333344860970643</v>
      </c>
      <c r="K50" s="481">
        <v>0.44444436759352907</v>
      </c>
      <c r="L50" s="481">
        <v>0.22222218379676453</v>
      </c>
      <c r="M50" s="389"/>
      <c r="N50" s="389"/>
      <c r="O50" s="390"/>
      <c r="P50" s="390"/>
      <c r="Q50" s="390"/>
      <c r="R50" s="390"/>
      <c r="S50" s="389">
        <f>1-R50-P50-O50-N50-L50-K50-M50-J50</f>
        <v>0</v>
      </c>
      <c r="T50" s="390"/>
      <c r="U50" s="390"/>
      <c r="V50" s="390"/>
      <c r="W50" s="390"/>
      <c r="X50" s="390"/>
      <c r="Y50" s="390"/>
      <c r="Z50" s="477">
        <f t="shared" si="21"/>
        <v>1</v>
      </c>
      <c r="AA50" s="475"/>
      <c r="AB50" s="475"/>
      <c r="AC50" s="387">
        <f t="shared" si="0"/>
        <v>0</v>
      </c>
      <c r="AD50" s="387">
        <f t="shared" si="1"/>
        <v>0</v>
      </c>
      <c r="AE50" s="387">
        <f t="shared" si="2"/>
        <v>0</v>
      </c>
      <c r="AF50" s="387">
        <f t="shared" si="3"/>
        <v>0</v>
      </c>
      <c r="AG50" s="387">
        <f t="shared" si="342"/>
        <v>19277.35</v>
      </c>
      <c r="AH50" s="387">
        <f t="shared" si="22"/>
        <v>25703.12</v>
      </c>
      <c r="AI50" s="387">
        <f t="shared" si="23"/>
        <v>12851.56</v>
      </c>
      <c r="AJ50" s="387">
        <f t="shared" si="24"/>
        <v>0</v>
      </c>
      <c r="AK50" s="387">
        <f t="shared" si="338"/>
        <v>0</v>
      </c>
      <c r="AL50" s="387">
        <f t="shared" si="19"/>
        <v>0</v>
      </c>
      <c r="AM50" s="478">
        <f t="shared" si="8"/>
        <v>0</v>
      </c>
      <c r="AN50" s="388">
        <f t="shared" si="9"/>
        <v>0</v>
      </c>
      <c r="AO50" s="388">
        <f t="shared" si="10"/>
        <v>0</v>
      </c>
      <c r="AP50" s="388">
        <f t="shared" si="11"/>
        <v>0</v>
      </c>
      <c r="AQ50" s="388">
        <f t="shared" si="12"/>
        <v>0</v>
      </c>
      <c r="AR50" s="388">
        <f t="shared" si="13"/>
        <v>0</v>
      </c>
      <c r="AS50" s="388">
        <f t="shared" si="14"/>
        <v>0</v>
      </c>
      <c r="AT50" s="388">
        <f t="shared" si="15"/>
        <v>0</v>
      </c>
      <c r="AU50" s="388">
        <f t="shared" si="16"/>
        <v>0</v>
      </c>
      <c r="AV50" s="388"/>
      <c r="AW50" s="388"/>
      <c r="AX50" s="388">
        <f t="shared" si="343"/>
        <v>0</v>
      </c>
      <c r="AY50" s="388">
        <f t="shared" si="343"/>
        <v>0</v>
      </c>
      <c r="AZ50" s="388">
        <f t="shared" si="343"/>
        <v>0</v>
      </c>
      <c r="BA50" s="388">
        <f t="shared" si="343"/>
        <v>0</v>
      </c>
      <c r="BB50" s="387">
        <f t="shared" si="343"/>
        <v>57832.03</v>
      </c>
      <c r="BC50" s="388">
        <f t="shared" si="343"/>
        <v>0</v>
      </c>
      <c r="BD50" s="388">
        <f t="shared" si="343"/>
        <v>0</v>
      </c>
      <c r="BE50" s="388">
        <f t="shared" si="343"/>
        <v>0</v>
      </c>
      <c r="BF50" s="388">
        <f t="shared" si="343"/>
        <v>0</v>
      </c>
      <c r="BG50" s="388">
        <f t="shared" si="343"/>
        <v>0</v>
      </c>
      <c r="BH50" s="388">
        <f t="shared" si="343"/>
        <v>0</v>
      </c>
      <c r="BI50" s="388">
        <f t="shared" si="343"/>
        <v>0</v>
      </c>
      <c r="BJ50" s="388">
        <f t="shared" si="343"/>
        <v>0</v>
      </c>
      <c r="BK50" s="388">
        <f t="shared" si="343"/>
        <v>0</v>
      </c>
      <c r="BL50" s="388">
        <f t="shared" si="343"/>
        <v>0</v>
      </c>
      <c r="BM50" s="388">
        <f t="shared" si="343"/>
        <v>0</v>
      </c>
      <c r="BN50" s="388">
        <f t="shared" si="335"/>
        <v>0</v>
      </c>
      <c r="BO50" s="388">
        <f t="shared" si="335"/>
        <v>0</v>
      </c>
      <c r="BP50" s="388">
        <f t="shared" si="335"/>
        <v>0</v>
      </c>
      <c r="BQ50" s="388">
        <f t="shared" si="335"/>
        <v>0</v>
      </c>
      <c r="BR50" s="479">
        <f t="shared" si="20"/>
        <v>0</v>
      </c>
    </row>
    <row r="51" spans="1:70" ht="15" customHeight="1">
      <c r="A51" s="473" t="s">
        <v>136</v>
      </c>
      <c r="B51" s="474"/>
      <c r="C51" s="475"/>
      <c r="D51" s="476">
        <f>12250*12</f>
        <v>147000</v>
      </c>
      <c r="E51" s="390" t="s">
        <v>196</v>
      </c>
      <c r="F51" s="389"/>
      <c r="G51" s="389"/>
      <c r="H51" s="389"/>
      <c r="I51" s="389"/>
      <c r="J51" s="389">
        <v>0.0833333333333333</v>
      </c>
      <c r="K51" s="389">
        <v>0.166666666666666</v>
      </c>
      <c r="L51" s="389">
        <v>0.25</v>
      </c>
      <c r="M51" s="389">
        <v>0.3333333333333333</v>
      </c>
      <c r="N51" s="389">
        <v>0.16666666666666669</v>
      </c>
      <c r="O51" s="389">
        <v>0</v>
      </c>
      <c r="P51" s="389"/>
      <c r="Q51" s="389"/>
      <c r="R51" s="390"/>
      <c r="S51" s="390"/>
      <c r="T51" s="390"/>
      <c r="U51" s="390"/>
      <c r="V51" s="390"/>
      <c r="W51" s="390"/>
      <c r="X51" s="390"/>
      <c r="Y51" s="390"/>
      <c r="Z51" s="477">
        <f>SUM(F51:X51)</f>
        <v>0.9999999999999993</v>
      </c>
      <c r="AA51" s="475"/>
      <c r="AB51" s="475"/>
      <c r="AC51" s="387">
        <f aca="true" t="shared" si="346" ref="AC51:AF57">F51*$D51</f>
        <v>0</v>
      </c>
      <c r="AD51" s="387">
        <f t="shared" si="346"/>
        <v>0</v>
      </c>
      <c r="AE51" s="387">
        <f t="shared" si="346"/>
        <v>0</v>
      </c>
      <c r="AF51" s="387">
        <f t="shared" si="346"/>
        <v>0</v>
      </c>
      <c r="AG51" s="387">
        <f t="shared" si="342"/>
        <v>12249.999999999995</v>
      </c>
      <c r="AH51" s="387">
        <f aca="true" t="shared" si="347" ref="AH51:AJ57">K51*$D51</f>
        <v>24499.9999999999</v>
      </c>
      <c r="AI51" s="387">
        <f t="shared" si="347"/>
        <v>36750</v>
      </c>
      <c r="AJ51" s="387">
        <f t="shared" si="347"/>
        <v>49000</v>
      </c>
      <c r="AK51" s="387">
        <f t="shared" si="338"/>
        <v>24500.000000000004</v>
      </c>
      <c r="AL51" s="387">
        <f aca="true" t="shared" si="348" ref="AL51:AU57">O51*$D51</f>
        <v>0</v>
      </c>
      <c r="AM51" s="478">
        <f t="shared" si="348"/>
        <v>0</v>
      </c>
      <c r="AN51" s="388">
        <f t="shared" si="348"/>
        <v>0</v>
      </c>
      <c r="AO51" s="388">
        <f t="shared" si="348"/>
        <v>0</v>
      </c>
      <c r="AP51" s="388">
        <f t="shared" si="348"/>
        <v>0</v>
      </c>
      <c r="AQ51" s="388">
        <f t="shared" si="348"/>
        <v>0</v>
      </c>
      <c r="AR51" s="388">
        <f t="shared" si="348"/>
        <v>0</v>
      </c>
      <c r="AS51" s="388">
        <f t="shared" si="348"/>
        <v>0</v>
      </c>
      <c r="AT51" s="388">
        <f t="shared" si="348"/>
        <v>0</v>
      </c>
      <c r="AU51" s="388">
        <f t="shared" si="348"/>
        <v>0</v>
      </c>
      <c r="AV51" s="388"/>
      <c r="AW51" s="388"/>
      <c r="AX51" s="388">
        <f aca="true" t="shared" si="349" ref="AX51:BG57">IF(AX$3=$E51,$D51,0)</f>
        <v>0</v>
      </c>
      <c r="AY51" s="388">
        <f t="shared" si="349"/>
        <v>0</v>
      </c>
      <c r="AZ51" s="388">
        <f t="shared" si="349"/>
        <v>0</v>
      </c>
      <c r="BA51" s="388">
        <f t="shared" si="349"/>
        <v>0</v>
      </c>
      <c r="BB51" s="388">
        <f t="shared" si="349"/>
        <v>147000</v>
      </c>
      <c r="BC51" s="388">
        <f t="shared" si="349"/>
        <v>0</v>
      </c>
      <c r="BD51" s="388">
        <f t="shared" si="349"/>
        <v>0</v>
      </c>
      <c r="BE51" s="388">
        <f t="shared" si="349"/>
        <v>0</v>
      </c>
      <c r="BF51" s="388">
        <f t="shared" si="349"/>
        <v>0</v>
      </c>
      <c r="BG51" s="388">
        <f t="shared" si="349"/>
        <v>0</v>
      </c>
      <c r="BH51" s="388">
        <f t="shared" si="343"/>
        <v>0</v>
      </c>
      <c r="BI51" s="388">
        <f t="shared" si="343"/>
        <v>0</v>
      </c>
      <c r="BJ51" s="388">
        <f t="shared" si="343"/>
        <v>0</v>
      </c>
      <c r="BK51" s="388">
        <f t="shared" si="343"/>
        <v>0</v>
      </c>
      <c r="BL51" s="388">
        <f t="shared" si="343"/>
        <v>0</v>
      </c>
      <c r="BM51" s="388">
        <f t="shared" si="343"/>
        <v>0</v>
      </c>
      <c r="BN51" s="388">
        <f t="shared" si="343"/>
        <v>0</v>
      </c>
      <c r="BO51" s="388">
        <f t="shared" si="335"/>
        <v>0</v>
      </c>
      <c r="BP51" s="388">
        <f t="shared" si="335"/>
        <v>0</v>
      </c>
      <c r="BQ51" s="388">
        <f t="shared" si="335"/>
        <v>0</v>
      </c>
      <c r="BR51" s="479">
        <f t="shared" si="20"/>
        <v>0</v>
      </c>
    </row>
    <row r="52" spans="1:70" s="295" customFormat="1" ht="15" customHeight="1">
      <c r="A52" s="473" t="s">
        <v>138</v>
      </c>
      <c r="B52" s="474"/>
      <c r="C52" s="475"/>
      <c r="D52" s="387">
        <v>961.64</v>
      </c>
      <c r="E52" s="475" t="s">
        <v>196</v>
      </c>
      <c r="F52" s="390"/>
      <c r="G52" s="390"/>
      <c r="H52" s="390"/>
      <c r="I52" s="389"/>
      <c r="J52" s="389">
        <v>1</v>
      </c>
      <c r="K52" s="389"/>
      <c r="L52" s="389"/>
      <c r="M52" s="389"/>
      <c r="N52" s="390"/>
      <c r="O52" s="390"/>
      <c r="P52" s="390"/>
      <c r="Q52" s="390"/>
      <c r="R52" s="390"/>
      <c r="S52" s="390"/>
      <c r="T52" s="390"/>
      <c r="U52" s="390"/>
      <c r="V52" s="390"/>
      <c r="W52" s="390"/>
      <c r="X52" s="390"/>
      <c r="Y52" s="390"/>
      <c r="Z52" s="477">
        <f aca="true" t="shared" si="350" ref="Z52">SUM(F52:X52)</f>
        <v>1</v>
      </c>
      <c r="AA52" s="475"/>
      <c r="AB52" s="475"/>
      <c r="AC52" s="387">
        <f t="shared" si="346"/>
        <v>0</v>
      </c>
      <c r="AD52" s="387">
        <f t="shared" si="346"/>
        <v>0</v>
      </c>
      <c r="AE52" s="387">
        <f t="shared" si="346"/>
        <v>0</v>
      </c>
      <c r="AF52" s="387">
        <f t="shared" si="346"/>
        <v>0</v>
      </c>
      <c r="AG52" s="387">
        <f t="shared" si="342"/>
        <v>961.64</v>
      </c>
      <c r="AH52" s="387">
        <f t="shared" si="347"/>
        <v>0</v>
      </c>
      <c r="AI52" s="387">
        <f t="shared" si="347"/>
        <v>0</v>
      </c>
      <c r="AJ52" s="387">
        <f t="shared" si="347"/>
        <v>0</v>
      </c>
      <c r="AK52" s="387">
        <f t="shared" si="338"/>
        <v>0</v>
      </c>
      <c r="AL52" s="387">
        <f t="shared" si="348"/>
        <v>0</v>
      </c>
      <c r="AM52" s="478">
        <f t="shared" si="348"/>
        <v>0</v>
      </c>
      <c r="AN52" s="388">
        <f t="shared" si="348"/>
        <v>0</v>
      </c>
      <c r="AO52" s="388">
        <f t="shared" si="348"/>
        <v>0</v>
      </c>
      <c r="AP52" s="388">
        <f t="shared" si="348"/>
        <v>0</v>
      </c>
      <c r="AQ52" s="388">
        <f t="shared" si="348"/>
        <v>0</v>
      </c>
      <c r="AR52" s="388">
        <f t="shared" si="348"/>
        <v>0</v>
      </c>
      <c r="AS52" s="388">
        <f t="shared" si="348"/>
        <v>0</v>
      </c>
      <c r="AT52" s="388">
        <f t="shared" si="348"/>
        <v>0</v>
      </c>
      <c r="AU52" s="388">
        <f t="shared" si="348"/>
        <v>0</v>
      </c>
      <c r="AV52" s="388"/>
      <c r="AW52" s="388"/>
      <c r="AX52" s="388">
        <f t="shared" si="349"/>
        <v>0</v>
      </c>
      <c r="AY52" s="388">
        <f t="shared" si="349"/>
        <v>0</v>
      </c>
      <c r="AZ52" s="388">
        <f t="shared" si="349"/>
        <v>0</v>
      </c>
      <c r="BA52" s="388">
        <f t="shared" si="349"/>
        <v>0</v>
      </c>
      <c r="BB52" s="388">
        <f t="shared" si="349"/>
        <v>961.64</v>
      </c>
      <c r="BC52" s="388">
        <f t="shared" si="349"/>
        <v>0</v>
      </c>
      <c r="BD52" s="388">
        <f t="shared" si="349"/>
        <v>0</v>
      </c>
      <c r="BE52" s="388">
        <f t="shared" si="349"/>
        <v>0</v>
      </c>
      <c r="BF52" s="388">
        <f t="shared" si="349"/>
        <v>0</v>
      </c>
      <c r="BG52" s="388">
        <f t="shared" si="349"/>
        <v>0</v>
      </c>
      <c r="BH52" s="388">
        <f t="shared" si="343"/>
        <v>0</v>
      </c>
      <c r="BI52" s="388">
        <f t="shared" si="343"/>
        <v>0</v>
      </c>
      <c r="BJ52" s="388">
        <f t="shared" si="343"/>
        <v>0</v>
      </c>
      <c r="BK52" s="388">
        <f t="shared" si="343"/>
        <v>0</v>
      </c>
      <c r="BL52" s="388">
        <f t="shared" si="343"/>
        <v>0</v>
      </c>
      <c r="BM52" s="388">
        <f t="shared" si="343"/>
        <v>0</v>
      </c>
      <c r="BN52" s="388">
        <f t="shared" si="343"/>
        <v>0</v>
      </c>
      <c r="BO52" s="388">
        <f t="shared" si="335"/>
        <v>0</v>
      </c>
      <c r="BP52" s="388">
        <f t="shared" si="335"/>
        <v>0</v>
      </c>
      <c r="BQ52" s="388">
        <f t="shared" si="335"/>
        <v>0</v>
      </c>
      <c r="BR52" s="479">
        <f t="shared" si="20"/>
        <v>0</v>
      </c>
    </row>
    <row r="53" spans="1:70" ht="15" customHeight="1">
      <c r="A53" s="473" t="s">
        <v>137</v>
      </c>
      <c r="B53" s="474"/>
      <c r="C53" s="475"/>
      <c r="D53" s="387">
        <v>1030229</v>
      </c>
      <c r="E53" s="475" t="s">
        <v>169</v>
      </c>
      <c r="F53" s="389"/>
      <c r="G53" s="389"/>
      <c r="H53" s="389"/>
      <c r="I53" s="389"/>
      <c r="J53" s="389"/>
      <c r="K53" s="389">
        <v>0</v>
      </c>
      <c r="L53" s="389">
        <v>0.1</v>
      </c>
      <c r="M53" s="389">
        <v>0</v>
      </c>
      <c r="N53" s="389">
        <v>0</v>
      </c>
      <c r="O53" s="389">
        <v>0.30002038381757845</v>
      </c>
      <c r="P53" s="389">
        <v>0</v>
      </c>
      <c r="Q53" s="389">
        <v>0.19997961618242158</v>
      </c>
      <c r="R53" s="389">
        <f>1-(Q53+P53+O53+N53+M53+L53)</f>
        <v>0.4</v>
      </c>
      <c r="S53" s="390"/>
      <c r="T53" s="390"/>
      <c r="U53" s="390"/>
      <c r="V53" s="390"/>
      <c r="W53" s="390"/>
      <c r="X53" s="390"/>
      <c r="Y53" s="390"/>
      <c r="Z53" s="477">
        <f>SUM(F53:X53)</f>
        <v>1</v>
      </c>
      <c r="AA53" s="475"/>
      <c r="AB53" s="475"/>
      <c r="AC53" s="387">
        <f t="shared" si="346"/>
        <v>0</v>
      </c>
      <c r="AD53" s="387">
        <f t="shared" si="346"/>
        <v>0</v>
      </c>
      <c r="AE53" s="387">
        <f t="shared" si="346"/>
        <v>0</v>
      </c>
      <c r="AF53" s="387">
        <f t="shared" si="346"/>
        <v>0</v>
      </c>
      <c r="AG53" s="387">
        <f t="shared" si="342"/>
        <v>0</v>
      </c>
      <c r="AH53" s="387">
        <f t="shared" si="347"/>
        <v>0</v>
      </c>
      <c r="AI53" s="387">
        <f t="shared" si="347"/>
        <v>103022.90000000001</v>
      </c>
      <c r="AJ53" s="387">
        <f t="shared" si="347"/>
        <v>0</v>
      </c>
      <c r="AK53" s="387">
        <f t="shared" si="338"/>
        <v>0</v>
      </c>
      <c r="AL53" s="387">
        <f t="shared" si="348"/>
        <v>309089.7</v>
      </c>
      <c r="AM53" s="478">
        <f t="shared" si="348"/>
        <v>0</v>
      </c>
      <c r="AN53" s="388">
        <f t="shared" si="348"/>
        <v>206024.8</v>
      </c>
      <c r="AO53" s="388">
        <f t="shared" si="348"/>
        <v>412091.60000000003</v>
      </c>
      <c r="AP53" s="388">
        <f t="shared" si="348"/>
        <v>0</v>
      </c>
      <c r="AQ53" s="388">
        <f t="shared" si="348"/>
        <v>0</v>
      </c>
      <c r="AR53" s="388">
        <f t="shared" si="348"/>
        <v>0</v>
      </c>
      <c r="AS53" s="388">
        <f t="shared" si="348"/>
        <v>0</v>
      </c>
      <c r="AT53" s="388">
        <f t="shared" si="348"/>
        <v>0</v>
      </c>
      <c r="AU53" s="388">
        <f t="shared" si="348"/>
        <v>0</v>
      </c>
      <c r="AV53" s="388"/>
      <c r="AW53" s="388"/>
      <c r="AX53" s="388">
        <f t="shared" si="349"/>
        <v>0</v>
      </c>
      <c r="AY53" s="388">
        <f t="shared" si="349"/>
        <v>0</v>
      </c>
      <c r="AZ53" s="388">
        <f t="shared" si="349"/>
        <v>0</v>
      </c>
      <c r="BA53" s="388">
        <f t="shared" si="349"/>
        <v>0</v>
      </c>
      <c r="BB53" s="388">
        <f t="shared" si="349"/>
        <v>0</v>
      </c>
      <c r="BC53" s="388">
        <f t="shared" si="349"/>
        <v>1030229</v>
      </c>
      <c r="BD53" s="388">
        <f t="shared" si="349"/>
        <v>0</v>
      </c>
      <c r="BE53" s="388">
        <f t="shared" si="349"/>
        <v>0</v>
      </c>
      <c r="BF53" s="388">
        <f t="shared" si="349"/>
        <v>0</v>
      </c>
      <c r="BG53" s="388">
        <f t="shared" si="349"/>
        <v>0</v>
      </c>
      <c r="BH53" s="388">
        <f t="shared" si="343"/>
        <v>0</v>
      </c>
      <c r="BI53" s="388">
        <f t="shared" si="343"/>
        <v>0</v>
      </c>
      <c r="BJ53" s="388">
        <f t="shared" si="343"/>
        <v>0</v>
      </c>
      <c r="BK53" s="388">
        <f t="shared" si="343"/>
        <v>0</v>
      </c>
      <c r="BL53" s="388">
        <f t="shared" si="343"/>
        <v>0</v>
      </c>
      <c r="BM53" s="388">
        <f t="shared" si="343"/>
        <v>0</v>
      </c>
      <c r="BN53" s="388">
        <f t="shared" si="343"/>
        <v>0</v>
      </c>
      <c r="BO53" s="388">
        <f t="shared" si="335"/>
        <v>0</v>
      </c>
      <c r="BP53" s="388">
        <f t="shared" si="335"/>
        <v>0</v>
      </c>
      <c r="BQ53" s="388">
        <f t="shared" si="335"/>
        <v>0</v>
      </c>
      <c r="BR53" s="479">
        <f t="shared" si="20"/>
        <v>0</v>
      </c>
    </row>
    <row r="54" spans="1:70" s="295" customFormat="1" ht="15" customHeight="1">
      <c r="A54" s="473" t="s">
        <v>136</v>
      </c>
      <c r="B54" s="474"/>
      <c r="C54" s="475"/>
      <c r="D54" s="387">
        <v>3000</v>
      </c>
      <c r="E54" s="475" t="s">
        <v>262</v>
      </c>
      <c r="F54" s="390"/>
      <c r="G54" s="390"/>
      <c r="H54" s="390"/>
      <c r="I54" s="390"/>
      <c r="J54" s="481">
        <v>0</v>
      </c>
      <c r="K54" s="481">
        <v>0</v>
      </c>
      <c r="L54" s="481">
        <v>0</v>
      </c>
      <c r="M54" s="389"/>
      <c r="N54" s="389"/>
      <c r="O54" s="390"/>
      <c r="P54" s="390"/>
      <c r="Q54" s="390"/>
      <c r="R54" s="390">
        <v>0</v>
      </c>
      <c r="S54" s="389">
        <v>1</v>
      </c>
      <c r="T54" s="390"/>
      <c r="U54" s="390"/>
      <c r="V54" s="390"/>
      <c r="W54" s="390"/>
      <c r="X54" s="390"/>
      <c r="Y54" s="390"/>
      <c r="Z54" s="477">
        <f aca="true" t="shared" si="351" ref="Z54">SUM(F54:X54)</f>
        <v>1</v>
      </c>
      <c r="AA54" s="475"/>
      <c r="AB54" s="475"/>
      <c r="AC54" s="387">
        <f t="shared" si="346"/>
        <v>0</v>
      </c>
      <c r="AD54" s="387">
        <f t="shared" si="346"/>
        <v>0</v>
      </c>
      <c r="AE54" s="387">
        <f t="shared" si="346"/>
        <v>0</v>
      </c>
      <c r="AF54" s="387">
        <f t="shared" si="346"/>
        <v>0</v>
      </c>
      <c r="AG54" s="387">
        <f aca="true" t="shared" si="352" ref="AG54">J54*$D54</f>
        <v>0</v>
      </c>
      <c r="AH54" s="387">
        <f t="shared" si="347"/>
        <v>0</v>
      </c>
      <c r="AI54" s="387">
        <f t="shared" si="347"/>
        <v>0</v>
      </c>
      <c r="AJ54" s="387">
        <f t="shared" si="347"/>
        <v>0</v>
      </c>
      <c r="AK54" s="387">
        <f t="shared" si="338"/>
        <v>0</v>
      </c>
      <c r="AL54" s="387">
        <f t="shared" si="348"/>
        <v>0</v>
      </c>
      <c r="AM54" s="478">
        <f t="shared" si="348"/>
        <v>0</v>
      </c>
      <c r="AN54" s="388">
        <f t="shared" si="348"/>
        <v>0</v>
      </c>
      <c r="AO54" s="388">
        <f t="shared" si="348"/>
        <v>0</v>
      </c>
      <c r="AP54" s="388">
        <f t="shared" si="348"/>
        <v>3000</v>
      </c>
      <c r="AQ54" s="388">
        <f t="shared" si="348"/>
        <v>0</v>
      </c>
      <c r="AR54" s="388">
        <f t="shared" si="348"/>
        <v>0</v>
      </c>
      <c r="AS54" s="388">
        <f t="shared" si="348"/>
        <v>0</v>
      </c>
      <c r="AT54" s="388">
        <f t="shared" si="348"/>
        <v>0</v>
      </c>
      <c r="AU54" s="388">
        <f t="shared" si="348"/>
        <v>0</v>
      </c>
      <c r="AV54" s="388"/>
      <c r="AW54" s="388"/>
      <c r="AX54" s="388">
        <f t="shared" si="343"/>
        <v>0</v>
      </c>
      <c r="AY54" s="388">
        <f t="shared" si="343"/>
        <v>0</v>
      </c>
      <c r="AZ54" s="388">
        <f t="shared" si="343"/>
        <v>0</v>
      </c>
      <c r="BA54" s="388">
        <f t="shared" si="343"/>
        <v>0</v>
      </c>
      <c r="BB54" s="387">
        <f t="shared" si="343"/>
        <v>0</v>
      </c>
      <c r="BC54" s="388">
        <f t="shared" si="343"/>
        <v>0</v>
      </c>
      <c r="BD54" s="388">
        <f t="shared" si="343"/>
        <v>0</v>
      </c>
      <c r="BE54" s="388">
        <f t="shared" si="343"/>
        <v>0</v>
      </c>
      <c r="BF54" s="388">
        <f t="shared" si="343"/>
        <v>0</v>
      </c>
      <c r="BG54" s="388">
        <f t="shared" si="343"/>
        <v>0</v>
      </c>
      <c r="BH54" s="388">
        <f t="shared" si="343"/>
        <v>0</v>
      </c>
      <c r="BI54" s="388">
        <f t="shared" si="343"/>
        <v>0</v>
      </c>
      <c r="BJ54" s="388">
        <f t="shared" si="343"/>
        <v>0</v>
      </c>
      <c r="BK54" s="388">
        <f t="shared" si="343"/>
        <v>3000</v>
      </c>
      <c r="BL54" s="388">
        <f t="shared" si="343"/>
        <v>0</v>
      </c>
      <c r="BM54" s="388">
        <f t="shared" si="343"/>
        <v>0</v>
      </c>
      <c r="BN54" s="388">
        <f t="shared" si="335"/>
        <v>0</v>
      </c>
      <c r="BO54" s="388">
        <f t="shared" si="335"/>
        <v>0</v>
      </c>
      <c r="BP54" s="388">
        <f t="shared" si="335"/>
        <v>0</v>
      </c>
      <c r="BQ54" s="388">
        <f t="shared" si="335"/>
        <v>0</v>
      </c>
      <c r="BR54" s="479">
        <f t="shared" si="20"/>
        <v>0</v>
      </c>
    </row>
    <row r="55" spans="1:70" s="295" customFormat="1" ht="15" customHeight="1">
      <c r="A55" s="473" t="s">
        <v>138</v>
      </c>
      <c r="B55" s="474"/>
      <c r="C55" s="475"/>
      <c r="D55" s="387">
        <v>24797.88</v>
      </c>
      <c r="E55" s="475" t="s">
        <v>243</v>
      </c>
      <c r="F55" s="390"/>
      <c r="G55" s="390"/>
      <c r="H55" s="390"/>
      <c r="I55" s="389">
        <v>0</v>
      </c>
      <c r="J55" s="389">
        <v>0</v>
      </c>
      <c r="K55" s="389">
        <v>0</v>
      </c>
      <c r="L55" s="389">
        <v>0</v>
      </c>
      <c r="M55" s="389">
        <v>0</v>
      </c>
      <c r="N55" s="389">
        <v>0</v>
      </c>
      <c r="O55" s="389">
        <v>1</v>
      </c>
      <c r="P55" s="390">
        <v>0</v>
      </c>
      <c r="Q55" s="389">
        <v>0</v>
      </c>
      <c r="R55" s="389">
        <v>0</v>
      </c>
      <c r="S55" s="389">
        <v>0</v>
      </c>
      <c r="T55" s="389">
        <v>0</v>
      </c>
      <c r="U55" s="389">
        <v>0</v>
      </c>
      <c r="V55" s="389"/>
      <c r="W55" s="389"/>
      <c r="X55" s="389"/>
      <c r="Y55" s="389"/>
      <c r="Z55" s="477">
        <f>SUM(F55:X55)</f>
        <v>1</v>
      </c>
      <c r="AA55" s="475"/>
      <c r="AB55" s="475"/>
      <c r="AC55" s="387">
        <f t="shared" si="346"/>
        <v>0</v>
      </c>
      <c r="AD55" s="387">
        <f t="shared" si="346"/>
        <v>0</v>
      </c>
      <c r="AE55" s="387">
        <f t="shared" si="346"/>
        <v>0</v>
      </c>
      <c r="AF55" s="387">
        <f t="shared" si="346"/>
        <v>0</v>
      </c>
      <c r="AG55" s="387">
        <f t="shared" si="342"/>
        <v>0</v>
      </c>
      <c r="AH55" s="387">
        <f t="shared" si="347"/>
        <v>0</v>
      </c>
      <c r="AI55" s="387">
        <f t="shared" si="347"/>
        <v>0</v>
      </c>
      <c r="AJ55" s="387">
        <f t="shared" si="347"/>
        <v>0</v>
      </c>
      <c r="AK55" s="387">
        <f t="shared" si="338"/>
        <v>0</v>
      </c>
      <c r="AL55" s="387">
        <f t="shared" si="348"/>
        <v>24797.88</v>
      </c>
      <c r="AM55" s="478">
        <f t="shared" si="348"/>
        <v>0</v>
      </c>
      <c r="AN55" s="388">
        <f t="shared" si="348"/>
        <v>0</v>
      </c>
      <c r="AO55" s="388">
        <f t="shared" si="348"/>
        <v>0</v>
      </c>
      <c r="AP55" s="388">
        <f t="shared" si="348"/>
        <v>0</v>
      </c>
      <c r="AQ55" s="388">
        <f t="shared" si="348"/>
        <v>0</v>
      </c>
      <c r="AR55" s="388">
        <f t="shared" si="348"/>
        <v>0</v>
      </c>
      <c r="AS55" s="388">
        <f t="shared" si="348"/>
        <v>0</v>
      </c>
      <c r="AT55" s="388">
        <f t="shared" si="348"/>
        <v>0</v>
      </c>
      <c r="AU55" s="388">
        <f t="shared" si="348"/>
        <v>0</v>
      </c>
      <c r="AV55" s="388"/>
      <c r="AW55" s="388"/>
      <c r="AX55" s="388">
        <f t="shared" si="349"/>
        <v>0</v>
      </c>
      <c r="AY55" s="388">
        <f t="shared" si="349"/>
        <v>0</v>
      </c>
      <c r="AZ55" s="388">
        <f t="shared" si="349"/>
        <v>0</v>
      </c>
      <c r="BA55" s="388">
        <f t="shared" si="349"/>
        <v>0</v>
      </c>
      <c r="BB55" s="388">
        <f t="shared" si="349"/>
        <v>0</v>
      </c>
      <c r="BC55" s="388">
        <f t="shared" si="349"/>
        <v>0</v>
      </c>
      <c r="BD55" s="388">
        <f t="shared" si="349"/>
        <v>0</v>
      </c>
      <c r="BE55" s="388">
        <f t="shared" si="349"/>
        <v>0</v>
      </c>
      <c r="BF55" s="388">
        <f t="shared" si="349"/>
        <v>0</v>
      </c>
      <c r="BG55" s="388">
        <f t="shared" si="349"/>
        <v>24797.88</v>
      </c>
      <c r="BH55" s="388">
        <f t="shared" si="343"/>
        <v>0</v>
      </c>
      <c r="BI55" s="388">
        <f t="shared" si="343"/>
        <v>0</v>
      </c>
      <c r="BJ55" s="388">
        <f t="shared" si="343"/>
        <v>0</v>
      </c>
      <c r="BK55" s="388">
        <f t="shared" si="343"/>
        <v>0</v>
      </c>
      <c r="BL55" s="388">
        <f t="shared" si="343"/>
        <v>0</v>
      </c>
      <c r="BM55" s="388">
        <f t="shared" si="343"/>
        <v>0</v>
      </c>
      <c r="BN55" s="388">
        <f t="shared" si="343"/>
        <v>0</v>
      </c>
      <c r="BO55" s="388">
        <f t="shared" si="335"/>
        <v>0</v>
      </c>
      <c r="BP55" s="388">
        <f t="shared" si="335"/>
        <v>0</v>
      </c>
      <c r="BQ55" s="388">
        <f t="shared" si="335"/>
        <v>0</v>
      </c>
      <c r="BR55" s="479">
        <f t="shared" si="20"/>
        <v>0</v>
      </c>
    </row>
    <row r="56" spans="1:70" ht="15" customHeight="1">
      <c r="A56" s="473" t="s">
        <v>136</v>
      </c>
      <c r="B56" s="474"/>
      <c r="C56" s="475"/>
      <c r="D56" s="387">
        <v>85750</v>
      </c>
      <c r="E56" s="475" t="s">
        <v>276</v>
      </c>
      <c r="F56" s="389"/>
      <c r="G56" s="389"/>
      <c r="H56" s="389"/>
      <c r="I56" s="389"/>
      <c r="J56" s="389"/>
      <c r="K56" s="389"/>
      <c r="L56" s="389"/>
      <c r="M56" s="389"/>
      <c r="N56" s="389"/>
      <c r="O56" s="389">
        <v>0</v>
      </c>
      <c r="P56" s="389">
        <v>0</v>
      </c>
      <c r="Q56" s="389">
        <v>0</v>
      </c>
      <c r="R56" s="389">
        <v>0</v>
      </c>
      <c r="S56" s="389">
        <v>0</v>
      </c>
      <c r="T56" s="389">
        <v>0</v>
      </c>
      <c r="U56" s="389">
        <v>0</v>
      </c>
      <c r="V56" s="391">
        <v>0</v>
      </c>
      <c r="W56" s="391">
        <v>1</v>
      </c>
      <c r="X56" s="390"/>
      <c r="Y56" s="390"/>
      <c r="Z56" s="477">
        <f>SUM(F56:X56)</f>
        <v>1</v>
      </c>
      <c r="AA56" s="475"/>
      <c r="AB56" s="475"/>
      <c r="AC56" s="387">
        <f t="shared" si="346"/>
        <v>0</v>
      </c>
      <c r="AD56" s="387">
        <f t="shared" si="346"/>
        <v>0</v>
      </c>
      <c r="AE56" s="387">
        <f t="shared" si="346"/>
        <v>0</v>
      </c>
      <c r="AF56" s="387">
        <f t="shared" si="346"/>
        <v>0</v>
      </c>
      <c r="AG56" s="387">
        <f t="shared" si="342"/>
        <v>0</v>
      </c>
      <c r="AH56" s="387">
        <f t="shared" si="347"/>
        <v>0</v>
      </c>
      <c r="AI56" s="387">
        <f t="shared" si="347"/>
        <v>0</v>
      </c>
      <c r="AJ56" s="387">
        <f t="shared" si="347"/>
        <v>0</v>
      </c>
      <c r="AK56" s="387">
        <f t="shared" si="338"/>
        <v>0</v>
      </c>
      <c r="AL56" s="387">
        <f t="shared" si="348"/>
        <v>0</v>
      </c>
      <c r="AM56" s="478">
        <f t="shared" si="348"/>
        <v>0</v>
      </c>
      <c r="AN56" s="388">
        <f t="shared" si="348"/>
        <v>0</v>
      </c>
      <c r="AO56" s="388">
        <f t="shared" si="348"/>
        <v>0</v>
      </c>
      <c r="AP56" s="388">
        <f t="shared" si="348"/>
        <v>0</v>
      </c>
      <c r="AQ56" s="388">
        <f t="shared" si="348"/>
        <v>0</v>
      </c>
      <c r="AR56" s="388">
        <f t="shared" si="348"/>
        <v>0</v>
      </c>
      <c r="AS56" s="388">
        <f t="shared" si="348"/>
        <v>0</v>
      </c>
      <c r="AT56" s="388">
        <f t="shared" si="348"/>
        <v>85750</v>
      </c>
      <c r="AU56" s="388">
        <f t="shared" si="348"/>
        <v>0</v>
      </c>
      <c r="AV56" s="388"/>
      <c r="AW56" s="388"/>
      <c r="AX56" s="388">
        <f t="shared" si="349"/>
        <v>0</v>
      </c>
      <c r="AY56" s="388">
        <f t="shared" si="349"/>
        <v>0</v>
      </c>
      <c r="AZ56" s="388">
        <f t="shared" si="349"/>
        <v>0</v>
      </c>
      <c r="BA56" s="388">
        <f t="shared" si="349"/>
        <v>0</v>
      </c>
      <c r="BB56" s="388">
        <f t="shared" si="349"/>
        <v>0</v>
      </c>
      <c r="BC56" s="388">
        <f t="shared" si="349"/>
        <v>0</v>
      </c>
      <c r="BD56" s="388">
        <f t="shared" si="349"/>
        <v>0</v>
      </c>
      <c r="BE56" s="388">
        <f t="shared" si="349"/>
        <v>0</v>
      </c>
      <c r="BF56" s="388">
        <f t="shared" si="349"/>
        <v>0</v>
      </c>
      <c r="BG56" s="388">
        <f t="shared" si="349"/>
        <v>0</v>
      </c>
      <c r="BH56" s="388">
        <f t="shared" si="343"/>
        <v>0</v>
      </c>
      <c r="BI56" s="388">
        <f t="shared" si="343"/>
        <v>0</v>
      </c>
      <c r="BJ56" s="388">
        <f t="shared" si="343"/>
        <v>0</v>
      </c>
      <c r="BK56" s="388">
        <f t="shared" si="343"/>
        <v>0</v>
      </c>
      <c r="BL56" s="388">
        <f t="shared" si="343"/>
        <v>0</v>
      </c>
      <c r="BM56" s="388">
        <f t="shared" si="343"/>
        <v>0</v>
      </c>
      <c r="BN56" s="388">
        <f t="shared" si="343"/>
        <v>0</v>
      </c>
      <c r="BO56" s="388">
        <f t="shared" si="335"/>
        <v>85750</v>
      </c>
      <c r="BP56" s="388">
        <f t="shared" si="335"/>
        <v>0</v>
      </c>
      <c r="BQ56" s="388">
        <f t="shared" si="335"/>
        <v>0</v>
      </c>
      <c r="BR56" s="479">
        <f t="shared" si="20"/>
        <v>0</v>
      </c>
    </row>
    <row r="57" spans="1:70" s="295" customFormat="1" ht="15" customHeight="1">
      <c r="A57" s="473" t="s">
        <v>138</v>
      </c>
      <c r="B57" s="474"/>
      <c r="C57" s="475"/>
      <c r="D57" s="387">
        <v>9884.25</v>
      </c>
      <c r="E57" s="475" t="s">
        <v>233</v>
      </c>
      <c r="F57" s="390"/>
      <c r="G57" s="390"/>
      <c r="H57" s="390"/>
      <c r="I57" s="389">
        <v>0</v>
      </c>
      <c r="J57" s="389">
        <v>0</v>
      </c>
      <c r="K57" s="389">
        <v>0</v>
      </c>
      <c r="L57" s="389">
        <v>0</v>
      </c>
      <c r="M57" s="389">
        <v>0</v>
      </c>
      <c r="N57" s="389">
        <v>0</v>
      </c>
      <c r="O57" s="389">
        <v>0</v>
      </c>
      <c r="P57" s="389">
        <v>0</v>
      </c>
      <c r="Q57" s="389">
        <v>1</v>
      </c>
      <c r="R57" s="389">
        <v>0</v>
      </c>
      <c r="S57" s="389">
        <v>0</v>
      </c>
      <c r="T57" s="389">
        <v>0</v>
      </c>
      <c r="U57" s="389">
        <v>0</v>
      </c>
      <c r="V57" s="389"/>
      <c r="W57" s="389"/>
      <c r="X57" s="389"/>
      <c r="Y57" s="389"/>
      <c r="Z57" s="477">
        <f aca="true" t="shared" si="353" ref="Z57">SUM(F57:X57)</f>
        <v>1</v>
      </c>
      <c r="AA57" s="475"/>
      <c r="AB57" s="475"/>
      <c r="AC57" s="387">
        <f t="shared" si="346"/>
        <v>0</v>
      </c>
      <c r="AD57" s="387">
        <f t="shared" si="346"/>
        <v>0</v>
      </c>
      <c r="AE57" s="387">
        <f t="shared" si="346"/>
        <v>0</v>
      </c>
      <c r="AF57" s="387">
        <f t="shared" si="346"/>
        <v>0</v>
      </c>
      <c r="AG57" s="387">
        <f t="shared" si="342"/>
        <v>0</v>
      </c>
      <c r="AH57" s="387">
        <f t="shared" si="347"/>
        <v>0</v>
      </c>
      <c r="AI57" s="387">
        <f t="shared" si="347"/>
        <v>0</v>
      </c>
      <c r="AJ57" s="387">
        <f t="shared" si="347"/>
        <v>0</v>
      </c>
      <c r="AK57" s="387">
        <f t="shared" si="338"/>
        <v>0</v>
      </c>
      <c r="AL57" s="387">
        <f t="shared" si="348"/>
        <v>0</v>
      </c>
      <c r="AM57" s="478">
        <f t="shared" si="348"/>
        <v>0</v>
      </c>
      <c r="AN57" s="388">
        <f t="shared" si="348"/>
        <v>9884.25</v>
      </c>
      <c r="AO57" s="388">
        <f t="shared" si="348"/>
        <v>0</v>
      </c>
      <c r="AP57" s="388">
        <f t="shared" si="348"/>
        <v>0</v>
      </c>
      <c r="AQ57" s="388">
        <f t="shared" si="348"/>
        <v>0</v>
      </c>
      <c r="AR57" s="388">
        <f t="shared" si="348"/>
        <v>0</v>
      </c>
      <c r="AS57" s="388">
        <f t="shared" si="348"/>
        <v>0</v>
      </c>
      <c r="AT57" s="388">
        <f t="shared" si="348"/>
        <v>0</v>
      </c>
      <c r="AU57" s="388">
        <f t="shared" si="348"/>
        <v>0</v>
      </c>
      <c r="AV57" s="388"/>
      <c r="AW57" s="388"/>
      <c r="AX57" s="388">
        <f t="shared" si="349"/>
        <v>0</v>
      </c>
      <c r="AY57" s="388">
        <f t="shared" si="349"/>
        <v>0</v>
      </c>
      <c r="AZ57" s="388">
        <f t="shared" si="349"/>
        <v>0</v>
      </c>
      <c r="BA57" s="388">
        <f t="shared" si="349"/>
        <v>0</v>
      </c>
      <c r="BB57" s="388">
        <f t="shared" si="349"/>
        <v>0</v>
      </c>
      <c r="BC57" s="388">
        <f t="shared" si="349"/>
        <v>0</v>
      </c>
      <c r="BD57" s="388">
        <f t="shared" si="349"/>
        <v>0</v>
      </c>
      <c r="BE57" s="388">
        <f t="shared" si="349"/>
        <v>0</v>
      </c>
      <c r="BF57" s="388">
        <f t="shared" si="349"/>
        <v>0</v>
      </c>
      <c r="BG57" s="388">
        <f t="shared" si="349"/>
        <v>0</v>
      </c>
      <c r="BH57" s="388">
        <f t="shared" si="343"/>
        <v>0</v>
      </c>
      <c r="BI57" s="388">
        <f t="shared" si="343"/>
        <v>9884.25</v>
      </c>
      <c r="BJ57" s="388">
        <f t="shared" si="343"/>
        <v>0</v>
      </c>
      <c r="BK57" s="388">
        <f t="shared" si="343"/>
        <v>0</v>
      </c>
      <c r="BL57" s="388">
        <f t="shared" si="343"/>
        <v>0</v>
      </c>
      <c r="BM57" s="388">
        <f t="shared" si="343"/>
        <v>0</v>
      </c>
      <c r="BN57" s="388">
        <f t="shared" si="343"/>
        <v>0</v>
      </c>
      <c r="BO57" s="388">
        <f t="shared" si="335"/>
        <v>0</v>
      </c>
      <c r="BP57" s="388">
        <f t="shared" si="335"/>
        <v>0</v>
      </c>
      <c r="BQ57" s="388">
        <f t="shared" si="335"/>
        <v>0</v>
      </c>
      <c r="BR57" s="479">
        <f t="shared" si="20"/>
        <v>0</v>
      </c>
    </row>
    <row r="58" spans="1:70" s="295" customFormat="1" ht="15" customHeight="1">
      <c r="A58" s="473" t="s">
        <v>136</v>
      </c>
      <c r="B58" s="474"/>
      <c r="C58" s="475"/>
      <c r="D58" s="387">
        <v>98800</v>
      </c>
      <c r="E58" s="475" t="s">
        <v>276</v>
      </c>
      <c r="F58" s="389"/>
      <c r="G58" s="389"/>
      <c r="H58" s="389"/>
      <c r="I58" s="389">
        <v>0</v>
      </c>
      <c r="J58" s="389">
        <v>0</v>
      </c>
      <c r="K58" s="389">
        <v>0</v>
      </c>
      <c r="L58" s="389">
        <v>0</v>
      </c>
      <c r="M58" s="389">
        <v>0</v>
      </c>
      <c r="N58" s="389">
        <v>0</v>
      </c>
      <c r="O58" s="389">
        <v>0</v>
      </c>
      <c r="P58" s="389">
        <v>0</v>
      </c>
      <c r="Q58" s="389">
        <v>0</v>
      </c>
      <c r="R58" s="391">
        <v>0</v>
      </c>
      <c r="S58" s="391">
        <v>0</v>
      </c>
      <c r="T58" s="391">
        <v>0</v>
      </c>
      <c r="U58" s="391">
        <v>0</v>
      </c>
      <c r="V58" s="391">
        <v>0</v>
      </c>
      <c r="W58" s="391">
        <v>1</v>
      </c>
      <c r="X58" s="390"/>
      <c r="Y58" s="390"/>
      <c r="Z58" s="477">
        <f aca="true" t="shared" si="354" ref="Z58">SUM(F58:X58)</f>
        <v>1</v>
      </c>
      <c r="AA58" s="475"/>
      <c r="AB58" s="475"/>
      <c r="AC58" s="387">
        <f aca="true" t="shared" si="355" ref="AC58">F58*$D58</f>
        <v>0</v>
      </c>
      <c r="AD58" s="387">
        <f aca="true" t="shared" si="356" ref="AD58">G58*$D58</f>
        <v>0</v>
      </c>
      <c r="AE58" s="387">
        <f aca="true" t="shared" si="357" ref="AE58">H58*$D58</f>
        <v>0</v>
      </c>
      <c r="AF58" s="387">
        <f aca="true" t="shared" si="358" ref="AF58">I58*$D58</f>
        <v>0</v>
      </c>
      <c r="AG58" s="387">
        <f aca="true" t="shared" si="359" ref="AG58">J58*$D58</f>
        <v>0</v>
      </c>
      <c r="AH58" s="387">
        <f aca="true" t="shared" si="360" ref="AH58">K58*$D58</f>
        <v>0</v>
      </c>
      <c r="AI58" s="387">
        <f aca="true" t="shared" si="361" ref="AI58">L58*$D58</f>
        <v>0</v>
      </c>
      <c r="AJ58" s="387">
        <f aca="true" t="shared" si="362" ref="AJ58">M58*$D58</f>
        <v>0</v>
      </c>
      <c r="AK58" s="387">
        <f aca="true" t="shared" si="363" ref="AK58">N58*$D58</f>
        <v>0</v>
      </c>
      <c r="AL58" s="387">
        <f aca="true" t="shared" si="364" ref="AL58">O58*$D58</f>
        <v>0</v>
      </c>
      <c r="AM58" s="478">
        <f aca="true" t="shared" si="365" ref="AM58">P58*$D58</f>
        <v>0</v>
      </c>
      <c r="AN58" s="388">
        <f aca="true" t="shared" si="366" ref="AN58">Q58*$D58</f>
        <v>0</v>
      </c>
      <c r="AO58" s="388">
        <f aca="true" t="shared" si="367" ref="AO58">R58*$D58</f>
        <v>0</v>
      </c>
      <c r="AP58" s="388">
        <f aca="true" t="shared" si="368" ref="AP58">S58*$D58</f>
        <v>0</v>
      </c>
      <c r="AQ58" s="388">
        <f aca="true" t="shared" si="369" ref="AQ58">T58*$D58</f>
        <v>0</v>
      </c>
      <c r="AR58" s="388">
        <f aca="true" t="shared" si="370" ref="AR58">U58*$D58</f>
        <v>0</v>
      </c>
      <c r="AS58" s="388">
        <f aca="true" t="shared" si="371" ref="AS58">V58*$D58</f>
        <v>0</v>
      </c>
      <c r="AT58" s="388">
        <f aca="true" t="shared" si="372" ref="AT58">W58*$D58</f>
        <v>98800</v>
      </c>
      <c r="AU58" s="388">
        <f aca="true" t="shared" si="373" ref="AU58">X58*$D58</f>
        <v>0</v>
      </c>
      <c r="AV58" s="388"/>
      <c r="AW58" s="388"/>
      <c r="AX58" s="388">
        <f t="shared" si="343"/>
        <v>0</v>
      </c>
      <c r="AY58" s="388">
        <f t="shared" si="343"/>
        <v>0</v>
      </c>
      <c r="AZ58" s="388">
        <f t="shared" si="343"/>
        <v>0</v>
      </c>
      <c r="BA58" s="388">
        <f t="shared" si="343"/>
        <v>0</v>
      </c>
      <c r="BB58" s="388">
        <f t="shared" si="343"/>
        <v>0</v>
      </c>
      <c r="BC58" s="388">
        <f t="shared" si="343"/>
        <v>0</v>
      </c>
      <c r="BD58" s="388">
        <f t="shared" si="343"/>
        <v>0</v>
      </c>
      <c r="BE58" s="388">
        <f t="shared" si="343"/>
        <v>0</v>
      </c>
      <c r="BF58" s="388">
        <f t="shared" si="343"/>
        <v>0</v>
      </c>
      <c r="BG58" s="388">
        <f t="shared" si="343"/>
        <v>0</v>
      </c>
      <c r="BH58" s="388">
        <f t="shared" si="343"/>
        <v>0</v>
      </c>
      <c r="BI58" s="388">
        <f t="shared" si="343"/>
        <v>0</v>
      </c>
      <c r="BJ58" s="388">
        <f t="shared" si="343"/>
        <v>0</v>
      </c>
      <c r="BK58" s="388">
        <f t="shared" si="343"/>
        <v>0</v>
      </c>
      <c r="BL58" s="388">
        <f t="shared" si="343"/>
        <v>0</v>
      </c>
      <c r="BM58" s="388">
        <f t="shared" si="343"/>
        <v>0</v>
      </c>
      <c r="BN58" s="388">
        <f t="shared" si="335"/>
        <v>0</v>
      </c>
      <c r="BO58" s="388">
        <f t="shared" si="335"/>
        <v>98800</v>
      </c>
      <c r="BP58" s="388">
        <f t="shared" si="335"/>
        <v>0</v>
      </c>
      <c r="BQ58" s="388">
        <f t="shared" si="335"/>
        <v>0</v>
      </c>
      <c r="BR58" s="479">
        <f t="shared" si="20"/>
        <v>0</v>
      </c>
    </row>
    <row r="59" spans="1:70" ht="15" customHeight="1">
      <c r="A59" s="473" t="s">
        <v>137</v>
      </c>
      <c r="B59" s="474"/>
      <c r="C59" s="475"/>
      <c r="D59" s="387">
        <v>1300000</v>
      </c>
      <c r="E59" s="475" t="s">
        <v>262</v>
      </c>
      <c r="F59" s="390"/>
      <c r="G59" s="390"/>
      <c r="H59" s="390"/>
      <c r="I59" s="390"/>
      <c r="J59" s="389"/>
      <c r="K59" s="389">
        <v>0</v>
      </c>
      <c r="L59" s="389">
        <v>0</v>
      </c>
      <c r="M59" s="389">
        <v>0</v>
      </c>
      <c r="N59" s="389">
        <v>0</v>
      </c>
      <c r="O59" s="389">
        <v>0</v>
      </c>
      <c r="P59" s="389">
        <v>0</v>
      </c>
      <c r="Q59" s="389">
        <v>0</v>
      </c>
      <c r="R59" s="389">
        <v>0</v>
      </c>
      <c r="S59" s="391">
        <v>0</v>
      </c>
      <c r="T59" s="391">
        <v>0.05</v>
      </c>
      <c r="U59" s="391">
        <v>0.5</v>
      </c>
      <c r="V59" s="391">
        <v>0.2</v>
      </c>
      <c r="W59" s="391">
        <v>0.25</v>
      </c>
      <c r="X59" s="390"/>
      <c r="Y59" s="390"/>
      <c r="Z59" s="477">
        <f>SUM(F59:X59)</f>
        <v>1</v>
      </c>
      <c r="AA59" s="475"/>
      <c r="AB59" s="475"/>
      <c r="AC59" s="387">
        <f aca="true" t="shared" si="374" ref="AC59:AC67">F59*$D59</f>
        <v>0</v>
      </c>
      <c r="AD59" s="387">
        <f aca="true" t="shared" si="375" ref="AD59:AD67">G59*$D59</f>
        <v>0</v>
      </c>
      <c r="AE59" s="387">
        <f aca="true" t="shared" si="376" ref="AE59:AE67">H59*$D59</f>
        <v>0</v>
      </c>
      <c r="AF59" s="387">
        <f aca="true" t="shared" si="377" ref="AF59:AF67">I59*$D59</f>
        <v>0</v>
      </c>
      <c r="AG59" s="387">
        <f aca="true" t="shared" si="378" ref="AG59:AG67">J59*$D59</f>
        <v>0</v>
      </c>
      <c r="AH59" s="387">
        <f aca="true" t="shared" si="379" ref="AH59:AH67">K59*$D59</f>
        <v>0</v>
      </c>
      <c r="AI59" s="387">
        <f aca="true" t="shared" si="380" ref="AI59:AI67">L59*$D59</f>
        <v>0</v>
      </c>
      <c r="AJ59" s="387">
        <f aca="true" t="shared" si="381" ref="AJ59:AJ67">M59*$D59</f>
        <v>0</v>
      </c>
      <c r="AK59" s="387">
        <f aca="true" t="shared" si="382" ref="AK59:AK67">N59*$D59</f>
        <v>0</v>
      </c>
      <c r="AL59" s="387">
        <f aca="true" t="shared" si="383" ref="AL59:AL67">O59*$D59</f>
        <v>0</v>
      </c>
      <c r="AM59" s="478">
        <f aca="true" t="shared" si="384" ref="AM59:AM67">P59*$D59</f>
        <v>0</v>
      </c>
      <c r="AN59" s="388">
        <f aca="true" t="shared" si="385" ref="AN59:AN67">Q59*$D59</f>
        <v>0</v>
      </c>
      <c r="AO59" s="388">
        <f aca="true" t="shared" si="386" ref="AO59:AO67">R59*$D59</f>
        <v>0</v>
      </c>
      <c r="AP59" s="388">
        <f aca="true" t="shared" si="387" ref="AP59:AP67">S59*$D59</f>
        <v>0</v>
      </c>
      <c r="AQ59" s="388">
        <f aca="true" t="shared" si="388" ref="AQ59:AQ67">T59*$D59</f>
        <v>65000</v>
      </c>
      <c r="AR59" s="388">
        <f aca="true" t="shared" si="389" ref="AR59:AR67">U59*$D59</f>
        <v>650000</v>
      </c>
      <c r="AS59" s="388">
        <f aca="true" t="shared" si="390" ref="AS59:AS67">V59*$D59</f>
        <v>260000</v>
      </c>
      <c r="AT59" s="388">
        <f aca="true" t="shared" si="391" ref="AT59:AT67">W59*$D59</f>
        <v>325000</v>
      </c>
      <c r="AU59" s="388">
        <f aca="true" t="shared" si="392" ref="AU59:AU67">X59*$D59</f>
        <v>0</v>
      </c>
      <c r="AV59" s="388"/>
      <c r="AW59" s="388"/>
      <c r="AX59" s="388">
        <f aca="true" t="shared" si="393" ref="AX59:BQ59">IF(AX$3=$E59,$D59,0)</f>
        <v>0</v>
      </c>
      <c r="AY59" s="388">
        <f t="shared" si="393"/>
        <v>0</v>
      </c>
      <c r="AZ59" s="388">
        <f t="shared" si="393"/>
        <v>0</v>
      </c>
      <c r="BA59" s="388">
        <f t="shared" si="393"/>
        <v>0</v>
      </c>
      <c r="BB59" s="388">
        <f t="shared" si="393"/>
        <v>0</v>
      </c>
      <c r="BC59" s="388">
        <f t="shared" si="393"/>
        <v>0</v>
      </c>
      <c r="BD59" s="388">
        <f t="shared" si="393"/>
        <v>0</v>
      </c>
      <c r="BE59" s="388">
        <f t="shared" si="393"/>
        <v>0</v>
      </c>
      <c r="BF59" s="388">
        <f t="shared" si="393"/>
        <v>0</v>
      </c>
      <c r="BG59" s="388">
        <f t="shared" si="393"/>
        <v>0</v>
      </c>
      <c r="BH59" s="388">
        <f t="shared" si="393"/>
        <v>0</v>
      </c>
      <c r="BI59" s="388">
        <f t="shared" si="393"/>
        <v>0</v>
      </c>
      <c r="BJ59" s="388">
        <f t="shared" si="393"/>
        <v>0</v>
      </c>
      <c r="BK59" s="388">
        <f t="shared" si="393"/>
        <v>1300000</v>
      </c>
      <c r="BL59" s="388">
        <f t="shared" si="393"/>
        <v>0</v>
      </c>
      <c r="BM59" s="388">
        <f t="shared" si="393"/>
        <v>0</v>
      </c>
      <c r="BN59" s="388">
        <f t="shared" si="393"/>
        <v>0</v>
      </c>
      <c r="BO59" s="388">
        <f t="shared" si="393"/>
        <v>0</v>
      </c>
      <c r="BP59" s="388">
        <f t="shared" si="393"/>
        <v>0</v>
      </c>
      <c r="BQ59" s="388">
        <f t="shared" si="393"/>
        <v>0</v>
      </c>
      <c r="BR59" s="479">
        <f t="shared" si="20"/>
        <v>0</v>
      </c>
    </row>
    <row r="60" spans="1:70" ht="14.45" customHeight="1">
      <c r="A60" s="482" t="s">
        <v>139</v>
      </c>
      <c r="B60" s="483"/>
      <c r="C60" s="484"/>
      <c r="D60" s="485">
        <v>8000</v>
      </c>
      <c r="E60" s="484" t="s">
        <v>167</v>
      </c>
      <c r="F60" s="486"/>
      <c r="G60" s="486"/>
      <c r="H60" s="486"/>
      <c r="I60" s="486">
        <v>0.5</v>
      </c>
      <c r="J60" s="486">
        <v>0.5</v>
      </c>
      <c r="K60" s="487"/>
      <c r="L60" s="487"/>
      <c r="M60" s="487"/>
      <c r="N60" s="487"/>
      <c r="O60" s="487"/>
      <c r="P60" s="487"/>
      <c r="Q60" s="486"/>
      <c r="R60" s="486"/>
      <c r="S60" s="486"/>
      <c r="T60" s="486"/>
      <c r="U60" s="486"/>
      <c r="V60" s="486"/>
      <c r="W60" s="486"/>
      <c r="X60" s="486"/>
      <c r="Y60" s="486"/>
      <c r="Z60" s="488">
        <f aca="true" t="shared" si="394" ref="Z60:Z67">SUM(F60:X60)</f>
        <v>1</v>
      </c>
      <c r="AA60" s="484"/>
      <c r="AB60" s="484"/>
      <c r="AC60" s="489">
        <f t="shared" si="374"/>
        <v>0</v>
      </c>
      <c r="AD60" s="489">
        <f t="shared" si="375"/>
        <v>0</v>
      </c>
      <c r="AE60" s="489">
        <f t="shared" si="376"/>
        <v>0</v>
      </c>
      <c r="AF60" s="489">
        <f t="shared" si="377"/>
        <v>4000</v>
      </c>
      <c r="AG60" s="489">
        <f t="shared" si="378"/>
        <v>4000</v>
      </c>
      <c r="AH60" s="485">
        <f t="shared" si="379"/>
        <v>0</v>
      </c>
      <c r="AI60" s="489">
        <f t="shared" si="380"/>
        <v>0</v>
      </c>
      <c r="AJ60" s="485">
        <f t="shared" si="381"/>
        <v>0</v>
      </c>
      <c r="AK60" s="485">
        <f t="shared" si="382"/>
        <v>0</v>
      </c>
      <c r="AL60" s="489">
        <f t="shared" si="383"/>
        <v>0</v>
      </c>
      <c r="AM60" s="485">
        <f t="shared" si="384"/>
        <v>0</v>
      </c>
      <c r="AN60" s="489">
        <f t="shared" si="385"/>
        <v>0</v>
      </c>
      <c r="AO60" s="489">
        <f t="shared" si="386"/>
        <v>0</v>
      </c>
      <c r="AP60" s="489">
        <f t="shared" si="387"/>
        <v>0</v>
      </c>
      <c r="AQ60" s="489">
        <f t="shared" si="388"/>
        <v>0</v>
      </c>
      <c r="AR60" s="489">
        <f t="shared" si="389"/>
        <v>0</v>
      </c>
      <c r="AS60" s="489">
        <f t="shared" si="390"/>
        <v>0</v>
      </c>
      <c r="AT60" s="489">
        <f t="shared" si="391"/>
        <v>0</v>
      </c>
      <c r="AU60" s="489">
        <f t="shared" si="392"/>
        <v>0</v>
      </c>
      <c r="AV60" s="489"/>
      <c r="AW60" s="489"/>
      <c r="AX60" s="489">
        <f aca="true" t="shared" si="395" ref="AX60:BG67">IF(AX$3=$E60,$D60,0)</f>
        <v>0</v>
      </c>
      <c r="AY60" s="489">
        <f t="shared" si="395"/>
        <v>0</v>
      </c>
      <c r="AZ60" s="489">
        <f t="shared" si="395"/>
        <v>8000</v>
      </c>
      <c r="BA60" s="489">
        <f t="shared" si="395"/>
        <v>0</v>
      </c>
      <c r="BB60" s="489">
        <f t="shared" si="395"/>
        <v>0</v>
      </c>
      <c r="BC60" s="489">
        <f t="shared" si="395"/>
        <v>0</v>
      </c>
      <c r="BD60" s="489">
        <f t="shared" si="395"/>
        <v>0</v>
      </c>
      <c r="BE60" s="489">
        <f t="shared" si="395"/>
        <v>0</v>
      </c>
      <c r="BF60" s="485">
        <f t="shared" si="395"/>
        <v>0</v>
      </c>
      <c r="BG60" s="489">
        <f t="shared" si="395"/>
        <v>0</v>
      </c>
      <c r="BH60" s="489">
        <f aca="true" t="shared" si="396" ref="BH60:BQ67">IF(BH$3=$E60,$D60,0)</f>
        <v>0</v>
      </c>
      <c r="BI60" s="489">
        <f t="shared" si="396"/>
        <v>0</v>
      </c>
      <c r="BJ60" s="489">
        <f t="shared" si="396"/>
        <v>0</v>
      </c>
      <c r="BK60" s="489">
        <f t="shared" si="396"/>
        <v>0</v>
      </c>
      <c r="BL60" s="489">
        <f t="shared" si="396"/>
        <v>0</v>
      </c>
      <c r="BM60" s="489">
        <f t="shared" si="396"/>
        <v>0</v>
      </c>
      <c r="BN60" s="489">
        <f t="shared" si="396"/>
        <v>0</v>
      </c>
      <c r="BO60" s="489">
        <f t="shared" si="396"/>
        <v>0</v>
      </c>
      <c r="BP60" s="489">
        <f t="shared" si="396"/>
        <v>0</v>
      </c>
      <c r="BQ60" s="489">
        <f t="shared" si="396"/>
        <v>0</v>
      </c>
      <c r="BR60" s="490">
        <f t="shared" si="20"/>
        <v>0</v>
      </c>
    </row>
    <row r="61" spans="1:70" ht="14.45" customHeight="1">
      <c r="A61" s="482" t="s">
        <v>139</v>
      </c>
      <c r="B61" s="483"/>
      <c r="C61" s="484"/>
      <c r="D61" s="485">
        <v>52000</v>
      </c>
      <c r="E61" s="484" t="s">
        <v>167</v>
      </c>
      <c r="F61" s="491"/>
      <c r="G61" s="491"/>
      <c r="H61" s="491"/>
      <c r="I61" s="491">
        <v>0.115384615384615</v>
      </c>
      <c r="J61" s="491">
        <v>0.115384615384615</v>
      </c>
      <c r="K61" s="491">
        <v>0.115384615384615</v>
      </c>
      <c r="L61" s="491">
        <v>0.115384615384615</v>
      </c>
      <c r="M61" s="491">
        <v>0.115384615384615</v>
      </c>
      <c r="N61" s="491">
        <v>0.115384615384615</v>
      </c>
      <c r="O61" s="491">
        <v>0.115384615384615</v>
      </c>
      <c r="P61" s="491">
        <v>0.115384615384615</v>
      </c>
      <c r="Q61" s="491">
        <f>1-(I61+J61+K61+L61+M61+N61+O61+P61)</f>
        <v>0.07692307692308009</v>
      </c>
      <c r="R61" s="491">
        <v>0</v>
      </c>
      <c r="S61" s="491">
        <v>0</v>
      </c>
      <c r="T61" s="491">
        <v>0</v>
      </c>
      <c r="U61" s="491"/>
      <c r="V61" s="491"/>
      <c r="W61" s="491"/>
      <c r="X61" s="491"/>
      <c r="Y61" s="491"/>
      <c r="Z61" s="488">
        <f t="shared" si="394"/>
        <v>1</v>
      </c>
      <c r="AA61" s="484"/>
      <c r="AB61" s="484"/>
      <c r="AC61" s="489">
        <f t="shared" si="374"/>
        <v>0</v>
      </c>
      <c r="AD61" s="489">
        <f t="shared" si="375"/>
        <v>0</v>
      </c>
      <c r="AE61" s="489">
        <f t="shared" si="376"/>
        <v>0</v>
      </c>
      <c r="AF61" s="489">
        <f t="shared" si="377"/>
        <v>5999.99999999998</v>
      </c>
      <c r="AG61" s="489">
        <f t="shared" si="378"/>
        <v>5999.99999999998</v>
      </c>
      <c r="AH61" s="485">
        <f t="shared" si="379"/>
        <v>5999.99999999998</v>
      </c>
      <c r="AI61" s="489">
        <f t="shared" si="380"/>
        <v>5999.99999999998</v>
      </c>
      <c r="AJ61" s="485">
        <f t="shared" si="381"/>
        <v>5999.99999999998</v>
      </c>
      <c r="AK61" s="485">
        <f t="shared" si="382"/>
        <v>5999.99999999998</v>
      </c>
      <c r="AL61" s="489">
        <f t="shared" si="383"/>
        <v>5999.99999999998</v>
      </c>
      <c r="AM61" s="485">
        <f t="shared" si="384"/>
        <v>5999.99999999998</v>
      </c>
      <c r="AN61" s="489">
        <f t="shared" si="385"/>
        <v>4000.0000000001646</v>
      </c>
      <c r="AO61" s="489">
        <f t="shared" si="386"/>
        <v>0</v>
      </c>
      <c r="AP61" s="489">
        <f t="shared" si="387"/>
        <v>0</v>
      </c>
      <c r="AQ61" s="489">
        <f t="shared" si="388"/>
        <v>0</v>
      </c>
      <c r="AR61" s="489">
        <f t="shared" si="389"/>
        <v>0</v>
      </c>
      <c r="AS61" s="489">
        <f t="shared" si="390"/>
        <v>0</v>
      </c>
      <c r="AT61" s="489">
        <f t="shared" si="391"/>
        <v>0</v>
      </c>
      <c r="AU61" s="489">
        <f t="shared" si="392"/>
        <v>0</v>
      </c>
      <c r="AV61" s="489"/>
      <c r="AW61" s="489"/>
      <c r="AX61" s="489">
        <f t="shared" si="395"/>
        <v>0</v>
      </c>
      <c r="AY61" s="489">
        <f t="shared" si="395"/>
        <v>0</v>
      </c>
      <c r="AZ61" s="489">
        <f t="shared" si="395"/>
        <v>52000</v>
      </c>
      <c r="BA61" s="489">
        <f t="shared" si="395"/>
        <v>0</v>
      </c>
      <c r="BB61" s="489">
        <f t="shared" si="395"/>
        <v>0</v>
      </c>
      <c r="BC61" s="489">
        <f t="shared" si="395"/>
        <v>0</v>
      </c>
      <c r="BD61" s="489">
        <f t="shared" si="395"/>
        <v>0</v>
      </c>
      <c r="BE61" s="489">
        <f t="shared" si="395"/>
        <v>0</v>
      </c>
      <c r="BF61" s="485">
        <f t="shared" si="395"/>
        <v>0</v>
      </c>
      <c r="BG61" s="489">
        <f t="shared" si="395"/>
        <v>0</v>
      </c>
      <c r="BH61" s="489">
        <f t="shared" si="396"/>
        <v>0</v>
      </c>
      <c r="BI61" s="489">
        <f t="shared" si="396"/>
        <v>0</v>
      </c>
      <c r="BJ61" s="489">
        <f t="shared" si="396"/>
        <v>0</v>
      </c>
      <c r="BK61" s="489">
        <f t="shared" si="396"/>
        <v>0</v>
      </c>
      <c r="BL61" s="489">
        <f t="shared" si="396"/>
        <v>0</v>
      </c>
      <c r="BM61" s="489">
        <f t="shared" si="396"/>
        <v>0</v>
      </c>
      <c r="BN61" s="489">
        <f t="shared" si="396"/>
        <v>0</v>
      </c>
      <c r="BO61" s="489">
        <f t="shared" si="396"/>
        <v>0</v>
      </c>
      <c r="BP61" s="489">
        <f t="shared" si="396"/>
        <v>0</v>
      </c>
      <c r="BQ61" s="489">
        <f t="shared" si="396"/>
        <v>0</v>
      </c>
      <c r="BR61" s="490">
        <f t="shared" si="20"/>
        <v>0</v>
      </c>
    </row>
    <row r="62" spans="1:70" ht="15" customHeight="1">
      <c r="A62" s="482" t="s">
        <v>139</v>
      </c>
      <c r="B62" s="483"/>
      <c r="C62" s="484"/>
      <c r="D62" s="485">
        <v>8100</v>
      </c>
      <c r="E62" s="484" t="s">
        <v>199</v>
      </c>
      <c r="F62" s="486"/>
      <c r="G62" s="486"/>
      <c r="H62" s="486"/>
      <c r="I62" s="486">
        <v>0</v>
      </c>
      <c r="J62" s="486">
        <v>0.41666666667</v>
      </c>
      <c r="K62" s="486">
        <v>0.5833333333299999</v>
      </c>
      <c r="L62" s="487"/>
      <c r="M62" s="487"/>
      <c r="N62" s="487"/>
      <c r="O62" s="487"/>
      <c r="P62" s="487"/>
      <c r="Q62" s="486"/>
      <c r="R62" s="486"/>
      <c r="S62" s="486"/>
      <c r="T62" s="486"/>
      <c r="U62" s="486"/>
      <c r="V62" s="486"/>
      <c r="W62" s="486"/>
      <c r="X62" s="486"/>
      <c r="Y62" s="486"/>
      <c r="Z62" s="488">
        <f t="shared" si="394"/>
        <v>1</v>
      </c>
      <c r="AA62" s="484"/>
      <c r="AB62" s="484"/>
      <c r="AC62" s="489">
        <f t="shared" si="374"/>
        <v>0</v>
      </c>
      <c r="AD62" s="489">
        <f t="shared" si="375"/>
        <v>0</v>
      </c>
      <c r="AE62" s="489">
        <f t="shared" si="376"/>
        <v>0</v>
      </c>
      <c r="AF62" s="489">
        <f t="shared" si="377"/>
        <v>0</v>
      </c>
      <c r="AG62" s="489">
        <f t="shared" si="378"/>
        <v>3375.000000027</v>
      </c>
      <c r="AH62" s="489">
        <f t="shared" si="379"/>
        <v>4724.999999973</v>
      </c>
      <c r="AI62" s="489">
        <f t="shared" si="380"/>
        <v>0</v>
      </c>
      <c r="AJ62" s="485">
        <f t="shared" si="381"/>
        <v>0</v>
      </c>
      <c r="AK62" s="485">
        <f t="shared" si="382"/>
        <v>0</v>
      </c>
      <c r="AL62" s="489">
        <f t="shared" si="383"/>
        <v>0</v>
      </c>
      <c r="AM62" s="485">
        <f t="shared" si="384"/>
        <v>0</v>
      </c>
      <c r="AN62" s="489">
        <f t="shared" si="385"/>
        <v>0</v>
      </c>
      <c r="AO62" s="489">
        <f t="shared" si="386"/>
        <v>0</v>
      </c>
      <c r="AP62" s="489">
        <f t="shared" si="387"/>
        <v>0</v>
      </c>
      <c r="AQ62" s="489">
        <f t="shared" si="388"/>
        <v>0</v>
      </c>
      <c r="AR62" s="489">
        <f t="shared" si="389"/>
        <v>0</v>
      </c>
      <c r="AS62" s="489">
        <f t="shared" si="390"/>
        <v>0</v>
      </c>
      <c r="AT62" s="489">
        <f t="shared" si="391"/>
        <v>0</v>
      </c>
      <c r="AU62" s="489">
        <f t="shared" si="392"/>
        <v>0</v>
      </c>
      <c r="AV62" s="489"/>
      <c r="AW62" s="489"/>
      <c r="AX62" s="489">
        <f t="shared" si="395"/>
        <v>0</v>
      </c>
      <c r="AY62" s="489">
        <f t="shared" si="395"/>
        <v>0</v>
      </c>
      <c r="AZ62" s="489">
        <f t="shared" si="395"/>
        <v>0</v>
      </c>
      <c r="BA62" s="489">
        <f t="shared" si="395"/>
        <v>8100</v>
      </c>
      <c r="BB62" s="489">
        <f t="shared" si="395"/>
        <v>0</v>
      </c>
      <c r="BC62" s="489">
        <f t="shared" si="395"/>
        <v>0</v>
      </c>
      <c r="BD62" s="489">
        <f t="shared" si="395"/>
        <v>0</v>
      </c>
      <c r="BE62" s="489">
        <f t="shared" si="395"/>
        <v>0</v>
      </c>
      <c r="BF62" s="485">
        <f t="shared" si="395"/>
        <v>0</v>
      </c>
      <c r="BG62" s="489">
        <f t="shared" si="395"/>
        <v>0</v>
      </c>
      <c r="BH62" s="489">
        <f t="shared" si="396"/>
        <v>0</v>
      </c>
      <c r="BI62" s="489">
        <f t="shared" si="396"/>
        <v>0</v>
      </c>
      <c r="BJ62" s="489">
        <f t="shared" si="396"/>
        <v>0</v>
      </c>
      <c r="BK62" s="489">
        <f t="shared" si="396"/>
        <v>0</v>
      </c>
      <c r="BL62" s="489">
        <f t="shared" si="396"/>
        <v>0</v>
      </c>
      <c r="BM62" s="489">
        <f t="shared" si="396"/>
        <v>0</v>
      </c>
      <c r="BN62" s="489">
        <f t="shared" si="396"/>
        <v>0</v>
      </c>
      <c r="BO62" s="489">
        <f t="shared" si="396"/>
        <v>0</v>
      </c>
      <c r="BP62" s="489">
        <f t="shared" si="396"/>
        <v>0</v>
      </c>
      <c r="BQ62" s="489">
        <f t="shared" si="396"/>
        <v>0</v>
      </c>
      <c r="BR62" s="490">
        <f t="shared" si="20"/>
        <v>0</v>
      </c>
    </row>
    <row r="63" spans="1:70" ht="15" customHeight="1">
      <c r="A63" s="482" t="s">
        <v>139</v>
      </c>
      <c r="B63" s="483"/>
      <c r="C63" s="484"/>
      <c r="D63" s="485">
        <v>18700</v>
      </c>
      <c r="E63" s="484" t="s">
        <v>199</v>
      </c>
      <c r="F63" s="486"/>
      <c r="G63" s="486"/>
      <c r="H63" s="486"/>
      <c r="I63" s="486">
        <v>0</v>
      </c>
      <c r="J63" s="486">
        <v>0.363636363636</v>
      </c>
      <c r="K63" s="486">
        <v>0.636363636364</v>
      </c>
      <c r="L63" s="487"/>
      <c r="M63" s="487"/>
      <c r="N63" s="487"/>
      <c r="O63" s="487"/>
      <c r="P63" s="487"/>
      <c r="Q63" s="486"/>
      <c r="R63" s="486"/>
      <c r="S63" s="486"/>
      <c r="T63" s="486"/>
      <c r="U63" s="486"/>
      <c r="V63" s="486"/>
      <c r="W63" s="486"/>
      <c r="X63" s="486"/>
      <c r="Y63" s="486"/>
      <c r="Z63" s="488">
        <f t="shared" si="394"/>
        <v>1</v>
      </c>
      <c r="AA63" s="484"/>
      <c r="AB63" s="484"/>
      <c r="AC63" s="489">
        <f t="shared" si="374"/>
        <v>0</v>
      </c>
      <c r="AD63" s="489">
        <f t="shared" si="375"/>
        <v>0</v>
      </c>
      <c r="AE63" s="489">
        <f t="shared" si="376"/>
        <v>0</v>
      </c>
      <c r="AF63" s="489">
        <f t="shared" si="377"/>
        <v>0</v>
      </c>
      <c r="AG63" s="489">
        <f t="shared" si="378"/>
        <v>6799.9999999932</v>
      </c>
      <c r="AH63" s="485">
        <f t="shared" si="379"/>
        <v>11900.0000000068</v>
      </c>
      <c r="AI63" s="489">
        <f t="shared" si="380"/>
        <v>0</v>
      </c>
      <c r="AJ63" s="485">
        <f t="shared" si="381"/>
        <v>0</v>
      </c>
      <c r="AK63" s="485">
        <f t="shared" si="382"/>
        <v>0</v>
      </c>
      <c r="AL63" s="489">
        <f t="shared" si="383"/>
        <v>0</v>
      </c>
      <c r="AM63" s="485">
        <f t="shared" si="384"/>
        <v>0</v>
      </c>
      <c r="AN63" s="489">
        <f t="shared" si="385"/>
        <v>0</v>
      </c>
      <c r="AO63" s="489">
        <f t="shared" si="386"/>
        <v>0</v>
      </c>
      <c r="AP63" s="489">
        <f t="shared" si="387"/>
        <v>0</v>
      </c>
      <c r="AQ63" s="489">
        <f t="shared" si="388"/>
        <v>0</v>
      </c>
      <c r="AR63" s="489">
        <f t="shared" si="389"/>
        <v>0</v>
      </c>
      <c r="AS63" s="489">
        <f t="shared" si="390"/>
        <v>0</v>
      </c>
      <c r="AT63" s="489">
        <f t="shared" si="391"/>
        <v>0</v>
      </c>
      <c r="AU63" s="489">
        <f t="shared" si="392"/>
        <v>0</v>
      </c>
      <c r="AV63" s="489"/>
      <c r="AW63" s="489"/>
      <c r="AX63" s="489">
        <f t="shared" si="395"/>
        <v>0</v>
      </c>
      <c r="AY63" s="489">
        <f t="shared" si="395"/>
        <v>0</v>
      </c>
      <c r="AZ63" s="489">
        <f t="shared" si="395"/>
        <v>0</v>
      </c>
      <c r="BA63" s="489">
        <f t="shared" si="395"/>
        <v>18700</v>
      </c>
      <c r="BB63" s="489">
        <f t="shared" si="395"/>
        <v>0</v>
      </c>
      <c r="BC63" s="489">
        <f t="shared" si="395"/>
        <v>0</v>
      </c>
      <c r="BD63" s="489">
        <f t="shared" si="395"/>
        <v>0</v>
      </c>
      <c r="BE63" s="489">
        <f t="shared" si="395"/>
        <v>0</v>
      </c>
      <c r="BF63" s="485">
        <f t="shared" si="395"/>
        <v>0</v>
      </c>
      <c r="BG63" s="489">
        <f t="shared" si="395"/>
        <v>0</v>
      </c>
      <c r="BH63" s="489">
        <f t="shared" si="396"/>
        <v>0</v>
      </c>
      <c r="BI63" s="489">
        <f t="shared" si="396"/>
        <v>0</v>
      </c>
      <c r="BJ63" s="489">
        <f t="shared" si="396"/>
        <v>0</v>
      </c>
      <c r="BK63" s="489">
        <f t="shared" si="396"/>
        <v>0</v>
      </c>
      <c r="BL63" s="489">
        <f t="shared" si="396"/>
        <v>0</v>
      </c>
      <c r="BM63" s="489">
        <f t="shared" si="396"/>
        <v>0</v>
      </c>
      <c r="BN63" s="489">
        <f t="shared" si="396"/>
        <v>0</v>
      </c>
      <c r="BO63" s="489">
        <f t="shared" si="396"/>
        <v>0</v>
      </c>
      <c r="BP63" s="489">
        <f t="shared" si="396"/>
        <v>0</v>
      </c>
      <c r="BQ63" s="489">
        <f t="shared" si="396"/>
        <v>0</v>
      </c>
      <c r="BR63" s="490">
        <f t="shared" si="20"/>
        <v>0</v>
      </c>
    </row>
    <row r="64" spans="1:70" ht="15" customHeight="1">
      <c r="A64" s="482" t="s">
        <v>139</v>
      </c>
      <c r="B64" s="483"/>
      <c r="C64" s="484"/>
      <c r="D64" s="485">
        <v>13200</v>
      </c>
      <c r="E64" s="484" t="s">
        <v>196</v>
      </c>
      <c r="F64" s="486"/>
      <c r="G64" s="486"/>
      <c r="H64" s="486"/>
      <c r="I64" s="486"/>
      <c r="J64" s="486"/>
      <c r="K64" s="486">
        <v>1</v>
      </c>
      <c r="L64" s="486"/>
      <c r="M64" s="486"/>
      <c r="N64" s="486"/>
      <c r="O64" s="487"/>
      <c r="P64" s="487"/>
      <c r="Q64" s="487"/>
      <c r="R64" s="487"/>
      <c r="S64" s="487"/>
      <c r="T64" s="487"/>
      <c r="U64" s="487"/>
      <c r="V64" s="487"/>
      <c r="W64" s="487"/>
      <c r="X64" s="487"/>
      <c r="Y64" s="487"/>
      <c r="Z64" s="488">
        <f t="shared" si="394"/>
        <v>1</v>
      </c>
      <c r="AA64" s="484"/>
      <c r="AB64" s="484"/>
      <c r="AC64" s="489">
        <f t="shared" si="374"/>
        <v>0</v>
      </c>
      <c r="AD64" s="489">
        <f t="shared" si="375"/>
        <v>0</v>
      </c>
      <c r="AE64" s="489">
        <f t="shared" si="376"/>
        <v>0</v>
      </c>
      <c r="AF64" s="489">
        <f t="shared" si="377"/>
        <v>0</v>
      </c>
      <c r="AG64" s="489">
        <f t="shared" si="378"/>
        <v>0</v>
      </c>
      <c r="AH64" s="489">
        <f t="shared" si="379"/>
        <v>13200</v>
      </c>
      <c r="AI64" s="489">
        <f t="shared" si="380"/>
        <v>0</v>
      </c>
      <c r="AJ64" s="485">
        <f t="shared" si="381"/>
        <v>0</v>
      </c>
      <c r="AK64" s="489">
        <f t="shared" si="382"/>
        <v>0</v>
      </c>
      <c r="AL64" s="489">
        <f t="shared" si="383"/>
        <v>0</v>
      </c>
      <c r="AM64" s="489">
        <f t="shared" si="384"/>
        <v>0</v>
      </c>
      <c r="AN64" s="489">
        <f t="shared" si="385"/>
        <v>0</v>
      </c>
      <c r="AO64" s="489">
        <f t="shared" si="386"/>
        <v>0</v>
      </c>
      <c r="AP64" s="489">
        <f t="shared" si="387"/>
        <v>0</v>
      </c>
      <c r="AQ64" s="489">
        <f t="shared" si="388"/>
        <v>0</v>
      </c>
      <c r="AR64" s="489">
        <f t="shared" si="389"/>
        <v>0</v>
      </c>
      <c r="AS64" s="489">
        <f t="shared" si="390"/>
        <v>0</v>
      </c>
      <c r="AT64" s="489">
        <f t="shared" si="391"/>
        <v>0</v>
      </c>
      <c r="AU64" s="489">
        <f t="shared" si="392"/>
        <v>0</v>
      </c>
      <c r="AV64" s="489"/>
      <c r="AW64" s="489"/>
      <c r="AX64" s="489">
        <f t="shared" si="395"/>
        <v>0</v>
      </c>
      <c r="AY64" s="489">
        <f t="shared" si="395"/>
        <v>0</v>
      </c>
      <c r="AZ64" s="489">
        <f t="shared" si="395"/>
        <v>0</v>
      </c>
      <c r="BA64" s="489">
        <f t="shared" si="395"/>
        <v>0</v>
      </c>
      <c r="BB64" s="489">
        <f t="shared" si="395"/>
        <v>13200</v>
      </c>
      <c r="BC64" s="489">
        <f t="shared" si="395"/>
        <v>0</v>
      </c>
      <c r="BD64" s="489">
        <f t="shared" si="395"/>
        <v>0</v>
      </c>
      <c r="BE64" s="489">
        <f t="shared" si="395"/>
        <v>0</v>
      </c>
      <c r="BF64" s="489">
        <f t="shared" si="395"/>
        <v>0</v>
      </c>
      <c r="BG64" s="489">
        <f t="shared" si="395"/>
        <v>0</v>
      </c>
      <c r="BH64" s="489">
        <f t="shared" si="396"/>
        <v>0</v>
      </c>
      <c r="BI64" s="489">
        <f t="shared" si="396"/>
        <v>0</v>
      </c>
      <c r="BJ64" s="489">
        <f t="shared" si="396"/>
        <v>0</v>
      </c>
      <c r="BK64" s="489">
        <f t="shared" si="396"/>
        <v>0</v>
      </c>
      <c r="BL64" s="489">
        <f t="shared" si="396"/>
        <v>0</v>
      </c>
      <c r="BM64" s="489">
        <f t="shared" si="396"/>
        <v>0</v>
      </c>
      <c r="BN64" s="489">
        <f t="shared" si="396"/>
        <v>0</v>
      </c>
      <c r="BO64" s="489">
        <f t="shared" si="396"/>
        <v>0</v>
      </c>
      <c r="BP64" s="489">
        <f t="shared" si="396"/>
        <v>0</v>
      </c>
      <c r="BQ64" s="489">
        <f t="shared" si="396"/>
        <v>0</v>
      </c>
      <c r="BR64" s="490">
        <f t="shared" si="20"/>
        <v>0</v>
      </c>
    </row>
    <row r="65" spans="1:70" s="295" customFormat="1" ht="14.45" customHeight="1">
      <c r="A65" s="482" t="s">
        <v>142</v>
      </c>
      <c r="B65" s="483"/>
      <c r="C65" s="484"/>
      <c r="D65" s="485">
        <v>640.16</v>
      </c>
      <c r="E65" s="484" t="s">
        <v>196</v>
      </c>
      <c r="F65" s="487"/>
      <c r="G65" s="487"/>
      <c r="H65" s="487"/>
      <c r="I65" s="487"/>
      <c r="J65" s="487"/>
      <c r="K65" s="486">
        <v>1</v>
      </c>
      <c r="L65" s="486"/>
      <c r="M65" s="487"/>
      <c r="N65" s="487"/>
      <c r="O65" s="487"/>
      <c r="P65" s="487"/>
      <c r="Q65" s="486">
        <v>0</v>
      </c>
      <c r="R65" s="486">
        <v>0</v>
      </c>
      <c r="S65" s="486">
        <v>0</v>
      </c>
      <c r="T65" s="486">
        <v>0</v>
      </c>
      <c r="U65" s="486"/>
      <c r="V65" s="486"/>
      <c r="W65" s="486"/>
      <c r="X65" s="486"/>
      <c r="Y65" s="486"/>
      <c r="Z65" s="488">
        <f t="shared" si="394"/>
        <v>1</v>
      </c>
      <c r="AA65" s="484"/>
      <c r="AB65" s="484"/>
      <c r="AC65" s="489">
        <f t="shared" si="374"/>
        <v>0</v>
      </c>
      <c r="AD65" s="489">
        <f t="shared" si="375"/>
        <v>0</v>
      </c>
      <c r="AE65" s="489">
        <f t="shared" si="376"/>
        <v>0</v>
      </c>
      <c r="AF65" s="489">
        <f t="shared" si="377"/>
        <v>0</v>
      </c>
      <c r="AG65" s="489">
        <f t="shared" si="378"/>
        <v>0</v>
      </c>
      <c r="AH65" s="485">
        <f t="shared" si="379"/>
        <v>640.16</v>
      </c>
      <c r="AI65" s="489">
        <f t="shared" si="380"/>
        <v>0</v>
      </c>
      <c r="AJ65" s="485">
        <f t="shared" si="381"/>
        <v>0</v>
      </c>
      <c r="AK65" s="489">
        <f t="shared" si="382"/>
        <v>0</v>
      </c>
      <c r="AL65" s="489">
        <f t="shared" si="383"/>
        <v>0</v>
      </c>
      <c r="AM65" s="485">
        <f t="shared" si="384"/>
        <v>0</v>
      </c>
      <c r="AN65" s="489">
        <f t="shared" si="385"/>
        <v>0</v>
      </c>
      <c r="AO65" s="489">
        <f t="shared" si="386"/>
        <v>0</v>
      </c>
      <c r="AP65" s="489">
        <f t="shared" si="387"/>
        <v>0</v>
      </c>
      <c r="AQ65" s="489">
        <f t="shared" si="388"/>
        <v>0</v>
      </c>
      <c r="AR65" s="489">
        <f t="shared" si="389"/>
        <v>0</v>
      </c>
      <c r="AS65" s="489">
        <f t="shared" si="390"/>
        <v>0</v>
      </c>
      <c r="AT65" s="489">
        <f t="shared" si="391"/>
        <v>0</v>
      </c>
      <c r="AU65" s="489">
        <f t="shared" si="392"/>
        <v>0</v>
      </c>
      <c r="AV65" s="489"/>
      <c r="AW65" s="489"/>
      <c r="AX65" s="489">
        <f t="shared" si="395"/>
        <v>0</v>
      </c>
      <c r="AY65" s="489">
        <f t="shared" si="395"/>
        <v>0</v>
      </c>
      <c r="AZ65" s="489">
        <f t="shared" si="395"/>
        <v>0</v>
      </c>
      <c r="BA65" s="489">
        <f t="shared" si="395"/>
        <v>0</v>
      </c>
      <c r="BB65" s="489">
        <f t="shared" si="395"/>
        <v>640.16</v>
      </c>
      <c r="BC65" s="485">
        <f t="shared" si="395"/>
        <v>0</v>
      </c>
      <c r="BD65" s="489">
        <f t="shared" si="395"/>
        <v>0</v>
      </c>
      <c r="BE65" s="489">
        <f t="shared" si="395"/>
        <v>0</v>
      </c>
      <c r="BF65" s="489">
        <f t="shared" si="395"/>
        <v>0</v>
      </c>
      <c r="BG65" s="489">
        <f t="shared" si="395"/>
        <v>0</v>
      </c>
      <c r="BH65" s="489">
        <f t="shared" si="396"/>
        <v>0</v>
      </c>
      <c r="BI65" s="489">
        <f t="shared" si="396"/>
        <v>0</v>
      </c>
      <c r="BJ65" s="489">
        <f t="shared" si="396"/>
        <v>0</v>
      </c>
      <c r="BK65" s="489">
        <f t="shared" si="396"/>
        <v>0</v>
      </c>
      <c r="BL65" s="489">
        <f t="shared" si="396"/>
        <v>0</v>
      </c>
      <c r="BM65" s="489">
        <f t="shared" si="396"/>
        <v>0</v>
      </c>
      <c r="BN65" s="489">
        <f t="shared" si="396"/>
        <v>0</v>
      </c>
      <c r="BO65" s="489">
        <f t="shared" si="396"/>
        <v>0</v>
      </c>
      <c r="BP65" s="489">
        <f t="shared" si="396"/>
        <v>0</v>
      </c>
      <c r="BQ65" s="489">
        <f t="shared" si="396"/>
        <v>0</v>
      </c>
      <c r="BR65" s="490">
        <f t="shared" si="20"/>
        <v>0</v>
      </c>
    </row>
    <row r="66" spans="1:70" s="295" customFormat="1" ht="14.45" customHeight="1">
      <c r="A66" s="482" t="s">
        <v>142</v>
      </c>
      <c r="B66" s="483"/>
      <c r="C66" s="484"/>
      <c r="D66" s="485">
        <v>13864.72</v>
      </c>
      <c r="E66" s="484" t="s">
        <v>169</v>
      </c>
      <c r="F66" s="487"/>
      <c r="G66" s="487"/>
      <c r="H66" s="487"/>
      <c r="I66" s="487"/>
      <c r="J66" s="487"/>
      <c r="K66" s="486">
        <v>1</v>
      </c>
      <c r="L66" s="486"/>
      <c r="M66" s="487"/>
      <c r="N66" s="487"/>
      <c r="O66" s="487"/>
      <c r="P66" s="487"/>
      <c r="Q66" s="486">
        <v>0</v>
      </c>
      <c r="R66" s="486">
        <v>0</v>
      </c>
      <c r="S66" s="486">
        <v>0</v>
      </c>
      <c r="T66" s="486">
        <v>0</v>
      </c>
      <c r="U66" s="486"/>
      <c r="V66" s="486"/>
      <c r="W66" s="486"/>
      <c r="X66" s="486"/>
      <c r="Y66" s="486"/>
      <c r="Z66" s="488">
        <f t="shared" si="394"/>
        <v>1</v>
      </c>
      <c r="AA66" s="484"/>
      <c r="AB66" s="484"/>
      <c r="AC66" s="489">
        <f t="shared" si="374"/>
        <v>0</v>
      </c>
      <c r="AD66" s="489">
        <f t="shared" si="375"/>
        <v>0</v>
      </c>
      <c r="AE66" s="489">
        <f t="shared" si="376"/>
        <v>0</v>
      </c>
      <c r="AF66" s="489">
        <f t="shared" si="377"/>
        <v>0</v>
      </c>
      <c r="AG66" s="489">
        <f t="shared" si="378"/>
        <v>0</v>
      </c>
      <c r="AH66" s="485">
        <f t="shared" si="379"/>
        <v>13864.72</v>
      </c>
      <c r="AI66" s="489">
        <f t="shared" si="380"/>
        <v>0</v>
      </c>
      <c r="AJ66" s="485">
        <f t="shared" si="381"/>
        <v>0</v>
      </c>
      <c r="AK66" s="489">
        <f t="shared" si="382"/>
        <v>0</v>
      </c>
      <c r="AL66" s="489">
        <f t="shared" si="383"/>
        <v>0</v>
      </c>
      <c r="AM66" s="485">
        <f t="shared" si="384"/>
        <v>0</v>
      </c>
      <c r="AN66" s="489">
        <f t="shared" si="385"/>
        <v>0</v>
      </c>
      <c r="AO66" s="489">
        <f t="shared" si="386"/>
        <v>0</v>
      </c>
      <c r="AP66" s="489">
        <f t="shared" si="387"/>
        <v>0</v>
      </c>
      <c r="AQ66" s="489">
        <f t="shared" si="388"/>
        <v>0</v>
      </c>
      <c r="AR66" s="489">
        <f t="shared" si="389"/>
        <v>0</v>
      </c>
      <c r="AS66" s="489">
        <f t="shared" si="390"/>
        <v>0</v>
      </c>
      <c r="AT66" s="489">
        <f t="shared" si="391"/>
        <v>0</v>
      </c>
      <c r="AU66" s="489">
        <f t="shared" si="392"/>
        <v>0</v>
      </c>
      <c r="AV66" s="489"/>
      <c r="AW66" s="489"/>
      <c r="AX66" s="489">
        <f t="shared" si="395"/>
        <v>0</v>
      </c>
      <c r="AY66" s="489">
        <f t="shared" si="395"/>
        <v>0</v>
      </c>
      <c r="AZ66" s="489">
        <f t="shared" si="395"/>
        <v>0</v>
      </c>
      <c r="BA66" s="489">
        <f t="shared" si="395"/>
        <v>0</v>
      </c>
      <c r="BB66" s="489">
        <f t="shared" si="395"/>
        <v>0</v>
      </c>
      <c r="BC66" s="485">
        <f t="shared" si="395"/>
        <v>13864.72</v>
      </c>
      <c r="BD66" s="489">
        <f t="shared" si="395"/>
        <v>0</v>
      </c>
      <c r="BE66" s="489">
        <f t="shared" si="395"/>
        <v>0</v>
      </c>
      <c r="BF66" s="489">
        <f t="shared" si="395"/>
        <v>0</v>
      </c>
      <c r="BG66" s="489">
        <f t="shared" si="395"/>
        <v>0</v>
      </c>
      <c r="BH66" s="489">
        <f t="shared" si="396"/>
        <v>0</v>
      </c>
      <c r="BI66" s="489">
        <f t="shared" si="396"/>
        <v>0</v>
      </c>
      <c r="BJ66" s="489">
        <f t="shared" si="396"/>
        <v>0</v>
      </c>
      <c r="BK66" s="489">
        <f t="shared" si="396"/>
        <v>0</v>
      </c>
      <c r="BL66" s="489">
        <f t="shared" si="396"/>
        <v>0</v>
      </c>
      <c r="BM66" s="489">
        <f t="shared" si="396"/>
        <v>0</v>
      </c>
      <c r="BN66" s="489">
        <f t="shared" si="396"/>
        <v>0</v>
      </c>
      <c r="BO66" s="489">
        <f t="shared" si="396"/>
        <v>0</v>
      </c>
      <c r="BP66" s="489">
        <f t="shared" si="396"/>
        <v>0</v>
      </c>
      <c r="BQ66" s="489">
        <f t="shared" si="396"/>
        <v>0</v>
      </c>
      <c r="BR66" s="490">
        <f t="shared" si="20"/>
        <v>0</v>
      </c>
    </row>
    <row r="67" spans="1:70" s="295" customFormat="1" ht="14.45" customHeight="1">
      <c r="A67" s="482" t="s">
        <v>142</v>
      </c>
      <c r="B67" s="483"/>
      <c r="C67" s="484"/>
      <c r="D67" s="485">
        <v>475.49</v>
      </c>
      <c r="E67" s="484" t="s">
        <v>181</v>
      </c>
      <c r="F67" s="487"/>
      <c r="G67" s="487"/>
      <c r="H67" s="487"/>
      <c r="I67" s="487"/>
      <c r="J67" s="487"/>
      <c r="K67" s="486"/>
      <c r="L67" s="486">
        <v>1</v>
      </c>
      <c r="M67" s="487"/>
      <c r="N67" s="487"/>
      <c r="O67" s="487"/>
      <c r="P67" s="487"/>
      <c r="Q67" s="486">
        <v>0</v>
      </c>
      <c r="R67" s="486">
        <v>0</v>
      </c>
      <c r="S67" s="486">
        <v>0</v>
      </c>
      <c r="T67" s="486">
        <v>0</v>
      </c>
      <c r="U67" s="486"/>
      <c r="V67" s="486"/>
      <c r="W67" s="486"/>
      <c r="X67" s="486"/>
      <c r="Y67" s="486"/>
      <c r="Z67" s="488">
        <f t="shared" si="394"/>
        <v>1</v>
      </c>
      <c r="AA67" s="484"/>
      <c r="AB67" s="484"/>
      <c r="AC67" s="489">
        <f t="shared" si="374"/>
        <v>0</v>
      </c>
      <c r="AD67" s="489">
        <f t="shared" si="375"/>
        <v>0</v>
      </c>
      <c r="AE67" s="489">
        <f t="shared" si="376"/>
        <v>0</v>
      </c>
      <c r="AF67" s="489">
        <f t="shared" si="377"/>
        <v>0</v>
      </c>
      <c r="AG67" s="489">
        <f t="shared" si="378"/>
        <v>0</v>
      </c>
      <c r="AH67" s="485">
        <f t="shared" si="379"/>
        <v>0</v>
      </c>
      <c r="AI67" s="489">
        <f t="shared" si="380"/>
        <v>475.49</v>
      </c>
      <c r="AJ67" s="485">
        <f t="shared" si="381"/>
        <v>0</v>
      </c>
      <c r="AK67" s="489">
        <f t="shared" si="382"/>
        <v>0</v>
      </c>
      <c r="AL67" s="489">
        <f t="shared" si="383"/>
        <v>0</v>
      </c>
      <c r="AM67" s="485">
        <f t="shared" si="384"/>
        <v>0</v>
      </c>
      <c r="AN67" s="489">
        <f t="shared" si="385"/>
        <v>0</v>
      </c>
      <c r="AO67" s="489">
        <f t="shared" si="386"/>
        <v>0</v>
      </c>
      <c r="AP67" s="489">
        <f t="shared" si="387"/>
        <v>0</v>
      </c>
      <c r="AQ67" s="489">
        <f t="shared" si="388"/>
        <v>0</v>
      </c>
      <c r="AR67" s="489">
        <f t="shared" si="389"/>
        <v>0</v>
      </c>
      <c r="AS67" s="489">
        <f t="shared" si="390"/>
        <v>0</v>
      </c>
      <c r="AT67" s="489">
        <f t="shared" si="391"/>
        <v>0</v>
      </c>
      <c r="AU67" s="489">
        <f t="shared" si="392"/>
        <v>0</v>
      </c>
      <c r="AV67" s="489"/>
      <c r="AW67" s="489"/>
      <c r="AX67" s="489">
        <f t="shared" si="395"/>
        <v>0</v>
      </c>
      <c r="AY67" s="489">
        <f t="shared" si="395"/>
        <v>0</v>
      </c>
      <c r="AZ67" s="489">
        <f t="shared" si="395"/>
        <v>0</v>
      </c>
      <c r="BA67" s="489">
        <f t="shared" si="395"/>
        <v>0</v>
      </c>
      <c r="BB67" s="489">
        <f t="shared" si="395"/>
        <v>0</v>
      </c>
      <c r="BC67" s="489">
        <f t="shared" si="395"/>
        <v>0</v>
      </c>
      <c r="BD67" s="489">
        <f t="shared" si="395"/>
        <v>475.49</v>
      </c>
      <c r="BE67" s="489">
        <f t="shared" si="395"/>
        <v>0</v>
      </c>
      <c r="BF67" s="489">
        <f t="shared" si="395"/>
        <v>0</v>
      </c>
      <c r="BG67" s="489">
        <f t="shared" si="395"/>
        <v>0</v>
      </c>
      <c r="BH67" s="489">
        <f t="shared" si="396"/>
        <v>0</v>
      </c>
      <c r="BI67" s="489">
        <f t="shared" si="396"/>
        <v>0</v>
      </c>
      <c r="BJ67" s="489">
        <f t="shared" si="396"/>
        <v>0</v>
      </c>
      <c r="BK67" s="489">
        <f t="shared" si="396"/>
        <v>0</v>
      </c>
      <c r="BL67" s="489">
        <f t="shared" si="396"/>
        <v>0</v>
      </c>
      <c r="BM67" s="489">
        <f t="shared" si="396"/>
        <v>0</v>
      </c>
      <c r="BN67" s="489">
        <f t="shared" si="396"/>
        <v>0</v>
      </c>
      <c r="BO67" s="489">
        <f t="shared" si="396"/>
        <v>0</v>
      </c>
      <c r="BP67" s="489">
        <f t="shared" si="396"/>
        <v>0</v>
      </c>
      <c r="BQ67" s="489">
        <f t="shared" si="396"/>
        <v>0</v>
      </c>
      <c r="BR67" s="490">
        <f t="shared" si="20"/>
        <v>0</v>
      </c>
    </row>
    <row r="68" spans="1:70" ht="15" customHeight="1">
      <c r="A68" s="482" t="s">
        <v>139</v>
      </c>
      <c r="B68" s="483"/>
      <c r="C68" s="484"/>
      <c r="D68" s="485">
        <v>49165.090000000004</v>
      </c>
      <c r="E68" s="484" t="s">
        <v>181</v>
      </c>
      <c r="F68" s="487"/>
      <c r="G68" s="487"/>
      <c r="H68" s="487"/>
      <c r="I68" s="487"/>
      <c r="J68" s="487"/>
      <c r="K68" s="487"/>
      <c r="L68" s="486">
        <v>0</v>
      </c>
      <c r="M68" s="486">
        <v>0.8820565567967028</v>
      </c>
      <c r="N68" s="486">
        <v>0</v>
      </c>
      <c r="O68" s="486">
        <v>0.07631634560213355</v>
      </c>
      <c r="P68" s="486">
        <v>0.04162709760116375</v>
      </c>
      <c r="Q68" s="486"/>
      <c r="R68" s="486"/>
      <c r="S68" s="486"/>
      <c r="T68" s="486"/>
      <c r="U68" s="486"/>
      <c r="V68" s="486"/>
      <c r="W68" s="486"/>
      <c r="X68" s="486"/>
      <c r="Y68" s="486"/>
      <c r="Z68" s="488">
        <f t="shared" si="21"/>
        <v>1</v>
      </c>
      <c r="AA68" s="484"/>
      <c r="AB68" s="484"/>
      <c r="AC68" s="489">
        <f t="shared" si="0"/>
        <v>0</v>
      </c>
      <c r="AD68" s="489">
        <f t="shared" si="1"/>
        <v>0</v>
      </c>
      <c r="AE68" s="489">
        <f t="shared" si="2"/>
        <v>0</v>
      </c>
      <c r="AF68" s="489">
        <f t="shared" si="3"/>
        <v>0</v>
      </c>
      <c r="AG68" s="489">
        <f>J68*$D68</f>
        <v>0</v>
      </c>
      <c r="AH68" s="489">
        <f t="shared" si="22"/>
        <v>0</v>
      </c>
      <c r="AI68" s="489">
        <f t="shared" si="23"/>
        <v>0</v>
      </c>
      <c r="AJ68" s="485">
        <f t="shared" si="24"/>
        <v>43366.39000000001</v>
      </c>
      <c r="AK68" s="485">
        <f>N68*$D68</f>
        <v>0</v>
      </c>
      <c r="AL68" s="485">
        <f t="shared" si="19"/>
        <v>3752.1000000000004</v>
      </c>
      <c r="AM68" s="485">
        <f t="shared" si="8"/>
        <v>2046.6000000000001</v>
      </c>
      <c r="AN68" s="489">
        <f t="shared" si="9"/>
        <v>0</v>
      </c>
      <c r="AO68" s="489">
        <f t="shared" si="10"/>
        <v>0</v>
      </c>
      <c r="AP68" s="489">
        <f t="shared" si="11"/>
        <v>0</v>
      </c>
      <c r="AQ68" s="489">
        <f t="shared" si="12"/>
        <v>0</v>
      </c>
      <c r="AR68" s="489">
        <f aca="true" t="shared" si="397" ref="AR68:AR117">U68*$D68</f>
        <v>0</v>
      </c>
      <c r="AS68" s="489">
        <f t="shared" si="14"/>
        <v>0</v>
      </c>
      <c r="AT68" s="489">
        <f t="shared" si="15"/>
        <v>0</v>
      </c>
      <c r="AU68" s="489">
        <f t="shared" si="16"/>
        <v>0</v>
      </c>
      <c r="AV68" s="489"/>
      <c r="AW68" s="489"/>
      <c r="AX68" s="489">
        <f aca="true" t="shared" si="398" ref="AX68:BL100">IF(AX$3=$E68,$D68,0)</f>
        <v>0</v>
      </c>
      <c r="AY68" s="489">
        <f t="shared" si="398"/>
        <v>0</v>
      </c>
      <c r="AZ68" s="489">
        <f t="shared" si="398"/>
        <v>0</v>
      </c>
      <c r="BA68" s="489">
        <f t="shared" si="398"/>
        <v>0</v>
      </c>
      <c r="BB68" s="489">
        <f t="shared" si="398"/>
        <v>0</v>
      </c>
      <c r="BC68" s="489">
        <f t="shared" si="398"/>
        <v>0</v>
      </c>
      <c r="BD68" s="489">
        <f t="shared" si="398"/>
        <v>49165.090000000004</v>
      </c>
      <c r="BE68" s="489">
        <f t="shared" si="398"/>
        <v>0</v>
      </c>
      <c r="BF68" s="489">
        <f t="shared" si="398"/>
        <v>0</v>
      </c>
      <c r="BG68" s="489">
        <f t="shared" si="398"/>
        <v>0</v>
      </c>
      <c r="BH68" s="489">
        <f t="shared" si="398"/>
        <v>0</v>
      </c>
      <c r="BI68" s="489">
        <f t="shared" si="398"/>
        <v>0</v>
      </c>
      <c r="BJ68" s="489">
        <f t="shared" si="398"/>
        <v>0</v>
      </c>
      <c r="BK68" s="489">
        <f t="shared" si="398"/>
        <v>0</v>
      </c>
      <c r="BL68" s="489">
        <f t="shared" si="398"/>
        <v>0</v>
      </c>
      <c r="BM68" s="489">
        <f t="shared" si="343"/>
        <v>0</v>
      </c>
      <c r="BN68" s="489">
        <f aca="true" t="shared" si="399" ref="BN68:BQ71">IF(BN$3=$E68,$D68,0)</f>
        <v>0</v>
      </c>
      <c r="BO68" s="489">
        <f t="shared" si="399"/>
        <v>0</v>
      </c>
      <c r="BP68" s="489">
        <f t="shared" si="399"/>
        <v>0</v>
      </c>
      <c r="BQ68" s="489">
        <f t="shared" si="399"/>
        <v>0</v>
      </c>
      <c r="BR68" s="490">
        <f t="shared" si="20"/>
        <v>0</v>
      </c>
    </row>
    <row r="69" spans="1:70" s="295" customFormat="1" ht="15" customHeight="1">
      <c r="A69" s="482" t="s">
        <v>139</v>
      </c>
      <c r="B69" s="483"/>
      <c r="C69" s="484"/>
      <c r="D69" s="485">
        <f>45000-6498</f>
        <v>38502</v>
      </c>
      <c r="E69" s="484" t="s">
        <v>181</v>
      </c>
      <c r="F69" s="487"/>
      <c r="G69" s="487"/>
      <c r="H69" s="487"/>
      <c r="I69" s="487"/>
      <c r="J69" s="487"/>
      <c r="K69" s="487"/>
      <c r="L69" s="486">
        <v>0</v>
      </c>
      <c r="M69" s="486">
        <v>0.10950080515297907</v>
      </c>
      <c r="N69" s="486">
        <v>0.8904991948470209</v>
      </c>
      <c r="O69" s="486">
        <v>0</v>
      </c>
      <c r="P69" s="486">
        <f>1-(O69+N69+M69)</f>
        <v>0</v>
      </c>
      <c r="Q69" s="486"/>
      <c r="R69" s="486"/>
      <c r="S69" s="486"/>
      <c r="T69" s="486"/>
      <c r="U69" s="486"/>
      <c r="V69" s="486"/>
      <c r="W69" s="486"/>
      <c r="X69" s="486"/>
      <c r="Y69" s="486"/>
      <c r="Z69" s="488">
        <f t="shared" si="21"/>
        <v>1</v>
      </c>
      <c r="AA69" s="484"/>
      <c r="AB69" s="484"/>
      <c r="AC69" s="489">
        <f aca="true" t="shared" si="400" ref="AC69:AC71">F69*$D69</f>
        <v>0</v>
      </c>
      <c r="AD69" s="489">
        <f aca="true" t="shared" si="401" ref="AD69:AD71">G69*$D69</f>
        <v>0</v>
      </c>
      <c r="AE69" s="489">
        <f aca="true" t="shared" si="402" ref="AE69:AE71">H69*$D69</f>
        <v>0</v>
      </c>
      <c r="AF69" s="489">
        <f aca="true" t="shared" si="403" ref="AF69:AF71">I69*$D69</f>
        <v>0</v>
      </c>
      <c r="AG69" s="489">
        <f aca="true" t="shared" si="404" ref="AG69:AG71">J69*$D69</f>
        <v>0</v>
      </c>
      <c r="AH69" s="489">
        <f aca="true" t="shared" si="405" ref="AH69:AH71">K69*$D69</f>
        <v>0</v>
      </c>
      <c r="AI69" s="489">
        <f aca="true" t="shared" si="406" ref="AI69:AI71">L69*$D69</f>
        <v>0</v>
      </c>
      <c r="AJ69" s="485">
        <f aca="true" t="shared" si="407" ref="AJ69:AJ71">M69*$D69</f>
        <v>4216</v>
      </c>
      <c r="AK69" s="485">
        <f aca="true" t="shared" si="408" ref="AK69:AK71">N69*$D69</f>
        <v>34286</v>
      </c>
      <c r="AL69" s="489">
        <f aca="true" t="shared" si="409" ref="AL69:AL71">O69*$D69</f>
        <v>0</v>
      </c>
      <c r="AM69" s="485">
        <f aca="true" t="shared" si="410" ref="AM69:AM71">P69*$D69</f>
        <v>0</v>
      </c>
      <c r="AN69" s="489">
        <f aca="true" t="shared" si="411" ref="AN69:AN71">Q69*$D69</f>
        <v>0</v>
      </c>
      <c r="AO69" s="489">
        <f aca="true" t="shared" si="412" ref="AO69:AO71">R69*$D69</f>
        <v>0</v>
      </c>
      <c r="AP69" s="489">
        <f aca="true" t="shared" si="413" ref="AP69:AP71">S69*$D69</f>
        <v>0</v>
      </c>
      <c r="AQ69" s="489">
        <f aca="true" t="shared" si="414" ref="AQ69:AQ71">T69*$D69</f>
        <v>0</v>
      </c>
      <c r="AR69" s="489">
        <f t="shared" si="397"/>
        <v>0</v>
      </c>
      <c r="AS69" s="489">
        <f t="shared" si="14"/>
        <v>0</v>
      </c>
      <c r="AT69" s="489">
        <f t="shared" si="15"/>
        <v>0</v>
      </c>
      <c r="AU69" s="489">
        <f t="shared" si="16"/>
        <v>0</v>
      </c>
      <c r="AV69" s="489"/>
      <c r="AW69" s="489"/>
      <c r="AX69" s="489">
        <f t="shared" si="398"/>
        <v>0</v>
      </c>
      <c r="AY69" s="489">
        <f t="shared" si="398"/>
        <v>0</v>
      </c>
      <c r="AZ69" s="489">
        <f t="shared" si="398"/>
        <v>0</v>
      </c>
      <c r="BA69" s="489">
        <f t="shared" si="398"/>
        <v>0</v>
      </c>
      <c r="BB69" s="489">
        <f t="shared" si="398"/>
        <v>0</v>
      </c>
      <c r="BC69" s="489">
        <f t="shared" si="398"/>
        <v>0</v>
      </c>
      <c r="BD69" s="489">
        <f t="shared" si="398"/>
        <v>38502</v>
      </c>
      <c r="BE69" s="489">
        <f t="shared" si="398"/>
        <v>0</v>
      </c>
      <c r="BF69" s="489">
        <f t="shared" si="398"/>
        <v>0</v>
      </c>
      <c r="BG69" s="489">
        <f t="shared" si="398"/>
        <v>0</v>
      </c>
      <c r="BH69" s="489">
        <f t="shared" si="398"/>
        <v>0</v>
      </c>
      <c r="BI69" s="489">
        <f t="shared" si="398"/>
        <v>0</v>
      </c>
      <c r="BJ69" s="489">
        <f t="shared" si="398"/>
        <v>0</v>
      </c>
      <c r="BK69" s="489">
        <f t="shared" si="398"/>
        <v>0</v>
      </c>
      <c r="BL69" s="489">
        <f t="shared" si="398"/>
        <v>0</v>
      </c>
      <c r="BM69" s="489">
        <f t="shared" si="343"/>
        <v>0</v>
      </c>
      <c r="BN69" s="489">
        <f t="shared" si="399"/>
        <v>0</v>
      </c>
      <c r="BO69" s="489">
        <f t="shared" si="399"/>
        <v>0</v>
      </c>
      <c r="BP69" s="489">
        <f t="shared" si="399"/>
        <v>0</v>
      </c>
      <c r="BQ69" s="489">
        <f t="shared" si="399"/>
        <v>0</v>
      </c>
      <c r="BR69" s="490">
        <f t="shared" si="20"/>
        <v>0</v>
      </c>
    </row>
    <row r="70" spans="1:70" s="295" customFormat="1" ht="15" customHeight="1">
      <c r="A70" s="482" t="s">
        <v>139</v>
      </c>
      <c r="B70" s="483"/>
      <c r="C70" s="484"/>
      <c r="D70" s="485">
        <v>68334.48999999999</v>
      </c>
      <c r="E70" s="484" t="s">
        <v>221</v>
      </c>
      <c r="F70" s="487"/>
      <c r="G70" s="487"/>
      <c r="H70" s="487"/>
      <c r="I70" s="487"/>
      <c r="J70" s="487"/>
      <c r="K70" s="487"/>
      <c r="L70" s="486">
        <v>0</v>
      </c>
      <c r="M70" s="486">
        <v>0</v>
      </c>
      <c r="N70" s="486">
        <v>1</v>
      </c>
      <c r="O70" s="486">
        <v>0</v>
      </c>
      <c r="P70" s="486">
        <v>0</v>
      </c>
      <c r="Q70" s="486"/>
      <c r="R70" s="486"/>
      <c r="S70" s="486"/>
      <c r="T70" s="486"/>
      <c r="U70" s="486"/>
      <c r="V70" s="486"/>
      <c r="W70" s="486"/>
      <c r="X70" s="486"/>
      <c r="Y70" s="486"/>
      <c r="Z70" s="488">
        <f t="shared" si="21"/>
        <v>1</v>
      </c>
      <c r="AA70" s="484"/>
      <c r="AB70" s="484"/>
      <c r="AC70" s="489">
        <f t="shared" si="400"/>
        <v>0</v>
      </c>
      <c r="AD70" s="489">
        <f t="shared" si="401"/>
        <v>0</v>
      </c>
      <c r="AE70" s="489">
        <f t="shared" si="402"/>
        <v>0</v>
      </c>
      <c r="AF70" s="489">
        <f t="shared" si="403"/>
        <v>0</v>
      </c>
      <c r="AG70" s="489">
        <f t="shared" si="404"/>
        <v>0</v>
      </c>
      <c r="AH70" s="489">
        <f t="shared" si="405"/>
        <v>0</v>
      </c>
      <c r="AI70" s="489">
        <f t="shared" si="406"/>
        <v>0</v>
      </c>
      <c r="AJ70" s="485">
        <f t="shared" si="407"/>
        <v>0</v>
      </c>
      <c r="AK70" s="485">
        <f t="shared" si="408"/>
        <v>68334.48999999999</v>
      </c>
      <c r="AL70" s="489">
        <f t="shared" si="409"/>
        <v>0</v>
      </c>
      <c r="AM70" s="485">
        <f t="shared" si="410"/>
        <v>0</v>
      </c>
      <c r="AN70" s="489">
        <f t="shared" si="411"/>
        <v>0</v>
      </c>
      <c r="AO70" s="489">
        <f t="shared" si="412"/>
        <v>0</v>
      </c>
      <c r="AP70" s="489">
        <f t="shared" si="413"/>
        <v>0</v>
      </c>
      <c r="AQ70" s="489">
        <f t="shared" si="414"/>
        <v>0</v>
      </c>
      <c r="AR70" s="489">
        <f t="shared" si="397"/>
        <v>0</v>
      </c>
      <c r="AS70" s="489">
        <f t="shared" si="14"/>
        <v>0</v>
      </c>
      <c r="AT70" s="489">
        <f t="shared" si="15"/>
        <v>0</v>
      </c>
      <c r="AU70" s="489">
        <f t="shared" si="16"/>
        <v>0</v>
      </c>
      <c r="AV70" s="489"/>
      <c r="AW70" s="489"/>
      <c r="AX70" s="489">
        <f aca="true" t="shared" si="415" ref="AX70:BN71">IF(AX$3=$E70,$D70,0)</f>
        <v>0</v>
      </c>
      <c r="AY70" s="489">
        <f t="shared" si="415"/>
        <v>0</v>
      </c>
      <c r="AZ70" s="489">
        <f t="shared" si="415"/>
        <v>0</v>
      </c>
      <c r="BA70" s="489">
        <f t="shared" si="415"/>
        <v>0</v>
      </c>
      <c r="BB70" s="489">
        <f t="shared" si="415"/>
        <v>0</v>
      </c>
      <c r="BC70" s="489">
        <f t="shared" si="415"/>
        <v>0</v>
      </c>
      <c r="BD70" s="489">
        <f t="shared" si="415"/>
        <v>0</v>
      </c>
      <c r="BE70" s="489">
        <f t="shared" si="415"/>
        <v>68334.48999999999</v>
      </c>
      <c r="BF70" s="485">
        <f t="shared" si="415"/>
        <v>0</v>
      </c>
      <c r="BG70" s="489">
        <f t="shared" si="415"/>
        <v>0</v>
      </c>
      <c r="BH70" s="489">
        <f t="shared" si="415"/>
        <v>0</v>
      </c>
      <c r="BI70" s="489">
        <f t="shared" si="415"/>
        <v>0</v>
      </c>
      <c r="BJ70" s="489">
        <f t="shared" si="415"/>
        <v>0</v>
      </c>
      <c r="BK70" s="489">
        <f t="shared" si="415"/>
        <v>0</v>
      </c>
      <c r="BL70" s="489">
        <f t="shared" si="415"/>
        <v>0</v>
      </c>
      <c r="BM70" s="489">
        <f t="shared" si="415"/>
        <v>0</v>
      </c>
      <c r="BN70" s="489">
        <f t="shared" si="415"/>
        <v>0</v>
      </c>
      <c r="BO70" s="489">
        <f t="shared" si="399"/>
        <v>0</v>
      </c>
      <c r="BP70" s="489">
        <f t="shared" si="399"/>
        <v>0</v>
      </c>
      <c r="BQ70" s="489">
        <f t="shared" si="399"/>
        <v>0</v>
      </c>
      <c r="BR70" s="490">
        <f t="shared" si="20"/>
        <v>0</v>
      </c>
    </row>
    <row r="71" spans="1:70" s="295" customFormat="1" ht="15" customHeight="1">
      <c r="A71" s="482" t="s">
        <v>139</v>
      </c>
      <c r="B71" s="483"/>
      <c r="C71" s="484"/>
      <c r="D71" s="485">
        <v>7848.12</v>
      </c>
      <c r="E71" s="484" t="s">
        <v>221</v>
      </c>
      <c r="F71" s="487"/>
      <c r="G71" s="487"/>
      <c r="H71" s="487"/>
      <c r="I71" s="487"/>
      <c r="J71" s="487"/>
      <c r="K71" s="487"/>
      <c r="L71" s="486">
        <v>0</v>
      </c>
      <c r="M71" s="486">
        <v>0</v>
      </c>
      <c r="N71" s="486">
        <v>1</v>
      </c>
      <c r="O71" s="486">
        <v>0</v>
      </c>
      <c r="P71" s="486">
        <v>0</v>
      </c>
      <c r="Q71" s="486"/>
      <c r="R71" s="486"/>
      <c r="S71" s="486"/>
      <c r="T71" s="486"/>
      <c r="U71" s="486"/>
      <c r="V71" s="486"/>
      <c r="W71" s="486"/>
      <c r="X71" s="486"/>
      <c r="Y71" s="486"/>
      <c r="Z71" s="488">
        <f t="shared" si="21"/>
        <v>1</v>
      </c>
      <c r="AA71" s="484"/>
      <c r="AB71" s="484"/>
      <c r="AC71" s="489">
        <f t="shared" si="400"/>
        <v>0</v>
      </c>
      <c r="AD71" s="489">
        <f t="shared" si="401"/>
        <v>0</v>
      </c>
      <c r="AE71" s="489">
        <f t="shared" si="402"/>
        <v>0</v>
      </c>
      <c r="AF71" s="489">
        <f t="shared" si="403"/>
        <v>0</v>
      </c>
      <c r="AG71" s="489">
        <f t="shared" si="404"/>
        <v>0</v>
      </c>
      <c r="AH71" s="489">
        <f t="shared" si="405"/>
        <v>0</v>
      </c>
      <c r="AI71" s="489">
        <f t="shared" si="406"/>
        <v>0</v>
      </c>
      <c r="AJ71" s="485">
        <f t="shared" si="407"/>
        <v>0</v>
      </c>
      <c r="AK71" s="485">
        <f t="shared" si="408"/>
        <v>7848.12</v>
      </c>
      <c r="AL71" s="489">
        <f t="shared" si="409"/>
        <v>0</v>
      </c>
      <c r="AM71" s="485">
        <f t="shared" si="410"/>
        <v>0</v>
      </c>
      <c r="AN71" s="489">
        <f t="shared" si="411"/>
        <v>0</v>
      </c>
      <c r="AO71" s="489">
        <f t="shared" si="412"/>
        <v>0</v>
      </c>
      <c r="AP71" s="489">
        <f t="shared" si="413"/>
        <v>0</v>
      </c>
      <c r="AQ71" s="489">
        <f t="shared" si="414"/>
        <v>0</v>
      </c>
      <c r="AR71" s="489">
        <f t="shared" si="397"/>
        <v>0</v>
      </c>
      <c r="AS71" s="489">
        <f t="shared" si="14"/>
        <v>0</v>
      </c>
      <c r="AT71" s="489">
        <f t="shared" si="15"/>
        <v>0</v>
      </c>
      <c r="AU71" s="489">
        <f t="shared" si="16"/>
        <v>0</v>
      </c>
      <c r="AV71" s="489"/>
      <c r="AW71" s="489"/>
      <c r="AX71" s="489">
        <f t="shared" si="415"/>
        <v>0</v>
      </c>
      <c r="AY71" s="489">
        <f t="shared" si="415"/>
        <v>0</v>
      </c>
      <c r="AZ71" s="489">
        <f t="shared" si="415"/>
        <v>0</v>
      </c>
      <c r="BA71" s="489">
        <f t="shared" si="415"/>
        <v>0</v>
      </c>
      <c r="BB71" s="489">
        <f t="shared" si="415"/>
        <v>0</v>
      </c>
      <c r="BC71" s="489">
        <f t="shared" si="415"/>
        <v>0</v>
      </c>
      <c r="BD71" s="489">
        <f t="shared" si="415"/>
        <v>0</v>
      </c>
      <c r="BE71" s="485">
        <f t="shared" si="415"/>
        <v>7848.12</v>
      </c>
      <c r="BF71" s="485">
        <f t="shared" si="415"/>
        <v>0</v>
      </c>
      <c r="BG71" s="489">
        <f t="shared" si="415"/>
        <v>0</v>
      </c>
      <c r="BH71" s="489">
        <f t="shared" si="415"/>
        <v>0</v>
      </c>
      <c r="BI71" s="489">
        <f t="shared" si="415"/>
        <v>0</v>
      </c>
      <c r="BJ71" s="489">
        <f t="shared" si="415"/>
        <v>0</v>
      </c>
      <c r="BK71" s="489">
        <f t="shared" si="415"/>
        <v>0</v>
      </c>
      <c r="BL71" s="489">
        <f t="shared" si="415"/>
        <v>0</v>
      </c>
      <c r="BM71" s="489">
        <f t="shared" si="415"/>
        <v>0</v>
      </c>
      <c r="BN71" s="489">
        <f t="shared" si="399"/>
        <v>0</v>
      </c>
      <c r="BO71" s="489">
        <f t="shared" si="399"/>
        <v>0</v>
      </c>
      <c r="BP71" s="489">
        <f t="shared" si="399"/>
        <v>0</v>
      </c>
      <c r="BQ71" s="489">
        <f t="shared" si="399"/>
        <v>0</v>
      </c>
      <c r="BR71" s="490">
        <f t="shared" si="20"/>
        <v>0</v>
      </c>
    </row>
    <row r="72" spans="1:70" s="295" customFormat="1" ht="14.45" customHeight="1">
      <c r="A72" s="482" t="s">
        <v>142</v>
      </c>
      <c r="B72" s="483"/>
      <c r="C72" s="484"/>
      <c r="D72" s="485">
        <v>203.63</v>
      </c>
      <c r="E72" s="484" t="s">
        <v>221</v>
      </c>
      <c r="F72" s="487"/>
      <c r="G72" s="487"/>
      <c r="H72" s="487"/>
      <c r="I72" s="487"/>
      <c r="J72" s="487"/>
      <c r="K72" s="486"/>
      <c r="L72" s="486">
        <v>0</v>
      </c>
      <c r="M72" s="486">
        <v>1</v>
      </c>
      <c r="N72" s="487"/>
      <c r="O72" s="487"/>
      <c r="P72" s="487"/>
      <c r="Q72" s="486">
        <v>0</v>
      </c>
      <c r="R72" s="486">
        <v>0</v>
      </c>
      <c r="S72" s="486">
        <v>0</v>
      </c>
      <c r="T72" s="486">
        <v>0</v>
      </c>
      <c r="U72" s="486"/>
      <c r="V72" s="486"/>
      <c r="W72" s="486"/>
      <c r="X72" s="486"/>
      <c r="Y72" s="486"/>
      <c r="Z72" s="488">
        <f>SUM(F72:X72)</f>
        <v>1</v>
      </c>
      <c r="AA72" s="484"/>
      <c r="AB72" s="484"/>
      <c r="AC72" s="489">
        <f aca="true" t="shared" si="416" ref="AC72:AL79">F72*$D72</f>
        <v>0</v>
      </c>
      <c r="AD72" s="489">
        <f t="shared" si="416"/>
        <v>0</v>
      </c>
      <c r="AE72" s="489">
        <f t="shared" si="416"/>
        <v>0</v>
      </c>
      <c r="AF72" s="489">
        <f t="shared" si="416"/>
        <v>0</v>
      </c>
      <c r="AG72" s="489">
        <f t="shared" si="416"/>
        <v>0</v>
      </c>
      <c r="AH72" s="485">
        <f t="shared" si="416"/>
        <v>0</v>
      </c>
      <c r="AI72" s="489">
        <f t="shared" si="416"/>
        <v>0</v>
      </c>
      <c r="AJ72" s="485">
        <f t="shared" si="416"/>
        <v>203.63</v>
      </c>
      <c r="AK72" s="489">
        <f t="shared" si="416"/>
        <v>0</v>
      </c>
      <c r="AL72" s="489">
        <f t="shared" si="416"/>
        <v>0</v>
      </c>
      <c r="AM72" s="485">
        <f aca="true" t="shared" si="417" ref="AM72:AU79">P72*$D72</f>
        <v>0</v>
      </c>
      <c r="AN72" s="489">
        <f t="shared" si="417"/>
        <v>0</v>
      </c>
      <c r="AO72" s="489">
        <f t="shared" si="417"/>
        <v>0</v>
      </c>
      <c r="AP72" s="489">
        <f t="shared" si="417"/>
        <v>0</v>
      </c>
      <c r="AQ72" s="489">
        <f t="shared" si="417"/>
        <v>0</v>
      </c>
      <c r="AR72" s="489">
        <f t="shared" si="417"/>
        <v>0</v>
      </c>
      <c r="AS72" s="489">
        <f t="shared" si="417"/>
        <v>0</v>
      </c>
      <c r="AT72" s="489">
        <f t="shared" si="417"/>
        <v>0</v>
      </c>
      <c r="AU72" s="489">
        <f t="shared" si="417"/>
        <v>0</v>
      </c>
      <c r="AV72" s="489"/>
      <c r="AW72" s="489"/>
      <c r="AX72" s="489">
        <f aca="true" t="shared" si="418" ref="AX72:BG79">IF(AX$3=$E72,$D72,0)</f>
        <v>0</v>
      </c>
      <c r="AY72" s="489">
        <f t="shared" si="418"/>
        <v>0</v>
      </c>
      <c r="AZ72" s="489">
        <f t="shared" si="418"/>
        <v>0</v>
      </c>
      <c r="BA72" s="489">
        <f t="shared" si="418"/>
        <v>0</v>
      </c>
      <c r="BB72" s="489">
        <f t="shared" si="418"/>
        <v>0</v>
      </c>
      <c r="BC72" s="489">
        <f t="shared" si="418"/>
        <v>0</v>
      </c>
      <c r="BD72" s="489">
        <f t="shared" si="418"/>
        <v>0</v>
      </c>
      <c r="BE72" s="489">
        <f t="shared" si="418"/>
        <v>203.63</v>
      </c>
      <c r="BF72" s="489">
        <f t="shared" si="418"/>
        <v>0</v>
      </c>
      <c r="BG72" s="489">
        <f t="shared" si="418"/>
        <v>0</v>
      </c>
      <c r="BH72" s="489">
        <f aca="true" t="shared" si="419" ref="BH72:BQ79">IF(BH$3=$E72,$D72,0)</f>
        <v>0</v>
      </c>
      <c r="BI72" s="489">
        <f t="shared" si="419"/>
        <v>0</v>
      </c>
      <c r="BJ72" s="489">
        <f t="shared" si="419"/>
        <v>0</v>
      </c>
      <c r="BK72" s="489">
        <f t="shared" si="419"/>
        <v>0</v>
      </c>
      <c r="BL72" s="489">
        <f t="shared" si="419"/>
        <v>0</v>
      </c>
      <c r="BM72" s="489">
        <f t="shared" si="419"/>
        <v>0</v>
      </c>
      <c r="BN72" s="489">
        <f t="shared" si="419"/>
        <v>0</v>
      </c>
      <c r="BO72" s="489">
        <f t="shared" si="419"/>
        <v>0</v>
      </c>
      <c r="BP72" s="489">
        <f t="shared" si="419"/>
        <v>0</v>
      </c>
      <c r="BQ72" s="489">
        <f t="shared" si="419"/>
        <v>0</v>
      </c>
      <c r="BR72" s="490">
        <f t="shared" si="20"/>
        <v>0</v>
      </c>
    </row>
    <row r="73" spans="1:70" s="295" customFormat="1" ht="14.45" customHeight="1">
      <c r="A73" s="482" t="s">
        <v>142</v>
      </c>
      <c r="B73" s="483"/>
      <c r="C73" s="484"/>
      <c r="D73" s="485">
        <v>179.46</v>
      </c>
      <c r="E73" s="484" t="s">
        <v>221</v>
      </c>
      <c r="F73" s="487"/>
      <c r="G73" s="487"/>
      <c r="H73" s="487"/>
      <c r="I73" s="487"/>
      <c r="J73" s="487"/>
      <c r="K73" s="486"/>
      <c r="L73" s="486">
        <v>0</v>
      </c>
      <c r="M73" s="486">
        <v>1</v>
      </c>
      <c r="N73" s="487"/>
      <c r="O73" s="487"/>
      <c r="P73" s="487"/>
      <c r="Q73" s="486">
        <v>0</v>
      </c>
      <c r="R73" s="486">
        <v>0</v>
      </c>
      <c r="S73" s="486">
        <v>0</v>
      </c>
      <c r="T73" s="486">
        <v>0</v>
      </c>
      <c r="U73" s="486"/>
      <c r="V73" s="486"/>
      <c r="W73" s="486"/>
      <c r="X73" s="486"/>
      <c r="Y73" s="486"/>
      <c r="Z73" s="488">
        <f>SUM(F73:X73)</f>
        <v>1</v>
      </c>
      <c r="AA73" s="484"/>
      <c r="AB73" s="484"/>
      <c r="AC73" s="489">
        <f t="shared" si="416"/>
        <v>0</v>
      </c>
      <c r="AD73" s="489">
        <f t="shared" si="416"/>
        <v>0</v>
      </c>
      <c r="AE73" s="489">
        <f t="shared" si="416"/>
        <v>0</v>
      </c>
      <c r="AF73" s="489">
        <f t="shared" si="416"/>
        <v>0</v>
      </c>
      <c r="AG73" s="489">
        <f t="shared" si="416"/>
        <v>0</v>
      </c>
      <c r="AH73" s="485">
        <f t="shared" si="416"/>
        <v>0</v>
      </c>
      <c r="AI73" s="489">
        <f t="shared" si="416"/>
        <v>0</v>
      </c>
      <c r="AJ73" s="485">
        <f t="shared" si="416"/>
        <v>179.46</v>
      </c>
      <c r="AK73" s="489">
        <f t="shared" si="416"/>
        <v>0</v>
      </c>
      <c r="AL73" s="489">
        <f t="shared" si="416"/>
        <v>0</v>
      </c>
      <c r="AM73" s="485">
        <f t="shared" si="417"/>
        <v>0</v>
      </c>
      <c r="AN73" s="489">
        <f t="shared" si="417"/>
        <v>0</v>
      </c>
      <c r="AO73" s="489">
        <f t="shared" si="417"/>
        <v>0</v>
      </c>
      <c r="AP73" s="489">
        <f t="shared" si="417"/>
        <v>0</v>
      </c>
      <c r="AQ73" s="489">
        <f t="shared" si="417"/>
        <v>0</v>
      </c>
      <c r="AR73" s="489">
        <f t="shared" si="417"/>
        <v>0</v>
      </c>
      <c r="AS73" s="489">
        <f t="shared" si="417"/>
        <v>0</v>
      </c>
      <c r="AT73" s="489">
        <f t="shared" si="417"/>
        <v>0</v>
      </c>
      <c r="AU73" s="489">
        <f t="shared" si="417"/>
        <v>0</v>
      </c>
      <c r="AV73" s="489"/>
      <c r="AW73" s="489"/>
      <c r="AX73" s="489">
        <f t="shared" si="418"/>
        <v>0</v>
      </c>
      <c r="AY73" s="489">
        <f t="shared" si="418"/>
        <v>0</v>
      </c>
      <c r="AZ73" s="489">
        <f t="shared" si="418"/>
        <v>0</v>
      </c>
      <c r="BA73" s="489">
        <f t="shared" si="418"/>
        <v>0</v>
      </c>
      <c r="BB73" s="489">
        <f t="shared" si="418"/>
        <v>0</v>
      </c>
      <c r="BC73" s="489">
        <f t="shared" si="418"/>
        <v>0</v>
      </c>
      <c r="BD73" s="489">
        <f t="shared" si="418"/>
        <v>0</v>
      </c>
      <c r="BE73" s="489">
        <f t="shared" si="418"/>
        <v>179.46</v>
      </c>
      <c r="BF73" s="489">
        <f t="shared" si="418"/>
        <v>0</v>
      </c>
      <c r="BG73" s="489">
        <f t="shared" si="418"/>
        <v>0</v>
      </c>
      <c r="BH73" s="489">
        <f t="shared" si="419"/>
        <v>0</v>
      </c>
      <c r="BI73" s="489">
        <f t="shared" si="419"/>
        <v>0</v>
      </c>
      <c r="BJ73" s="489">
        <f t="shared" si="419"/>
        <v>0</v>
      </c>
      <c r="BK73" s="489">
        <f t="shared" si="419"/>
        <v>0</v>
      </c>
      <c r="BL73" s="489">
        <f t="shared" si="419"/>
        <v>0</v>
      </c>
      <c r="BM73" s="489">
        <f t="shared" si="419"/>
        <v>0</v>
      </c>
      <c r="BN73" s="489">
        <f t="shared" si="419"/>
        <v>0</v>
      </c>
      <c r="BO73" s="489">
        <f t="shared" si="419"/>
        <v>0</v>
      </c>
      <c r="BP73" s="489">
        <f t="shared" si="419"/>
        <v>0</v>
      </c>
      <c r="BQ73" s="489">
        <f t="shared" si="419"/>
        <v>0</v>
      </c>
      <c r="BR73" s="490">
        <f aca="true" t="shared" si="420" ref="BR73:BR149">SUM(AC73:AV73)-SUM(AX73:BQ73)</f>
        <v>0</v>
      </c>
    </row>
    <row r="74" spans="1:70" ht="14.45" customHeight="1">
      <c r="A74" s="482" t="s">
        <v>139</v>
      </c>
      <c r="B74" s="483"/>
      <c r="C74" s="484"/>
      <c r="D74" s="485">
        <v>28000</v>
      </c>
      <c r="E74" s="484" t="s">
        <v>244</v>
      </c>
      <c r="F74" s="487"/>
      <c r="G74" s="487"/>
      <c r="H74" s="487"/>
      <c r="I74" s="487"/>
      <c r="J74" s="487"/>
      <c r="K74" s="487"/>
      <c r="L74" s="486">
        <v>0</v>
      </c>
      <c r="M74" s="486">
        <v>0</v>
      </c>
      <c r="N74" s="486">
        <v>0</v>
      </c>
      <c r="O74" s="486">
        <v>0</v>
      </c>
      <c r="P74" s="486">
        <v>1</v>
      </c>
      <c r="Q74" s="487"/>
      <c r="R74" s="487"/>
      <c r="S74" s="487"/>
      <c r="T74" s="487"/>
      <c r="U74" s="487"/>
      <c r="V74" s="487"/>
      <c r="W74" s="487"/>
      <c r="X74" s="487"/>
      <c r="Y74" s="487"/>
      <c r="Z74" s="488">
        <f>SUM(F74:X74)</f>
        <v>1</v>
      </c>
      <c r="AA74" s="484"/>
      <c r="AB74" s="484"/>
      <c r="AC74" s="489">
        <f t="shared" si="416"/>
        <v>0</v>
      </c>
      <c r="AD74" s="489">
        <f t="shared" si="416"/>
        <v>0</v>
      </c>
      <c r="AE74" s="489">
        <f t="shared" si="416"/>
        <v>0</v>
      </c>
      <c r="AF74" s="489">
        <f t="shared" si="416"/>
        <v>0</v>
      </c>
      <c r="AG74" s="489">
        <f t="shared" si="416"/>
        <v>0</v>
      </c>
      <c r="AH74" s="485">
        <f t="shared" si="416"/>
        <v>0</v>
      </c>
      <c r="AI74" s="489">
        <f t="shared" si="416"/>
        <v>0</v>
      </c>
      <c r="AJ74" s="485">
        <f t="shared" si="416"/>
        <v>0</v>
      </c>
      <c r="AK74" s="485">
        <f t="shared" si="416"/>
        <v>0</v>
      </c>
      <c r="AL74" s="489">
        <f t="shared" si="416"/>
        <v>0</v>
      </c>
      <c r="AM74" s="485">
        <f t="shared" si="417"/>
        <v>28000</v>
      </c>
      <c r="AN74" s="489">
        <f t="shared" si="417"/>
        <v>0</v>
      </c>
      <c r="AO74" s="489">
        <f t="shared" si="417"/>
        <v>0</v>
      </c>
      <c r="AP74" s="489">
        <f t="shared" si="417"/>
        <v>0</v>
      </c>
      <c r="AQ74" s="489">
        <f t="shared" si="417"/>
        <v>0</v>
      </c>
      <c r="AR74" s="489">
        <f t="shared" si="417"/>
        <v>0</v>
      </c>
      <c r="AS74" s="489">
        <f t="shared" si="417"/>
        <v>0</v>
      </c>
      <c r="AT74" s="489">
        <f t="shared" si="417"/>
        <v>0</v>
      </c>
      <c r="AU74" s="489">
        <f t="shared" si="417"/>
        <v>0</v>
      </c>
      <c r="AV74" s="489"/>
      <c r="AW74" s="489"/>
      <c r="AX74" s="489">
        <f t="shared" si="418"/>
        <v>0</v>
      </c>
      <c r="AY74" s="489">
        <f t="shared" si="418"/>
        <v>0</v>
      </c>
      <c r="AZ74" s="489">
        <f t="shared" si="418"/>
        <v>0</v>
      </c>
      <c r="BA74" s="489">
        <f t="shared" si="418"/>
        <v>0</v>
      </c>
      <c r="BB74" s="489">
        <f t="shared" si="418"/>
        <v>0</v>
      </c>
      <c r="BC74" s="489">
        <f t="shared" si="418"/>
        <v>0</v>
      </c>
      <c r="BD74" s="489">
        <f t="shared" si="418"/>
        <v>0</v>
      </c>
      <c r="BE74" s="489">
        <f t="shared" si="418"/>
        <v>0</v>
      </c>
      <c r="BF74" s="485">
        <f t="shared" si="418"/>
        <v>28000</v>
      </c>
      <c r="BG74" s="489">
        <f t="shared" si="418"/>
        <v>0</v>
      </c>
      <c r="BH74" s="489">
        <f t="shared" si="419"/>
        <v>0</v>
      </c>
      <c r="BI74" s="489">
        <f t="shared" si="419"/>
        <v>0</v>
      </c>
      <c r="BJ74" s="489">
        <f t="shared" si="419"/>
        <v>0</v>
      </c>
      <c r="BK74" s="489">
        <f t="shared" si="419"/>
        <v>0</v>
      </c>
      <c r="BL74" s="489">
        <f t="shared" si="419"/>
        <v>0</v>
      </c>
      <c r="BM74" s="489">
        <f t="shared" si="419"/>
        <v>0</v>
      </c>
      <c r="BN74" s="489">
        <f t="shared" si="419"/>
        <v>0</v>
      </c>
      <c r="BO74" s="489">
        <f t="shared" si="419"/>
        <v>0</v>
      </c>
      <c r="BP74" s="489">
        <f t="shared" si="419"/>
        <v>0</v>
      </c>
      <c r="BQ74" s="489">
        <f t="shared" si="419"/>
        <v>0</v>
      </c>
      <c r="BR74" s="490">
        <f t="shared" si="420"/>
        <v>0</v>
      </c>
    </row>
    <row r="75" spans="1:70" s="295" customFormat="1" ht="14.45" customHeight="1">
      <c r="A75" s="482" t="s">
        <v>142</v>
      </c>
      <c r="B75" s="483"/>
      <c r="C75" s="484"/>
      <c r="D75" s="485">
        <f>6000-3990.93</f>
        <v>2009.0700000000002</v>
      </c>
      <c r="E75" s="484" t="s">
        <v>244</v>
      </c>
      <c r="F75" s="487"/>
      <c r="G75" s="487"/>
      <c r="H75" s="487"/>
      <c r="I75" s="487"/>
      <c r="J75" s="487"/>
      <c r="K75" s="486"/>
      <c r="L75" s="486">
        <v>0</v>
      </c>
      <c r="M75" s="486">
        <v>0</v>
      </c>
      <c r="N75" s="486">
        <v>0.42582886609227155</v>
      </c>
      <c r="O75" s="486">
        <v>0.5741711339077284</v>
      </c>
      <c r="P75" s="486">
        <f>1-N75-O75</f>
        <v>0</v>
      </c>
      <c r="Q75" s="486"/>
      <c r="R75" s="486">
        <v>0</v>
      </c>
      <c r="S75" s="486">
        <v>0</v>
      </c>
      <c r="T75" s="486">
        <v>0</v>
      </c>
      <c r="U75" s="486"/>
      <c r="V75" s="486"/>
      <c r="W75" s="486"/>
      <c r="X75" s="486"/>
      <c r="Y75" s="486"/>
      <c r="Z75" s="488">
        <f aca="true" t="shared" si="421" ref="Z75">SUM(F75:X75)</f>
        <v>1</v>
      </c>
      <c r="AA75" s="484"/>
      <c r="AB75" s="484"/>
      <c r="AC75" s="489">
        <f t="shared" si="416"/>
        <v>0</v>
      </c>
      <c r="AD75" s="489">
        <f t="shared" si="416"/>
        <v>0</v>
      </c>
      <c r="AE75" s="489">
        <f t="shared" si="416"/>
        <v>0</v>
      </c>
      <c r="AF75" s="489">
        <f t="shared" si="416"/>
        <v>0</v>
      </c>
      <c r="AG75" s="489">
        <f t="shared" si="416"/>
        <v>0</v>
      </c>
      <c r="AH75" s="485">
        <f t="shared" si="416"/>
        <v>0</v>
      </c>
      <c r="AI75" s="489">
        <f t="shared" si="416"/>
        <v>0</v>
      </c>
      <c r="AJ75" s="485">
        <f t="shared" si="416"/>
        <v>0</v>
      </c>
      <c r="AK75" s="485">
        <f t="shared" si="416"/>
        <v>855.5200000000001</v>
      </c>
      <c r="AL75" s="485">
        <f t="shared" si="416"/>
        <v>1153.5500000000002</v>
      </c>
      <c r="AM75" s="485">
        <f t="shared" si="417"/>
        <v>0</v>
      </c>
      <c r="AN75" s="489">
        <f t="shared" si="417"/>
        <v>0</v>
      </c>
      <c r="AO75" s="489">
        <f t="shared" si="417"/>
        <v>0</v>
      </c>
      <c r="AP75" s="489">
        <f t="shared" si="417"/>
        <v>0</v>
      </c>
      <c r="AQ75" s="489">
        <f t="shared" si="417"/>
        <v>0</v>
      </c>
      <c r="AR75" s="489">
        <f t="shared" si="417"/>
        <v>0</v>
      </c>
      <c r="AS75" s="489">
        <f t="shared" si="417"/>
        <v>0</v>
      </c>
      <c r="AT75" s="489">
        <f t="shared" si="417"/>
        <v>0</v>
      </c>
      <c r="AU75" s="489">
        <f t="shared" si="417"/>
        <v>0</v>
      </c>
      <c r="AV75" s="489"/>
      <c r="AW75" s="489"/>
      <c r="AX75" s="489">
        <f t="shared" si="418"/>
        <v>0</v>
      </c>
      <c r="AY75" s="489">
        <f t="shared" si="418"/>
        <v>0</v>
      </c>
      <c r="AZ75" s="489">
        <f t="shared" si="418"/>
        <v>0</v>
      </c>
      <c r="BA75" s="489">
        <f t="shared" si="418"/>
        <v>0</v>
      </c>
      <c r="BB75" s="489">
        <f t="shared" si="418"/>
        <v>0</v>
      </c>
      <c r="BC75" s="489">
        <f t="shared" si="418"/>
        <v>0</v>
      </c>
      <c r="BD75" s="489">
        <f t="shared" si="418"/>
        <v>0</v>
      </c>
      <c r="BE75" s="489">
        <f t="shared" si="418"/>
        <v>0</v>
      </c>
      <c r="BF75" s="489">
        <f t="shared" si="418"/>
        <v>2009.0700000000002</v>
      </c>
      <c r="BG75" s="489">
        <f t="shared" si="418"/>
        <v>0</v>
      </c>
      <c r="BH75" s="489">
        <f t="shared" si="419"/>
        <v>0</v>
      </c>
      <c r="BI75" s="489">
        <f t="shared" si="419"/>
        <v>0</v>
      </c>
      <c r="BJ75" s="489">
        <f t="shared" si="419"/>
        <v>0</v>
      </c>
      <c r="BK75" s="489">
        <f t="shared" si="419"/>
        <v>0</v>
      </c>
      <c r="BL75" s="489">
        <f t="shared" si="419"/>
        <v>0</v>
      </c>
      <c r="BM75" s="489">
        <f t="shared" si="419"/>
        <v>0</v>
      </c>
      <c r="BN75" s="489">
        <f t="shared" si="419"/>
        <v>0</v>
      </c>
      <c r="BO75" s="489">
        <f t="shared" si="419"/>
        <v>0</v>
      </c>
      <c r="BP75" s="489">
        <f t="shared" si="419"/>
        <v>0</v>
      </c>
      <c r="BQ75" s="489">
        <f t="shared" si="419"/>
        <v>0</v>
      </c>
      <c r="BR75" s="490">
        <f t="shared" si="420"/>
        <v>0</v>
      </c>
    </row>
    <row r="76" spans="1:70" s="295" customFormat="1" ht="14.45" customHeight="1">
      <c r="A76" s="482" t="s">
        <v>142</v>
      </c>
      <c r="B76" s="483"/>
      <c r="C76" s="484"/>
      <c r="D76" s="485">
        <v>563.15</v>
      </c>
      <c r="E76" s="484" t="s">
        <v>244</v>
      </c>
      <c r="F76" s="487"/>
      <c r="G76" s="487"/>
      <c r="H76" s="487"/>
      <c r="I76" s="487"/>
      <c r="J76" s="487"/>
      <c r="K76" s="486"/>
      <c r="L76" s="486">
        <v>0</v>
      </c>
      <c r="M76" s="486">
        <v>0</v>
      </c>
      <c r="N76" s="486">
        <v>1</v>
      </c>
      <c r="O76" s="487"/>
      <c r="P76" s="487"/>
      <c r="Q76" s="486">
        <v>0</v>
      </c>
      <c r="R76" s="486">
        <v>0</v>
      </c>
      <c r="S76" s="486">
        <v>0</v>
      </c>
      <c r="T76" s="486">
        <v>0</v>
      </c>
      <c r="U76" s="486"/>
      <c r="V76" s="486"/>
      <c r="W76" s="486"/>
      <c r="X76" s="486"/>
      <c r="Y76" s="486"/>
      <c r="Z76" s="488">
        <f aca="true" t="shared" si="422" ref="Z76">SUM(F76:X76)</f>
        <v>1</v>
      </c>
      <c r="AA76" s="484"/>
      <c r="AB76" s="484"/>
      <c r="AC76" s="489">
        <f t="shared" si="416"/>
        <v>0</v>
      </c>
      <c r="AD76" s="489">
        <f t="shared" si="416"/>
        <v>0</v>
      </c>
      <c r="AE76" s="489">
        <f t="shared" si="416"/>
        <v>0</v>
      </c>
      <c r="AF76" s="489">
        <f t="shared" si="416"/>
        <v>0</v>
      </c>
      <c r="AG76" s="489">
        <f t="shared" si="416"/>
        <v>0</v>
      </c>
      <c r="AH76" s="485">
        <f t="shared" si="416"/>
        <v>0</v>
      </c>
      <c r="AI76" s="489">
        <f t="shared" si="416"/>
        <v>0</v>
      </c>
      <c r="AJ76" s="485">
        <f t="shared" si="416"/>
        <v>0</v>
      </c>
      <c r="AK76" s="485">
        <f t="shared" si="416"/>
        <v>563.15</v>
      </c>
      <c r="AL76" s="489">
        <f t="shared" si="416"/>
        <v>0</v>
      </c>
      <c r="AM76" s="485">
        <f t="shared" si="417"/>
        <v>0</v>
      </c>
      <c r="AN76" s="489">
        <f t="shared" si="417"/>
        <v>0</v>
      </c>
      <c r="AO76" s="489">
        <f t="shared" si="417"/>
        <v>0</v>
      </c>
      <c r="AP76" s="489">
        <f t="shared" si="417"/>
        <v>0</v>
      </c>
      <c r="AQ76" s="489">
        <f t="shared" si="417"/>
        <v>0</v>
      </c>
      <c r="AR76" s="489">
        <f t="shared" si="417"/>
        <v>0</v>
      </c>
      <c r="AS76" s="489">
        <f t="shared" si="417"/>
        <v>0</v>
      </c>
      <c r="AT76" s="489">
        <f t="shared" si="417"/>
        <v>0</v>
      </c>
      <c r="AU76" s="489">
        <f t="shared" si="417"/>
        <v>0</v>
      </c>
      <c r="AV76" s="489"/>
      <c r="AW76" s="489"/>
      <c r="AX76" s="489">
        <f t="shared" si="418"/>
        <v>0</v>
      </c>
      <c r="AY76" s="489">
        <f t="shared" si="418"/>
        <v>0</v>
      </c>
      <c r="AZ76" s="489">
        <f t="shared" si="418"/>
        <v>0</v>
      </c>
      <c r="BA76" s="489">
        <f t="shared" si="418"/>
        <v>0</v>
      </c>
      <c r="BB76" s="489">
        <f t="shared" si="418"/>
        <v>0</v>
      </c>
      <c r="BC76" s="489">
        <f t="shared" si="418"/>
        <v>0</v>
      </c>
      <c r="BD76" s="489">
        <f t="shared" si="418"/>
        <v>0</v>
      </c>
      <c r="BE76" s="489">
        <f t="shared" si="418"/>
        <v>0</v>
      </c>
      <c r="BF76" s="485">
        <f t="shared" si="418"/>
        <v>563.15</v>
      </c>
      <c r="BG76" s="489">
        <f t="shared" si="418"/>
        <v>0</v>
      </c>
      <c r="BH76" s="489">
        <f t="shared" si="419"/>
        <v>0</v>
      </c>
      <c r="BI76" s="489">
        <f t="shared" si="419"/>
        <v>0</v>
      </c>
      <c r="BJ76" s="489">
        <f t="shared" si="419"/>
        <v>0</v>
      </c>
      <c r="BK76" s="489">
        <f t="shared" si="419"/>
        <v>0</v>
      </c>
      <c r="BL76" s="489">
        <f t="shared" si="419"/>
        <v>0</v>
      </c>
      <c r="BM76" s="489">
        <f t="shared" si="419"/>
        <v>0</v>
      </c>
      <c r="BN76" s="489">
        <f t="shared" si="419"/>
        <v>0</v>
      </c>
      <c r="BO76" s="489">
        <f t="shared" si="419"/>
        <v>0</v>
      </c>
      <c r="BP76" s="489">
        <f t="shared" si="419"/>
        <v>0</v>
      </c>
      <c r="BQ76" s="489">
        <f t="shared" si="419"/>
        <v>0</v>
      </c>
      <c r="BR76" s="490">
        <f t="shared" si="420"/>
        <v>0</v>
      </c>
    </row>
    <row r="77" spans="1:70" s="295" customFormat="1" ht="14.45" customHeight="1">
      <c r="A77" s="482" t="s">
        <v>142</v>
      </c>
      <c r="B77" s="483"/>
      <c r="C77" s="484"/>
      <c r="D77" s="485">
        <v>2713.73</v>
      </c>
      <c r="E77" s="484" t="s">
        <v>243</v>
      </c>
      <c r="F77" s="487"/>
      <c r="G77" s="487"/>
      <c r="H77" s="487"/>
      <c r="I77" s="487"/>
      <c r="J77" s="487"/>
      <c r="K77" s="486"/>
      <c r="L77" s="486">
        <v>0</v>
      </c>
      <c r="M77" s="486">
        <v>0</v>
      </c>
      <c r="N77" s="486">
        <v>0</v>
      </c>
      <c r="O77" s="486">
        <v>1</v>
      </c>
      <c r="P77" s="487"/>
      <c r="Q77" s="486">
        <v>0</v>
      </c>
      <c r="R77" s="486">
        <v>0</v>
      </c>
      <c r="S77" s="486">
        <v>0</v>
      </c>
      <c r="T77" s="486">
        <v>0</v>
      </c>
      <c r="U77" s="486"/>
      <c r="V77" s="486"/>
      <c r="W77" s="486"/>
      <c r="X77" s="486"/>
      <c r="Y77" s="486"/>
      <c r="Z77" s="488">
        <f aca="true" t="shared" si="423" ref="Z77">SUM(F77:X77)</f>
        <v>1</v>
      </c>
      <c r="AA77" s="484"/>
      <c r="AB77" s="484"/>
      <c r="AC77" s="489">
        <f t="shared" si="416"/>
        <v>0</v>
      </c>
      <c r="AD77" s="489">
        <f t="shared" si="416"/>
        <v>0</v>
      </c>
      <c r="AE77" s="489">
        <f t="shared" si="416"/>
        <v>0</v>
      </c>
      <c r="AF77" s="489">
        <f t="shared" si="416"/>
        <v>0</v>
      </c>
      <c r="AG77" s="489">
        <f t="shared" si="416"/>
        <v>0</v>
      </c>
      <c r="AH77" s="485">
        <f t="shared" si="416"/>
        <v>0</v>
      </c>
      <c r="AI77" s="489">
        <f t="shared" si="416"/>
        <v>0</v>
      </c>
      <c r="AJ77" s="485">
        <f t="shared" si="416"/>
        <v>0</v>
      </c>
      <c r="AK77" s="485">
        <f t="shared" si="416"/>
        <v>0</v>
      </c>
      <c r="AL77" s="489">
        <f t="shared" si="416"/>
        <v>2713.73</v>
      </c>
      <c r="AM77" s="485">
        <f t="shared" si="417"/>
        <v>0</v>
      </c>
      <c r="AN77" s="489">
        <f t="shared" si="417"/>
        <v>0</v>
      </c>
      <c r="AO77" s="489">
        <f t="shared" si="417"/>
        <v>0</v>
      </c>
      <c r="AP77" s="489">
        <f t="shared" si="417"/>
        <v>0</v>
      </c>
      <c r="AQ77" s="489">
        <f t="shared" si="417"/>
        <v>0</v>
      </c>
      <c r="AR77" s="489">
        <f t="shared" si="417"/>
        <v>0</v>
      </c>
      <c r="AS77" s="489">
        <f t="shared" si="417"/>
        <v>0</v>
      </c>
      <c r="AT77" s="489">
        <f t="shared" si="417"/>
        <v>0</v>
      </c>
      <c r="AU77" s="489">
        <f t="shared" si="417"/>
        <v>0</v>
      </c>
      <c r="AV77" s="489"/>
      <c r="AW77" s="489"/>
      <c r="AX77" s="489">
        <f t="shared" si="418"/>
        <v>0</v>
      </c>
      <c r="AY77" s="489">
        <f t="shared" si="418"/>
        <v>0</v>
      </c>
      <c r="AZ77" s="489">
        <f t="shared" si="418"/>
        <v>0</v>
      </c>
      <c r="BA77" s="489">
        <f t="shared" si="418"/>
        <v>0</v>
      </c>
      <c r="BB77" s="489">
        <f t="shared" si="418"/>
        <v>0</v>
      </c>
      <c r="BC77" s="489">
        <f t="shared" si="418"/>
        <v>0</v>
      </c>
      <c r="BD77" s="489">
        <f t="shared" si="418"/>
        <v>0</v>
      </c>
      <c r="BE77" s="489">
        <f t="shared" si="418"/>
        <v>0</v>
      </c>
      <c r="BF77" s="485">
        <f t="shared" si="418"/>
        <v>0</v>
      </c>
      <c r="BG77" s="489">
        <f t="shared" si="418"/>
        <v>2713.73</v>
      </c>
      <c r="BH77" s="489">
        <f t="shared" si="419"/>
        <v>0</v>
      </c>
      <c r="BI77" s="489">
        <f t="shared" si="419"/>
        <v>0</v>
      </c>
      <c r="BJ77" s="489">
        <f t="shared" si="419"/>
        <v>0</v>
      </c>
      <c r="BK77" s="489">
        <f t="shared" si="419"/>
        <v>0</v>
      </c>
      <c r="BL77" s="489">
        <f t="shared" si="419"/>
        <v>0</v>
      </c>
      <c r="BM77" s="489">
        <f t="shared" si="419"/>
        <v>0</v>
      </c>
      <c r="BN77" s="489">
        <f t="shared" si="419"/>
        <v>0</v>
      </c>
      <c r="BO77" s="489">
        <f t="shared" si="419"/>
        <v>0</v>
      </c>
      <c r="BP77" s="489">
        <f t="shared" si="419"/>
        <v>0</v>
      </c>
      <c r="BQ77" s="489">
        <f t="shared" si="419"/>
        <v>0</v>
      </c>
      <c r="BR77" s="490">
        <f t="shared" si="420"/>
        <v>0</v>
      </c>
    </row>
    <row r="78" spans="1:70" s="295" customFormat="1" ht="14.45" customHeight="1">
      <c r="A78" s="482" t="s">
        <v>139</v>
      </c>
      <c r="B78" s="483"/>
      <c r="C78" s="484"/>
      <c r="D78" s="485">
        <v>50000</v>
      </c>
      <c r="E78" s="484" t="s">
        <v>261</v>
      </c>
      <c r="F78" s="487"/>
      <c r="G78" s="487"/>
      <c r="H78" s="487"/>
      <c r="I78" s="487"/>
      <c r="J78" s="487"/>
      <c r="K78" s="486"/>
      <c r="L78" s="486">
        <v>0</v>
      </c>
      <c r="M78" s="486">
        <v>0</v>
      </c>
      <c r="N78" s="486">
        <v>0</v>
      </c>
      <c r="O78" s="486">
        <v>0</v>
      </c>
      <c r="P78" s="486">
        <v>0</v>
      </c>
      <c r="Q78" s="486">
        <v>0.222552</v>
      </c>
      <c r="R78" s="486">
        <v>0</v>
      </c>
      <c r="S78" s="486">
        <v>0.6</v>
      </c>
      <c r="T78" s="486">
        <v>0.177448</v>
      </c>
      <c r="U78" s="486"/>
      <c r="V78" s="486"/>
      <c r="W78" s="486"/>
      <c r="X78" s="486"/>
      <c r="Y78" s="486"/>
      <c r="Z78" s="488">
        <f aca="true" t="shared" si="424" ref="Z78">SUM(F78:X78)</f>
        <v>1</v>
      </c>
      <c r="AA78" s="484"/>
      <c r="AB78" s="484"/>
      <c r="AC78" s="489">
        <f t="shared" si="416"/>
        <v>0</v>
      </c>
      <c r="AD78" s="489">
        <f t="shared" si="416"/>
        <v>0</v>
      </c>
      <c r="AE78" s="489">
        <f t="shared" si="416"/>
        <v>0</v>
      </c>
      <c r="AF78" s="489">
        <f t="shared" si="416"/>
        <v>0</v>
      </c>
      <c r="AG78" s="489">
        <f t="shared" si="416"/>
        <v>0</v>
      </c>
      <c r="AH78" s="485">
        <f t="shared" si="416"/>
        <v>0</v>
      </c>
      <c r="AI78" s="489">
        <f t="shared" si="416"/>
        <v>0</v>
      </c>
      <c r="AJ78" s="485">
        <f t="shared" si="416"/>
        <v>0</v>
      </c>
      <c r="AK78" s="489">
        <f t="shared" si="416"/>
        <v>0</v>
      </c>
      <c r="AL78" s="489">
        <f t="shared" si="416"/>
        <v>0</v>
      </c>
      <c r="AM78" s="485">
        <f t="shared" si="417"/>
        <v>0</v>
      </c>
      <c r="AN78" s="492">
        <f t="shared" si="417"/>
        <v>11127.6</v>
      </c>
      <c r="AO78" s="489">
        <f t="shared" si="417"/>
        <v>0</v>
      </c>
      <c r="AP78" s="489">
        <f t="shared" si="417"/>
        <v>30000</v>
      </c>
      <c r="AQ78" s="489">
        <f t="shared" si="417"/>
        <v>8872.4</v>
      </c>
      <c r="AR78" s="489">
        <f t="shared" si="417"/>
        <v>0</v>
      </c>
      <c r="AS78" s="489">
        <f t="shared" si="417"/>
        <v>0</v>
      </c>
      <c r="AT78" s="489">
        <f t="shared" si="417"/>
        <v>0</v>
      </c>
      <c r="AU78" s="489">
        <f t="shared" si="417"/>
        <v>0</v>
      </c>
      <c r="AV78" s="489"/>
      <c r="AW78" s="489"/>
      <c r="AX78" s="489">
        <f t="shared" si="418"/>
        <v>0</v>
      </c>
      <c r="AY78" s="489">
        <f t="shared" si="418"/>
        <v>0</v>
      </c>
      <c r="AZ78" s="489">
        <f t="shared" si="418"/>
        <v>0</v>
      </c>
      <c r="BA78" s="489">
        <f t="shared" si="418"/>
        <v>0</v>
      </c>
      <c r="BB78" s="489">
        <f t="shared" si="418"/>
        <v>0</v>
      </c>
      <c r="BC78" s="489">
        <f t="shared" si="418"/>
        <v>0</v>
      </c>
      <c r="BD78" s="489">
        <f t="shared" si="418"/>
        <v>0</v>
      </c>
      <c r="BE78" s="489">
        <f t="shared" si="418"/>
        <v>0</v>
      </c>
      <c r="BF78" s="489">
        <f t="shared" si="418"/>
        <v>0</v>
      </c>
      <c r="BG78" s="489">
        <f t="shared" si="418"/>
        <v>0</v>
      </c>
      <c r="BH78" s="489">
        <f t="shared" si="419"/>
        <v>50000</v>
      </c>
      <c r="BI78" s="489">
        <f t="shared" si="419"/>
        <v>0</v>
      </c>
      <c r="BJ78" s="489">
        <f t="shared" si="419"/>
        <v>0</v>
      </c>
      <c r="BK78" s="489">
        <f t="shared" si="419"/>
        <v>0</v>
      </c>
      <c r="BL78" s="489">
        <f t="shared" si="419"/>
        <v>0</v>
      </c>
      <c r="BM78" s="489">
        <f t="shared" si="419"/>
        <v>0</v>
      </c>
      <c r="BN78" s="489">
        <f t="shared" si="419"/>
        <v>0</v>
      </c>
      <c r="BO78" s="489">
        <f t="shared" si="419"/>
        <v>0</v>
      </c>
      <c r="BP78" s="489">
        <f t="shared" si="419"/>
        <v>0</v>
      </c>
      <c r="BQ78" s="489">
        <f t="shared" si="419"/>
        <v>0</v>
      </c>
      <c r="BR78" s="490">
        <f t="shared" si="420"/>
        <v>0</v>
      </c>
    </row>
    <row r="79" spans="1:70" s="295" customFormat="1" ht="14.25" customHeight="1">
      <c r="A79" s="482" t="s">
        <v>139</v>
      </c>
      <c r="B79" s="483"/>
      <c r="C79" s="484"/>
      <c r="D79" s="485">
        <v>80000</v>
      </c>
      <c r="E79" s="484" t="s">
        <v>261</v>
      </c>
      <c r="F79" s="487"/>
      <c r="G79" s="487"/>
      <c r="H79" s="487"/>
      <c r="I79" s="487"/>
      <c r="J79" s="487"/>
      <c r="K79" s="486"/>
      <c r="L79" s="486">
        <v>0</v>
      </c>
      <c r="M79" s="486">
        <v>0</v>
      </c>
      <c r="N79" s="486">
        <v>0</v>
      </c>
      <c r="O79" s="486">
        <v>0</v>
      </c>
      <c r="P79" s="486">
        <v>0</v>
      </c>
      <c r="Q79" s="486">
        <v>0.154189875</v>
      </c>
      <c r="R79" s="486">
        <v>0</v>
      </c>
      <c r="S79" s="486">
        <v>0</v>
      </c>
      <c r="T79" s="486">
        <v>0</v>
      </c>
      <c r="U79" s="486">
        <v>0</v>
      </c>
      <c r="V79" s="486">
        <v>0</v>
      </c>
      <c r="W79" s="486">
        <v>0</v>
      </c>
      <c r="X79" s="486">
        <v>0.845810125</v>
      </c>
      <c r="Y79" s="486"/>
      <c r="Z79" s="488">
        <f aca="true" t="shared" si="425" ref="Z79">SUM(F79:X79)</f>
        <v>1</v>
      </c>
      <c r="AA79" s="484"/>
      <c r="AB79" s="484"/>
      <c r="AC79" s="489">
        <f t="shared" si="416"/>
        <v>0</v>
      </c>
      <c r="AD79" s="489">
        <f t="shared" si="416"/>
        <v>0</v>
      </c>
      <c r="AE79" s="489">
        <f t="shared" si="416"/>
        <v>0</v>
      </c>
      <c r="AF79" s="489">
        <f t="shared" si="416"/>
        <v>0</v>
      </c>
      <c r="AG79" s="489">
        <f t="shared" si="416"/>
        <v>0</v>
      </c>
      <c r="AH79" s="485">
        <f t="shared" si="416"/>
        <v>0</v>
      </c>
      <c r="AI79" s="489">
        <f t="shared" si="416"/>
        <v>0</v>
      </c>
      <c r="AJ79" s="485">
        <f t="shared" si="416"/>
        <v>0</v>
      </c>
      <c r="AK79" s="489">
        <f t="shared" si="416"/>
        <v>0</v>
      </c>
      <c r="AL79" s="489">
        <f t="shared" si="416"/>
        <v>0</v>
      </c>
      <c r="AM79" s="485">
        <f t="shared" si="417"/>
        <v>0</v>
      </c>
      <c r="AN79" s="492">
        <f t="shared" si="417"/>
        <v>12335.19</v>
      </c>
      <c r="AO79" s="489">
        <f t="shared" si="417"/>
        <v>0</v>
      </c>
      <c r="AP79" s="489">
        <f t="shared" si="417"/>
        <v>0</v>
      </c>
      <c r="AQ79" s="489">
        <f t="shared" si="417"/>
        <v>0</v>
      </c>
      <c r="AR79" s="489">
        <f t="shared" si="417"/>
        <v>0</v>
      </c>
      <c r="AS79" s="489">
        <f t="shared" si="417"/>
        <v>0</v>
      </c>
      <c r="AT79" s="489">
        <f t="shared" si="417"/>
        <v>0</v>
      </c>
      <c r="AU79" s="492">
        <f t="shared" si="417"/>
        <v>67664.81</v>
      </c>
      <c r="AV79" s="489"/>
      <c r="AW79" s="489"/>
      <c r="AX79" s="489">
        <f t="shared" si="418"/>
        <v>0</v>
      </c>
      <c r="AY79" s="489">
        <f t="shared" si="418"/>
        <v>0</v>
      </c>
      <c r="AZ79" s="489">
        <f t="shared" si="418"/>
        <v>0</v>
      </c>
      <c r="BA79" s="489">
        <f t="shared" si="418"/>
        <v>0</v>
      </c>
      <c r="BB79" s="489">
        <f t="shared" si="418"/>
        <v>0</v>
      </c>
      <c r="BC79" s="489">
        <f t="shared" si="418"/>
        <v>0</v>
      </c>
      <c r="BD79" s="489">
        <f t="shared" si="418"/>
        <v>0</v>
      </c>
      <c r="BE79" s="489">
        <f t="shared" si="418"/>
        <v>0</v>
      </c>
      <c r="BF79" s="489">
        <f t="shared" si="418"/>
        <v>0</v>
      </c>
      <c r="BG79" s="489">
        <f t="shared" si="418"/>
        <v>0</v>
      </c>
      <c r="BH79" s="489">
        <f t="shared" si="419"/>
        <v>80000</v>
      </c>
      <c r="BI79" s="489">
        <f t="shared" si="419"/>
        <v>0</v>
      </c>
      <c r="BJ79" s="489">
        <f t="shared" si="419"/>
        <v>0</v>
      </c>
      <c r="BK79" s="489">
        <f t="shared" si="419"/>
        <v>0</v>
      </c>
      <c r="BL79" s="489">
        <f t="shared" si="419"/>
        <v>0</v>
      </c>
      <c r="BM79" s="489">
        <f t="shared" si="419"/>
        <v>0</v>
      </c>
      <c r="BN79" s="489">
        <f t="shared" si="419"/>
        <v>0</v>
      </c>
      <c r="BO79" s="489">
        <f t="shared" si="419"/>
        <v>0</v>
      </c>
      <c r="BP79" s="489">
        <f t="shared" si="419"/>
        <v>0</v>
      </c>
      <c r="BQ79" s="489">
        <f t="shared" si="419"/>
        <v>0</v>
      </c>
      <c r="BR79" s="490">
        <f t="shared" si="420"/>
        <v>0</v>
      </c>
    </row>
    <row r="80" spans="1:70" s="295" customFormat="1" ht="14.45" customHeight="1">
      <c r="A80" s="482" t="s">
        <v>139</v>
      </c>
      <c r="B80" s="483"/>
      <c r="C80" s="484"/>
      <c r="D80" s="485">
        <v>40000</v>
      </c>
      <c r="E80" s="484" t="s">
        <v>263</v>
      </c>
      <c r="F80" s="491"/>
      <c r="G80" s="491"/>
      <c r="H80" s="491"/>
      <c r="I80" s="491">
        <v>0</v>
      </c>
      <c r="J80" s="491">
        <v>0</v>
      </c>
      <c r="K80" s="491">
        <v>0</v>
      </c>
      <c r="L80" s="491">
        <v>0</v>
      </c>
      <c r="M80" s="491">
        <v>0</v>
      </c>
      <c r="N80" s="491">
        <v>0</v>
      </c>
      <c r="O80" s="491">
        <v>0</v>
      </c>
      <c r="P80" s="491">
        <v>0</v>
      </c>
      <c r="Q80" s="491">
        <v>0</v>
      </c>
      <c r="R80" s="491">
        <v>0</v>
      </c>
      <c r="S80" s="491">
        <v>0.17358525</v>
      </c>
      <c r="T80" s="491">
        <v>0.17358525</v>
      </c>
      <c r="U80" s="491">
        <v>0.17358525</v>
      </c>
      <c r="V80" s="491">
        <v>0.17358525</v>
      </c>
      <c r="W80" s="491">
        <v>0.17358525</v>
      </c>
      <c r="X80" s="491">
        <v>0.13207374999999993</v>
      </c>
      <c r="Y80" s="491"/>
      <c r="Z80" s="488">
        <f aca="true" t="shared" si="426" ref="Z80">SUM(F80:X80)</f>
        <v>1</v>
      </c>
      <c r="AA80" s="484"/>
      <c r="AB80" s="484"/>
      <c r="AC80" s="489">
        <f aca="true" t="shared" si="427" ref="AC80">F80*$D80</f>
        <v>0</v>
      </c>
      <c r="AD80" s="489">
        <f aca="true" t="shared" si="428" ref="AD80">G80*$D80</f>
        <v>0</v>
      </c>
      <c r="AE80" s="489">
        <f aca="true" t="shared" si="429" ref="AE80">H80*$D80</f>
        <v>0</v>
      </c>
      <c r="AF80" s="489">
        <f aca="true" t="shared" si="430" ref="AF80">I80*$D80</f>
        <v>0</v>
      </c>
      <c r="AG80" s="489">
        <f aca="true" t="shared" si="431" ref="AG80">J80*$D80</f>
        <v>0</v>
      </c>
      <c r="AH80" s="485">
        <f aca="true" t="shared" si="432" ref="AH80">K80*$D80</f>
        <v>0</v>
      </c>
      <c r="AI80" s="489">
        <f aca="true" t="shared" si="433" ref="AI80">L80*$D80</f>
        <v>0</v>
      </c>
      <c r="AJ80" s="485">
        <f aca="true" t="shared" si="434" ref="AJ80">M80*$D80</f>
        <v>0</v>
      </c>
      <c r="AK80" s="485">
        <f aca="true" t="shared" si="435" ref="AK80">N80*$D80</f>
        <v>0</v>
      </c>
      <c r="AL80" s="489">
        <f aca="true" t="shared" si="436" ref="AL80">O80*$D80</f>
        <v>0</v>
      </c>
      <c r="AM80" s="485">
        <f aca="true" t="shared" si="437" ref="AM80">P80*$D80</f>
        <v>0</v>
      </c>
      <c r="AN80" s="492">
        <f aca="true" t="shared" si="438" ref="AN80">Q80*$D80</f>
        <v>0</v>
      </c>
      <c r="AO80" s="492">
        <f aca="true" t="shared" si="439" ref="AO80">R80*$D80</f>
        <v>0</v>
      </c>
      <c r="AP80" s="489">
        <f aca="true" t="shared" si="440" ref="AP80">S80*$D80</f>
        <v>6943.41</v>
      </c>
      <c r="AQ80" s="492">
        <f aca="true" t="shared" si="441" ref="AQ80">T80*$D80</f>
        <v>6943.41</v>
      </c>
      <c r="AR80" s="492">
        <f aca="true" t="shared" si="442" ref="AR80">U80*$D80</f>
        <v>6943.41</v>
      </c>
      <c r="AS80" s="492">
        <f aca="true" t="shared" si="443" ref="AS80">V80*$D80</f>
        <v>6943.41</v>
      </c>
      <c r="AT80" s="492">
        <f aca="true" t="shared" si="444" ref="AT80">W80*$D80</f>
        <v>6943.41</v>
      </c>
      <c r="AU80" s="492">
        <f aca="true" t="shared" si="445" ref="AU80">X80*$D80</f>
        <v>5282.949999999997</v>
      </c>
      <c r="AV80" s="489"/>
      <c r="AW80" s="489"/>
      <c r="AX80" s="489">
        <f aca="true" t="shared" si="446" ref="AX80:BK80">IF(AX$3=$E80,$D80,0)</f>
        <v>0</v>
      </c>
      <c r="AY80" s="489">
        <f t="shared" si="446"/>
        <v>0</v>
      </c>
      <c r="AZ80" s="489">
        <f t="shared" si="446"/>
        <v>0</v>
      </c>
      <c r="BA80" s="489">
        <f t="shared" si="446"/>
        <v>0</v>
      </c>
      <c r="BB80" s="489">
        <f t="shared" si="446"/>
        <v>0</v>
      </c>
      <c r="BC80" s="489">
        <f t="shared" si="446"/>
        <v>0</v>
      </c>
      <c r="BD80" s="489">
        <f t="shared" si="446"/>
        <v>0</v>
      </c>
      <c r="BE80" s="489">
        <f t="shared" si="446"/>
        <v>0</v>
      </c>
      <c r="BF80" s="485">
        <f t="shared" si="446"/>
        <v>0</v>
      </c>
      <c r="BG80" s="489">
        <f t="shared" si="446"/>
        <v>0</v>
      </c>
      <c r="BH80" s="489">
        <f t="shared" si="446"/>
        <v>0</v>
      </c>
      <c r="BI80" s="489">
        <f t="shared" si="446"/>
        <v>0</v>
      </c>
      <c r="BJ80" s="489">
        <f t="shared" si="446"/>
        <v>40000</v>
      </c>
      <c r="BK80" s="489">
        <f t="shared" si="446"/>
        <v>0</v>
      </c>
      <c r="BL80" s="489">
        <f aca="true" t="shared" si="447" ref="BL80:BQ116">IF(BL$3=$E80,$D80,0)</f>
        <v>0</v>
      </c>
      <c r="BM80" s="489">
        <f t="shared" si="447"/>
        <v>0</v>
      </c>
      <c r="BN80" s="489">
        <f t="shared" si="447"/>
        <v>0</v>
      </c>
      <c r="BO80" s="489">
        <f t="shared" si="447"/>
        <v>0</v>
      </c>
      <c r="BP80" s="489">
        <f t="shared" si="447"/>
        <v>0</v>
      </c>
      <c r="BQ80" s="489">
        <f t="shared" si="447"/>
        <v>0</v>
      </c>
      <c r="BR80" s="490">
        <f t="shared" si="420"/>
        <v>0</v>
      </c>
    </row>
    <row r="81" spans="1:70" s="295" customFormat="1" ht="14.45" customHeight="1">
      <c r="A81" s="482" t="s">
        <v>139</v>
      </c>
      <c r="B81" s="483"/>
      <c r="C81" s="484"/>
      <c r="D81" s="485">
        <v>31800</v>
      </c>
      <c r="E81" s="484" t="s">
        <v>263</v>
      </c>
      <c r="F81" s="487"/>
      <c r="G81" s="487"/>
      <c r="H81" s="487"/>
      <c r="I81" s="487"/>
      <c r="J81" s="487"/>
      <c r="K81" s="487"/>
      <c r="L81" s="486">
        <v>0</v>
      </c>
      <c r="M81" s="486">
        <v>0</v>
      </c>
      <c r="N81" s="486">
        <v>0</v>
      </c>
      <c r="O81" s="486">
        <v>0</v>
      </c>
      <c r="P81" s="486">
        <v>0</v>
      </c>
      <c r="Q81" s="486">
        <v>0</v>
      </c>
      <c r="R81" s="486">
        <v>0</v>
      </c>
      <c r="S81" s="486">
        <v>0.35</v>
      </c>
      <c r="T81" s="486">
        <v>0.35</v>
      </c>
      <c r="U81" s="486">
        <v>0.3</v>
      </c>
      <c r="V81" s="486"/>
      <c r="W81" s="486"/>
      <c r="X81" s="486"/>
      <c r="Y81" s="486"/>
      <c r="Z81" s="488">
        <f>SUM(F81:Y81)</f>
        <v>1</v>
      </c>
      <c r="AA81" s="484"/>
      <c r="AB81" s="484"/>
      <c r="AC81" s="489">
        <f aca="true" t="shared" si="448" ref="AC81">F81*$D81</f>
        <v>0</v>
      </c>
      <c r="AD81" s="489">
        <f aca="true" t="shared" si="449" ref="AD81">G81*$D81</f>
        <v>0</v>
      </c>
      <c r="AE81" s="489">
        <f aca="true" t="shared" si="450" ref="AE81">H81*$D81</f>
        <v>0</v>
      </c>
      <c r="AF81" s="489">
        <f aca="true" t="shared" si="451" ref="AF81">I81*$D81</f>
        <v>0</v>
      </c>
      <c r="AG81" s="489">
        <f aca="true" t="shared" si="452" ref="AG81">J81*$D81</f>
        <v>0</v>
      </c>
      <c r="AH81" s="485">
        <f aca="true" t="shared" si="453" ref="AH81">K81*$D81</f>
        <v>0</v>
      </c>
      <c r="AI81" s="489">
        <f aca="true" t="shared" si="454" ref="AI81">L81*$D81</f>
        <v>0</v>
      </c>
      <c r="AJ81" s="485">
        <f aca="true" t="shared" si="455" ref="AJ81">M81*$D81</f>
        <v>0</v>
      </c>
      <c r="AK81" s="485">
        <f aca="true" t="shared" si="456" ref="AK81">N81*$D81</f>
        <v>0</v>
      </c>
      <c r="AL81" s="489">
        <f aca="true" t="shared" si="457" ref="AL81">O81*$D81</f>
        <v>0</v>
      </c>
      <c r="AM81" s="485">
        <f aca="true" t="shared" si="458" ref="AM81">P81*$D81</f>
        <v>0</v>
      </c>
      <c r="AN81" s="492">
        <f aca="true" t="shared" si="459" ref="AN81">Q81*$D81</f>
        <v>0</v>
      </c>
      <c r="AO81" s="492">
        <f aca="true" t="shared" si="460" ref="AO81">R81*$D81</f>
        <v>0</v>
      </c>
      <c r="AP81" s="489">
        <f aca="true" t="shared" si="461" ref="AP81">S81*$D81</f>
        <v>11130</v>
      </c>
      <c r="AQ81" s="492">
        <f aca="true" t="shared" si="462" ref="AQ81">T81*$D81</f>
        <v>11130</v>
      </c>
      <c r="AR81" s="492">
        <f aca="true" t="shared" si="463" ref="AR81">U81*$D81</f>
        <v>9540</v>
      </c>
      <c r="AS81" s="492">
        <f aca="true" t="shared" si="464" ref="AS81">V81*$D81</f>
        <v>0</v>
      </c>
      <c r="AT81" s="492">
        <f aca="true" t="shared" si="465" ref="AT81">W81*$D81</f>
        <v>0</v>
      </c>
      <c r="AU81" s="492">
        <f aca="true" t="shared" si="466" ref="AU81">X81*$D81</f>
        <v>0</v>
      </c>
      <c r="AV81" s="489"/>
      <c r="AW81" s="489"/>
      <c r="AX81" s="489">
        <f aca="true" t="shared" si="467" ref="AX81:BK81">IF(AX$3=$E81,$D81,0)</f>
        <v>0</v>
      </c>
      <c r="AY81" s="489">
        <f t="shared" si="467"/>
        <v>0</v>
      </c>
      <c r="AZ81" s="489">
        <f t="shared" si="467"/>
        <v>0</v>
      </c>
      <c r="BA81" s="489">
        <f t="shared" si="467"/>
        <v>0</v>
      </c>
      <c r="BB81" s="489">
        <f t="shared" si="467"/>
        <v>0</v>
      </c>
      <c r="BC81" s="489">
        <f t="shared" si="467"/>
        <v>0</v>
      </c>
      <c r="BD81" s="489">
        <f t="shared" si="467"/>
        <v>0</v>
      </c>
      <c r="BE81" s="489">
        <f t="shared" si="467"/>
        <v>0</v>
      </c>
      <c r="BF81" s="489">
        <f t="shared" si="467"/>
        <v>0</v>
      </c>
      <c r="BG81" s="489">
        <f t="shared" si="467"/>
        <v>0</v>
      </c>
      <c r="BH81" s="489">
        <f t="shared" si="467"/>
        <v>0</v>
      </c>
      <c r="BI81" s="489">
        <f t="shared" si="467"/>
        <v>0</v>
      </c>
      <c r="BJ81" s="489">
        <f t="shared" si="467"/>
        <v>31800</v>
      </c>
      <c r="BK81" s="489">
        <f t="shared" si="467"/>
        <v>0</v>
      </c>
      <c r="BL81" s="489">
        <f t="shared" si="447"/>
        <v>0</v>
      </c>
      <c r="BM81" s="489">
        <f t="shared" si="447"/>
        <v>0</v>
      </c>
      <c r="BN81" s="489">
        <f t="shared" si="447"/>
        <v>0</v>
      </c>
      <c r="BO81" s="489">
        <f t="shared" si="447"/>
        <v>0</v>
      </c>
      <c r="BP81" s="489">
        <f t="shared" si="447"/>
        <v>0</v>
      </c>
      <c r="BQ81" s="489">
        <f t="shared" si="447"/>
        <v>0</v>
      </c>
      <c r="BR81" s="490">
        <f t="shared" si="420"/>
        <v>0</v>
      </c>
    </row>
    <row r="82" spans="1:70" s="295" customFormat="1" ht="14.45" customHeight="1">
      <c r="A82" s="482" t="s">
        <v>142</v>
      </c>
      <c r="B82" s="483"/>
      <c r="C82" s="484"/>
      <c r="D82" s="485">
        <v>20000</v>
      </c>
      <c r="E82" s="484" t="s">
        <v>263</v>
      </c>
      <c r="F82" s="487"/>
      <c r="G82" s="487"/>
      <c r="H82" s="487"/>
      <c r="I82" s="487"/>
      <c r="J82" s="487"/>
      <c r="K82" s="486"/>
      <c r="L82" s="486">
        <v>0</v>
      </c>
      <c r="M82" s="486">
        <v>0</v>
      </c>
      <c r="N82" s="486">
        <v>0</v>
      </c>
      <c r="O82" s="486">
        <v>0</v>
      </c>
      <c r="P82" s="486">
        <v>0</v>
      </c>
      <c r="Q82" s="486">
        <v>0</v>
      </c>
      <c r="R82" s="486">
        <v>0.1</v>
      </c>
      <c r="S82" s="486">
        <v>0.3</v>
      </c>
      <c r="T82" s="486">
        <v>0.3</v>
      </c>
      <c r="U82" s="486">
        <v>0.3</v>
      </c>
      <c r="V82" s="486">
        <v>0</v>
      </c>
      <c r="W82" s="486">
        <v>0</v>
      </c>
      <c r="X82" s="486"/>
      <c r="Y82" s="486"/>
      <c r="Z82" s="488">
        <f aca="true" t="shared" si="468" ref="Z82:Z84">SUM(F82:X82)</f>
        <v>1</v>
      </c>
      <c r="AA82" s="484"/>
      <c r="AB82" s="484"/>
      <c r="AC82" s="489">
        <f aca="true" t="shared" si="469" ref="AC82:AC84">F82*$D82</f>
        <v>0</v>
      </c>
      <c r="AD82" s="489">
        <f aca="true" t="shared" si="470" ref="AD82:AD84">G82*$D82</f>
        <v>0</v>
      </c>
      <c r="AE82" s="489">
        <f aca="true" t="shared" si="471" ref="AE82:AE84">H82*$D82</f>
        <v>0</v>
      </c>
      <c r="AF82" s="489">
        <f aca="true" t="shared" si="472" ref="AF82:AF84">I82*$D82</f>
        <v>0</v>
      </c>
      <c r="AG82" s="489">
        <f aca="true" t="shared" si="473" ref="AG82:AG84">J82*$D82</f>
        <v>0</v>
      </c>
      <c r="AH82" s="485">
        <f aca="true" t="shared" si="474" ref="AH82:AH84">K82*$D82</f>
        <v>0</v>
      </c>
      <c r="AI82" s="489">
        <f aca="true" t="shared" si="475" ref="AI82:AI84">L82*$D82</f>
        <v>0</v>
      </c>
      <c r="AJ82" s="485">
        <f aca="true" t="shared" si="476" ref="AJ82:AJ84">M82*$D82</f>
        <v>0</v>
      </c>
      <c r="AK82" s="489">
        <f aca="true" t="shared" si="477" ref="AK82:AK84">N82*$D82</f>
        <v>0</v>
      </c>
      <c r="AL82" s="489">
        <f aca="true" t="shared" si="478" ref="AL82:AL84">O82*$D82</f>
        <v>0</v>
      </c>
      <c r="AM82" s="492">
        <f aca="true" t="shared" si="479" ref="AM82:AM84">P82*$D82</f>
        <v>0</v>
      </c>
      <c r="AN82" s="492">
        <f aca="true" t="shared" si="480" ref="AN82:AN84">Q82*$D82</f>
        <v>0</v>
      </c>
      <c r="AO82" s="492">
        <f aca="true" t="shared" si="481" ref="AO82:AO84">R82*$D82</f>
        <v>2000</v>
      </c>
      <c r="AP82" s="489">
        <f aca="true" t="shared" si="482" ref="AP82:AP84">S82*$D82</f>
        <v>6000</v>
      </c>
      <c r="AQ82" s="492">
        <f aca="true" t="shared" si="483" ref="AQ82:AQ84">T82*$D82</f>
        <v>6000</v>
      </c>
      <c r="AR82" s="492">
        <f aca="true" t="shared" si="484" ref="AR82:AR84">U82*$D82</f>
        <v>6000</v>
      </c>
      <c r="AS82" s="492">
        <f aca="true" t="shared" si="485" ref="AS82:AS84">V82*$D82</f>
        <v>0</v>
      </c>
      <c r="AT82" s="492">
        <f aca="true" t="shared" si="486" ref="AT82:AT84">W82*$D82</f>
        <v>0</v>
      </c>
      <c r="AU82" s="492">
        <f aca="true" t="shared" si="487" ref="AU82:AU84">X82*$D82</f>
        <v>0</v>
      </c>
      <c r="AV82" s="489"/>
      <c r="AW82" s="489"/>
      <c r="AX82" s="489">
        <f aca="true" t="shared" si="488" ref="AX82:BN98">IF(AX$3=$E82,$D82,0)</f>
        <v>0</v>
      </c>
      <c r="AY82" s="489">
        <f t="shared" si="488"/>
        <v>0</v>
      </c>
      <c r="AZ82" s="489">
        <f t="shared" si="488"/>
        <v>0</v>
      </c>
      <c r="BA82" s="489">
        <f t="shared" si="488"/>
        <v>0</v>
      </c>
      <c r="BB82" s="489">
        <f t="shared" si="488"/>
        <v>0</v>
      </c>
      <c r="BC82" s="489">
        <f t="shared" si="488"/>
        <v>0</v>
      </c>
      <c r="BD82" s="489">
        <f t="shared" si="488"/>
        <v>0</v>
      </c>
      <c r="BE82" s="489">
        <f t="shared" si="488"/>
        <v>0</v>
      </c>
      <c r="BF82" s="489">
        <f t="shared" si="488"/>
        <v>0</v>
      </c>
      <c r="BG82" s="489">
        <f t="shared" si="488"/>
        <v>0</v>
      </c>
      <c r="BH82" s="489">
        <f t="shared" si="488"/>
        <v>0</v>
      </c>
      <c r="BI82" s="489">
        <f t="shared" si="488"/>
        <v>0</v>
      </c>
      <c r="BJ82" s="489">
        <f t="shared" si="488"/>
        <v>20000</v>
      </c>
      <c r="BK82" s="489">
        <f t="shared" si="488"/>
        <v>0</v>
      </c>
      <c r="BL82" s="489">
        <f t="shared" si="488"/>
        <v>0</v>
      </c>
      <c r="BM82" s="489">
        <f t="shared" si="488"/>
        <v>0</v>
      </c>
      <c r="BN82" s="489">
        <f t="shared" si="488"/>
        <v>0</v>
      </c>
      <c r="BO82" s="489">
        <f t="shared" si="447"/>
        <v>0</v>
      </c>
      <c r="BP82" s="489">
        <f t="shared" si="447"/>
        <v>0</v>
      </c>
      <c r="BQ82" s="489">
        <f t="shared" si="447"/>
        <v>0</v>
      </c>
      <c r="BR82" s="490">
        <f t="shared" si="420"/>
        <v>0</v>
      </c>
    </row>
    <row r="83" spans="1:70" s="295" customFormat="1" ht="14.45" customHeight="1">
      <c r="A83" s="482" t="s">
        <v>142</v>
      </c>
      <c r="B83" s="483"/>
      <c r="C83" s="484"/>
      <c r="D83" s="485">
        <v>40000</v>
      </c>
      <c r="E83" s="484" t="s">
        <v>275</v>
      </c>
      <c r="F83" s="487"/>
      <c r="G83" s="487"/>
      <c r="H83" s="487"/>
      <c r="I83" s="487"/>
      <c r="J83" s="487"/>
      <c r="K83" s="486"/>
      <c r="L83" s="486">
        <v>0</v>
      </c>
      <c r="M83" s="486">
        <v>0</v>
      </c>
      <c r="N83" s="486">
        <v>0</v>
      </c>
      <c r="O83" s="486">
        <v>0</v>
      </c>
      <c r="P83" s="486">
        <v>0</v>
      </c>
      <c r="Q83" s="486">
        <v>0</v>
      </c>
      <c r="R83" s="486">
        <v>0</v>
      </c>
      <c r="S83" s="486">
        <v>0</v>
      </c>
      <c r="T83" s="486">
        <v>0</v>
      </c>
      <c r="U83" s="486">
        <v>0</v>
      </c>
      <c r="V83" s="486">
        <v>0.25</v>
      </c>
      <c r="W83" s="486">
        <v>0.25</v>
      </c>
      <c r="X83" s="486">
        <v>0.5</v>
      </c>
      <c r="Y83" s="486"/>
      <c r="Z83" s="488">
        <f aca="true" t="shared" si="489" ref="Z83">SUM(F83:X83)</f>
        <v>1</v>
      </c>
      <c r="AA83" s="484"/>
      <c r="AB83" s="484"/>
      <c r="AC83" s="489">
        <f aca="true" t="shared" si="490" ref="AC83">F83*$D83</f>
        <v>0</v>
      </c>
      <c r="AD83" s="489">
        <f aca="true" t="shared" si="491" ref="AD83">G83*$D83</f>
        <v>0</v>
      </c>
      <c r="AE83" s="489">
        <f aca="true" t="shared" si="492" ref="AE83">H83*$D83</f>
        <v>0</v>
      </c>
      <c r="AF83" s="489">
        <f aca="true" t="shared" si="493" ref="AF83">I83*$D83</f>
        <v>0</v>
      </c>
      <c r="AG83" s="489">
        <f aca="true" t="shared" si="494" ref="AG83">J83*$D83</f>
        <v>0</v>
      </c>
      <c r="AH83" s="485">
        <f aca="true" t="shared" si="495" ref="AH83">K83*$D83</f>
        <v>0</v>
      </c>
      <c r="AI83" s="489">
        <f aca="true" t="shared" si="496" ref="AI83">L83*$D83</f>
        <v>0</v>
      </c>
      <c r="AJ83" s="485">
        <f aca="true" t="shared" si="497" ref="AJ83">M83*$D83</f>
        <v>0</v>
      </c>
      <c r="AK83" s="489">
        <f aca="true" t="shared" si="498" ref="AK83">N83*$D83</f>
        <v>0</v>
      </c>
      <c r="AL83" s="489">
        <f aca="true" t="shared" si="499" ref="AL83">O83*$D83</f>
        <v>0</v>
      </c>
      <c r="AM83" s="492">
        <f aca="true" t="shared" si="500" ref="AM83">P83*$D83</f>
        <v>0</v>
      </c>
      <c r="AN83" s="492">
        <f aca="true" t="shared" si="501" ref="AN83">Q83*$D83</f>
        <v>0</v>
      </c>
      <c r="AO83" s="492">
        <f aca="true" t="shared" si="502" ref="AO83">R83*$D83</f>
        <v>0</v>
      </c>
      <c r="AP83" s="489">
        <f aca="true" t="shared" si="503" ref="AP83">S83*$D83</f>
        <v>0</v>
      </c>
      <c r="AQ83" s="492">
        <f aca="true" t="shared" si="504" ref="AQ83">T83*$D83</f>
        <v>0</v>
      </c>
      <c r="AR83" s="492">
        <f aca="true" t="shared" si="505" ref="AR83">U83*$D83</f>
        <v>0</v>
      </c>
      <c r="AS83" s="492">
        <f aca="true" t="shared" si="506" ref="AS83">V83*$D83</f>
        <v>10000</v>
      </c>
      <c r="AT83" s="492">
        <f aca="true" t="shared" si="507" ref="AT83">W83*$D83</f>
        <v>10000</v>
      </c>
      <c r="AU83" s="492">
        <f aca="true" t="shared" si="508" ref="AU83">X83*$D83</f>
        <v>20000</v>
      </c>
      <c r="AV83" s="489"/>
      <c r="AW83" s="489"/>
      <c r="AX83" s="489">
        <f t="shared" si="488"/>
        <v>0</v>
      </c>
      <c r="AY83" s="489">
        <f t="shared" si="488"/>
        <v>0</v>
      </c>
      <c r="AZ83" s="489">
        <f t="shared" si="488"/>
        <v>0</v>
      </c>
      <c r="BA83" s="489">
        <f t="shared" si="488"/>
        <v>0</v>
      </c>
      <c r="BB83" s="489">
        <f t="shared" si="488"/>
        <v>0</v>
      </c>
      <c r="BC83" s="489">
        <f t="shared" si="488"/>
        <v>0</v>
      </c>
      <c r="BD83" s="489">
        <f t="shared" si="488"/>
        <v>0</v>
      </c>
      <c r="BE83" s="489">
        <f t="shared" si="488"/>
        <v>0</v>
      </c>
      <c r="BF83" s="489">
        <f t="shared" si="488"/>
        <v>0</v>
      </c>
      <c r="BG83" s="489">
        <f t="shared" si="488"/>
        <v>0</v>
      </c>
      <c r="BH83" s="489">
        <f t="shared" si="488"/>
        <v>0</v>
      </c>
      <c r="BI83" s="489">
        <f t="shared" si="488"/>
        <v>0</v>
      </c>
      <c r="BJ83" s="489">
        <f t="shared" si="488"/>
        <v>0</v>
      </c>
      <c r="BK83" s="489">
        <f t="shared" si="488"/>
        <v>0</v>
      </c>
      <c r="BL83" s="489">
        <f t="shared" si="488"/>
        <v>0</v>
      </c>
      <c r="BM83" s="489">
        <f t="shared" si="488"/>
        <v>0</v>
      </c>
      <c r="BN83" s="489">
        <f t="shared" si="488"/>
        <v>40000</v>
      </c>
      <c r="BO83" s="489">
        <f t="shared" si="447"/>
        <v>0</v>
      </c>
      <c r="BP83" s="489">
        <f t="shared" si="447"/>
        <v>0</v>
      </c>
      <c r="BQ83" s="489">
        <f t="shared" si="447"/>
        <v>0</v>
      </c>
      <c r="BR83" s="490">
        <f aca="true" t="shared" si="509" ref="BR83">SUM(AC83:AV83)-SUM(AX83:BQ83)</f>
        <v>0</v>
      </c>
    </row>
    <row r="84" spans="1:70" s="295" customFormat="1" ht="14.45" customHeight="1">
      <c r="A84" s="482" t="s">
        <v>142</v>
      </c>
      <c r="B84" s="483"/>
      <c r="C84" s="484"/>
      <c r="D84" s="485">
        <v>5000</v>
      </c>
      <c r="E84" s="484" t="s">
        <v>213</v>
      </c>
      <c r="F84" s="487"/>
      <c r="G84" s="487"/>
      <c r="H84" s="487"/>
      <c r="I84" s="487"/>
      <c r="J84" s="487"/>
      <c r="K84" s="486"/>
      <c r="L84" s="486">
        <v>0</v>
      </c>
      <c r="M84" s="486">
        <v>0</v>
      </c>
      <c r="N84" s="486">
        <v>0</v>
      </c>
      <c r="O84" s="486">
        <v>0</v>
      </c>
      <c r="P84" s="486">
        <v>0</v>
      </c>
      <c r="Q84" s="486">
        <v>0</v>
      </c>
      <c r="R84" s="486">
        <v>0</v>
      </c>
      <c r="S84" s="486">
        <v>0</v>
      </c>
      <c r="T84" s="486">
        <v>0</v>
      </c>
      <c r="U84" s="486">
        <v>0</v>
      </c>
      <c r="V84" s="486">
        <v>0</v>
      </c>
      <c r="W84" s="486">
        <v>0</v>
      </c>
      <c r="X84" s="486">
        <v>1</v>
      </c>
      <c r="Y84" s="486"/>
      <c r="Z84" s="488">
        <f t="shared" si="468"/>
        <v>1</v>
      </c>
      <c r="AA84" s="484"/>
      <c r="AB84" s="484"/>
      <c r="AC84" s="489">
        <f t="shared" si="469"/>
        <v>0</v>
      </c>
      <c r="AD84" s="489">
        <f t="shared" si="470"/>
        <v>0</v>
      </c>
      <c r="AE84" s="489">
        <f t="shared" si="471"/>
        <v>0</v>
      </c>
      <c r="AF84" s="489">
        <f t="shared" si="472"/>
        <v>0</v>
      </c>
      <c r="AG84" s="489">
        <f t="shared" si="473"/>
        <v>0</v>
      </c>
      <c r="AH84" s="485">
        <f t="shared" si="474"/>
        <v>0</v>
      </c>
      <c r="AI84" s="489">
        <f t="shared" si="475"/>
        <v>0</v>
      </c>
      <c r="AJ84" s="485">
        <f t="shared" si="476"/>
        <v>0</v>
      </c>
      <c r="AK84" s="489">
        <f t="shared" si="477"/>
        <v>0</v>
      </c>
      <c r="AL84" s="489">
        <f t="shared" si="478"/>
        <v>0</v>
      </c>
      <c r="AM84" s="492">
        <f t="shared" si="479"/>
        <v>0</v>
      </c>
      <c r="AN84" s="492">
        <f t="shared" si="480"/>
        <v>0</v>
      </c>
      <c r="AO84" s="492">
        <f t="shared" si="481"/>
        <v>0</v>
      </c>
      <c r="AP84" s="489">
        <f t="shared" si="482"/>
        <v>0</v>
      </c>
      <c r="AQ84" s="492">
        <f t="shared" si="483"/>
        <v>0</v>
      </c>
      <c r="AR84" s="492">
        <f t="shared" si="484"/>
        <v>0</v>
      </c>
      <c r="AS84" s="492">
        <f t="shared" si="485"/>
        <v>0</v>
      </c>
      <c r="AT84" s="492">
        <f t="shared" si="486"/>
        <v>0</v>
      </c>
      <c r="AU84" s="492">
        <f t="shared" si="487"/>
        <v>5000</v>
      </c>
      <c r="AV84" s="489"/>
      <c r="AW84" s="489"/>
      <c r="AX84" s="489">
        <f t="shared" si="488"/>
        <v>0</v>
      </c>
      <c r="AY84" s="489">
        <f t="shared" si="488"/>
        <v>0</v>
      </c>
      <c r="AZ84" s="489">
        <f t="shared" si="488"/>
        <v>0</v>
      </c>
      <c r="BA84" s="489">
        <f t="shared" si="488"/>
        <v>0</v>
      </c>
      <c r="BB84" s="489">
        <f t="shared" si="488"/>
        <v>0</v>
      </c>
      <c r="BC84" s="489">
        <f t="shared" si="488"/>
        <v>0</v>
      </c>
      <c r="BD84" s="489">
        <f t="shared" si="488"/>
        <v>0</v>
      </c>
      <c r="BE84" s="489">
        <f t="shared" si="488"/>
        <v>0</v>
      </c>
      <c r="BF84" s="489">
        <f t="shared" si="488"/>
        <v>0</v>
      </c>
      <c r="BG84" s="489">
        <f t="shared" si="488"/>
        <v>0</v>
      </c>
      <c r="BH84" s="489">
        <f t="shared" si="488"/>
        <v>0</v>
      </c>
      <c r="BI84" s="489">
        <f t="shared" si="488"/>
        <v>0</v>
      </c>
      <c r="BJ84" s="489">
        <f t="shared" si="488"/>
        <v>0</v>
      </c>
      <c r="BK84" s="489">
        <f t="shared" si="488"/>
        <v>0</v>
      </c>
      <c r="BL84" s="489">
        <f t="shared" si="488"/>
        <v>5000</v>
      </c>
      <c r="BM84" s="489">
        <f t="shared" si="488"/>
        <v>0</v>
      </c>
      <c r="BN84" s="489">
        <f t="shared" si="488"/>
        <v>0</v>
      </c>
      <c r="BO84" s="489">
        <f t="shared" si="447"/>
        <v>0</v>
      </c>
      <c r="BP84" s="489">
        <f t="shared" si="447"/>
        <v>0</v>
      </c>
      <c r="BQ84" s="489">
        <f t="shared" si="447"/>
        <v>0</v>
      </c>
      <c r="BR84" s="490">
        <f t="shared" si="420"/>
        <v>0</v>
      </c>
    </row>
    <row r="85" spans="1:70" s="295" customFormat="1" ht="14.45" customHeight="1">
      <c r="A85" s="482" t="s">
        <v>142</v>
      </c>
      <c r="B85" s="483"/>
      <c r="C85" s="484"/>
      <c r="D85" s="485">
        <v>14000</v>
      </c>
      <c r="E85" s="484" t="s">
        <v>263</v>
      </c>
      <c r="F85" s="487"/>
      <c r="G85" s="487"/>
      <c r="H85" s="487"/>
      <c r="I85" s="487"/>
      <c r="J85" s="487"/>
      <c r="K85" s="486"/>
      <c r="L85" s="486">
        <v>0</v>
      </c>
      <c r="M85" s="486">
        <v>0</v>
      </c>
      <c r="N85" s="486">
        <v>0</v>
      </c>
      <c r="O85" s="486">
        <v>0</v>
      </c>
      <c r="P85" s="486">
        <v>0</v>
      </c>
      <c r="Q85" s="486">
        <v>0</v>
      </c>
      <c r="R85" s="486">
        <v>1</v>
      </c>
      <c r="S85" s="486">
        <v>0</v>
      </c>
      <c r="T85" s="486">
        <v>0</v>
      </c>
      <c r="U85" s="486"/>
      <c r="V85" s="486"/>
      <c r="W85" s="486"/>
      <c r="X85" s="486"/>
      <c r="Y85" s="486"/>
      <c r="Z85" s="488">
        <f aca="true" t="shared" si="510" ref="Z85">SUM(F85:X85)</f>
        <v>1</v>
      </c>
      <c r="AA85" s="484"/>
      <c r="AB85" s="484"/>
      <c r="AC85" s="489">
        <f aca="true" t="shared" si="511" ref="AC85">F85*$D85</f>
        <v>0</v>
      </c>
      <c r="AD85" s="489">
        <f aca="true" t="shared" si="512" ref="AD85">G85*$D85</f>
        <v>0</v>
      </c>
      <c r="AE85" s="489">
        <f aca="true" t="shared" si="513" ref="AE85">H85*$D85</f>
        <v>0</v>
      </c>
      <c r="AF85" s="489">
        <f aca="true" t="shared" si="514" ref="AF85">I85*$D85</f>
        <v>0</v>
      </c>
      <c r="AG85" s="489">
        <f aca="true" t="shared" si="515" ref="AG85">J85*$D85</f>
        <v>0</v>
      </c>
      <c r="AH85" s="485">
        <f aca="true" t="shared" si="516" ref="AH85">K85*$D85</f>
        <v>0</v>
      </c>
      <c r="AI85" s="489">
        <f aca="true" t="shared" si="517" ref="AI85">L85*$D85</f>
        <v>0</v>
      </c>
      <c r="AJ85" s="485">
        <f aca="true" t="shared" si="518" ref="AJ85">M85*$D85</f>
        <v>0</v>
      </c>
      <c r="AK85" s="489">
        <f aca="true" t="shared" si="519" ref="AK85">N85*$D85</f>
        <v>0</v>
      </c>
      <c r="AL85" s="489">
        <f aca="true" t="shared" si="520" ref="AL85">O85*$D85</f>
        <v>0</v>
      </c>
      <c r="AM85" s="492">
        <f aca="true" t="shared" si="521" ref="AM85">P85*$D85</f>
        <v>0</v>
      </c>
      <c r="AN85" s="492">
        <f aca="true" t="shared" si="522" ref="AN85">Q85*$D85</f>
        <v>0</v>
      </c>
      <c r="AO85" s="492">
        <f aca="true" t="shared" si="523" ref="AO85">R85*$D85</f>
        <v>14000</v>
      </c>
      <c r="AP85" s="489">
        <f aca="true" t="shared" si="524" ref="AP85">S85*$D85</f>
        <v>0</v>
      </c>
      <c r="AQ85" s="492">
        <f aca="true" t="shared" si="525" ref="AQ85">T85*$D85</f>
        <v>0</v>
      </c>
      <c r="AR85" s="492">
        <f aca="true" t="shared" si="526" ref="AR85">U85*$D85</f>
        <v>0</v>
      </c>
      <c r="AS85" s="492">
        <f aca="true" t="shared" si="527" ref="AS85">V85*$D85</f>
        <v>0</v>
      </c>
      <c r="AT85" s="492">
        <f aca="true" t="shared" si="528" ref="AT85">W85*$D85</f>
        <v>0</v>
      </c>
      <c r="AU85" s="492">
        <f aca="true" t="shared" si="529" ref="AU85">X85*$D85</f>
        <v>0</v>
      </c>
      <c r="AV85" s="489"/>
      <c r="AW85" s="489"/>
      <c r="AX85" s="489">
        <f t="shared" si="488"/>
        <v>0</v>
      </c>
      <c r="AY85" s="489">
        <f t="shared" si="488"/>
        <v>0</v>
      </c>
      <c r="AZ85" s="489">
        <f t="shared" si="488"/>
        <v>0</v>
      </c>
      <c r="BA85" s="489">
        <f t="shared" si="488"/>
        <v>0</v>
      </c>
      <c r="BB85" s="489">
        <f t="shared" si="488"/>
        <v>0</v>
      </c>
      <c r="BC85" s="489">
        <f t="shared" si="488"/>
        <v>0</v>
      </c>
      <c r="BD85" s="489">
        <f t="shared" si="488"/>
        <v>0</v>
      </c>
      <c r="BE85" s="489">
        <f t="shared" si="488"/>
        <v>0</v>
      </c>
      <c r="BF85" s="489">
        <f t="shared" si="488"/>
        <v>0</v>
      </c>
      <c r="BG85" s="489">
        <f t="shared" si="488"/>
        <v>0</v>
      </c>
      <c r="BH85" s="489">
        <f t="shared" si="488"/>
        <v>0</v>
      </c>
      <c r="BI85" s="489">
        <f t="shared" si="488"/>
        <v>0</v>
      </c>
      <c r="BJ85" s="489">
        <f t="shared" si="488"/>
        <v>14000</v>
      </c>
      <c r="BK85" s="489">
        <f t="shared" si="488"/>
        <v>0</v>
      </c>
      <c r="BL85" s="489">
        <f t="shared" si="488"/>
        <v>0</v>
      </c>
      <c r="BM85" s="489">
        <f t="shared" si="488"/>
        <v>0</v>
      </c>
      <c r="BN85" s="489">
        <f t="shared" si="488"/>
        <v>0</v>
      </c>
      <c r="BO85" s="489">
        <f t="shared" si="447"/>
        <v>0</v>
      </c>
      <c r="BP85" s="489">
        <f t="shared" si="447"/>
        <v>0</v>
      </c>
      <c r="BQ85" s="489">
        <f t="shared" si="447"/>
        <v>0</v>
      </c>
      <c r="BR85" s="490">
        <f t="shared" si="420"/>
        <v>0</v>
      </c>
    </row>
    <row r="86" spans="1:70" s="295" customFormat="1" ht="14.45" customHeight="1">
      <c r="A86" s="482" t="s">
        <v>142</v>
      </c>
      <c r="B86" s="483"/>
      <c r="C86" s="484"/>
      <c r="D86" s="485">
        <v>80000</v>
      </c>
      <c r="E86" s="484" t="s">
        <v>213</v>
      </c>
      <c r="F86" s="487"/>
      <c r="G86" s="487"/>
      <c r="H86" s="487"/>
      <c r="I86" s="487"/>
      <c r="J86" s="487"/>
      <c r="K86" s="486"/>
      <c r="L86" s="486">
        <v>0</v>
      </c>
      <c r="M86" s="486">
        <v>0</v>
      </c>
      <c r="N86" s="486">
        <v>0</v>
      </c>
      <c r="O86" s="486">
        <v>0</v>
      </c>
      <c r="P86" s="486">
        <v>0</v>
      </c>
      <c r="Q86" s="486">
        <v>0</v>
      </c>
      <c r="R86" s="486">
        <v>0</v>
      </c>
      <c r="S86" s="486">
        <v>0</v>
      </c>
      <c r="T86" s="486">
        <v>0.5</v>
      </c>
      <c r="U86" s="486">
        <v>0.5</v>
      </c>
      <c r="V86" s="486"/>
      <c r="W86" s="486"/>
      <c r="X86" s="486"/>
      <c r="Y86" s="486"/>
      <c r="Z86" s="488">
        <f t="shared" si="21"/>
        <v>1</v>
      </c>
      <c r="AA86" s="484"/>
      <c r="AB86" s="484"/>
      <c r="AC86" s="489">
        <f aca="true" t="shared" si="530" ref="AC86">F86*$D86</f>
        <v>0</v>
      </c>
      <c r="AD86" s="489">
        <f aca="true" t="shared" si="531" ref="AD86">G86*$D86</f>
        <v>0</v>
      </c>
      <c r="AE86" s="489">
        <f aca="true" t="shared" si="532" ref="AE86">H86*$D86</f>
        <v>0</v>
      </c>
      <c r="AF86" s="489">
        <f aca="true" t="shared" si="533" ref="AF86">I86*$D86</f>
        <v>0</v>
      </c>
      <c r="AG86" s="489">
        <f aca="true" t="shared" si="534" ref="AG86">J86*$D86</f>
        <v>0</v>
      </c>
      <c r="AH86" s="485">
        <f aca="true" t="shared" si="535" ref="AH86">K86*$D86</f>
        <v>0</v>
      </c>
      <c r="AI86" s="489">
        <f aca="true" t="shared" si="536" ref="AI86">L86*$D86</f>
        <v>0</v>
      </c>
      <c r="AJ86" s="485">
        <f aca="true" t="shared" si="537" ref="AJ86">M86*$D86</f>
        <v>0</v>
      </c>
      <c r="AK86" s="489">
        <f aca="true" t="shared" si="538" ref="AK86">N86*$D86</f>
        <v>0</v>
      </c>
      <c r="AL86" s="489">
        <f aca="true" t="shared" si="539" ref="AL86">O86*$D86</f>
        <v>0</v>
      </c>
      <c r="AM86" s="485">
        <f aca="true" t="shared" si="540" ref="AM86">P86*$D86</f>
        <v>0</v>
      </c>
      <c r="AN86" s="492">
        <f aca="true" t="shared" si="541" ref="AN86">Q86*$D86</f>
        <v>0</v>
      </c>
      <c r="AO86" s="492">
        <f aca="true" t="shared" si="542" ref="AO86">R86*$D86</f>
        <v>0</v>
      </c>
      <c r="AP86" s="489">
        <f aca="true" t="shared" si="543" ref="AP86">S86*$D86</f>
        <v>0</v>
      </c>
      <c r="AQ86" s="492">
        <f aca="true" t="shared" si="544" ref="AQ86">T86*$D86</f>
        <v>40000</v>
      </c>
      <c r="AR86" s="492">
        <f aca="true" t="shared" si="545" ref="AR86">U86*$D86</f>
        <v>40000</v>
      </c>
      <c r="AS86" s="492">
        <f aca="true" t="shared" si="546" ref="AS86">V86*$D86</f>
        <v>0</v>
      </c>
      <c r="AT86" s="492">
        <f aca="true" t="shared" si="547" ref="AT86">W86*$D86</f>
        <v>0</v>
      </c>
      <c r="AU86" s="492">
        <f aca="true" t="shared" si="548" ref="AU86">X86*$D86</f>
        <v>0</v>
      </c>
      <c r="AV86" s="489"/>
      <c r="AW86" s="489"/>
      <c r="AX86" s="489">
        <f t="shared" si="488"/>
        <v>0</v>
      </c>
      <c r="AY86" s="489">
        <f t="shared" si="488"/>
        <v>0</v>
      </c>
      <c r="AZ86" s="489">
        <f t="shared" si="488"/>
        <v>0</v>
      </c>
      <c r="BA86" s="489">
        <f t="shared" si="488"/>
        <v>0</v>
      </c>
      <c r="BB86" s="489">
        <f t="shared" si="488"/>
        <v>0</v>
      </c>
      <c r="BC86" s="489">
        <f t="shared" si="488"/>
        <v>0</v>
      </c>
      <c r="BD86" s="489">
        <f t="shared" si="488"/>
        <v>0</v>
      </c>
      <c r="BE86" s="489">
        <f t="shared" si="488"/>
        <v>0</v>
      </c>
      <c r="BF86" s="489">
        <f t="shared" si="488"/>
        <v>0</v>
      </c>
      <c r="BG86" s="489">
        <f t="shared" si="488"/>
        <v>0</v>
      </c>
      <c r="BH86" s="489">
        <f t="shared" si="488"/>
        <v>0</v>
      </c>
      <c r="BI86" s="489">
        <f t="shared" si="488"/>
        <v>0</v>
      </c>
      <c r="BJ86" s="489">
        <f t="shared" si="488"/>
        <v>0</v>
      </c>
      <c r="BK86" s="489">
        <f t="shared" si="488"/>
        <v>0</v>
      </c>
      <c r="BL86" s="489">
        <f t="shared" si="488"/>
        <v>80000</v>
      </c>
      <c r="BM86" s="489">
        <f t="shared" si="488"/>
        <v>0</v>
      </c>
      <c r="BN86" s="489">
        <f t="shared" si="447"/>
        <v>0</v>
      </c>
      <c r="BO86" s="489">
        <f t="shared" si="447"/>
        <v>0</v>
      </c>
      <c r="BP86" s="489">
        <f t="shared" si="447"/>
        <v>0</v>
      </c>
      <c r="BQ86" s="489">
        <f t="shared" si="447"/>
        <v>0</v>
      </c>
      <c r="BR86" s="490">
        <f t="shared" si="420"/>
        <v>0</v>
      </c>
    </row>
    <row r="87" spans="1:70" s="295" customFormat="1" ht="14.45" customHeight="1">
      <c r="A87" s="482" t="s">
        <v>142</v>
      </c>
      <c r="B87" s="483"/>
      <c r="C87" s="484"/>
      <c r="D87" s="485">
        <v>250000</v>
      </c>
      <c r="E87" s="484" t="s">
        <v>213</v>
      </c>
      <c r="F87" s="487"/>
      <c r="G87" s="487"/>
      <c r="H87" s="487"/>
      <c r="I87" s="487"/>
      <c r="J87" s="487"/>
      <c r="K87" s="486"/>
      <c r="L87" s="486">
        <v>0</v>
      </c>
      <c r="M87" s="486">
        <v>0</v>
      </c>
      <c r="N87" s="486">
        <v>0</v>
      </c>
      <c r="O87" s="486">
        <v>0</v>
      </c>
      <c r="P87" s="486">
        <v>0</v>
      </c>
      <c r="Q87" s="486">
        <v>0</v>
      </c>
      <c r="R87" s="486">
        <v>0</v>
      </c>
      <c r="S87" s="486">
        <v>0</v>
      </c>
      <c r="T87" s="486">
        <v>0</v>
      </c>
      <c r="U87" s="486">
        <v>0.4</v>
      </c>
      <c r="V87" s="486">
        <v>0.6</v>
      </c>
      <c r="W87" s="486"/>
      <c r="X87" s="486"/>
      <c r="Y87" s="486"/>
      <c r="Z87" s="488">
        <f aca="true" t="shared" si="549" ref="Z87:Z98">SUM(F87:X87)</f>
        <v>1</v>
      </c>
      <c r="AA87" s="484"/>
      <c r="AB87" s="484"/>
      <c r="AC87" s="489">
        <f aca="true" t="shared" si="550" ref="AC87:AC98">F87*$D87</f>
        <v>0</v>
      </c>
      <c r="AD87" s="489">
        <f aca="true" t="shared" si="551" ref="AD87:AD98">G87*$D87</f>
        <v>0</v>
      </c>
      <c r="AE87" s="489">
        <f aca="true" t="shared" si="552" ref="AE87:AE98">H87*$D87</f>
        <v>0</v>
      </c>
      <c r="AF87" s="489">
        <f aca="true" t="shared" si="553" ref="AF87:AF98">I87*$D87</f>
        <v>0</v>
      </c>
      <c r="AG87" s="489">
        <f aca="true" t="shared" si="554" ref="AG87:AG98">J87*$D87</f>
        <v>0</v>
      </c>
      <c r="AH87" s="485">
        <f aca="true" t="shared" si="555" ref="AH87:AH98">K87*$D87</f>
        <v>0</v>
      </c>
      <c r="AI87" s="489">
        <f aca="true" t="shared" si="556" ref="AI87:AI98">L87*$D87</f>
        <v>0</v>
      </c>
      <c r="AJ87" s="485">
        <f aca="true" t="shared" si="557" ref="AJ87:AJ98">M87*$D87</f>
        <v>0</v>
      </c>
      <c r="AK87" s="489">
        <f aca="true" t="shared" si="558" ref="AK87:AK98">N87*$D87</f>
        <v>0</v>
      </c>
      <c r="AL87" s="489">
        <f aca="true" t="shared" si="559" ref="AL87:AL98">O87*$D87</f>
        <v>0</v>
      </c>
      <c r="AM87" s="485">
        <f aca="true" t="shared" si="560" ref="AM87:AM98">P87*$D87</f>
        <v>0</v>
      </c>
      <c r="AN87" s="492">
        <f aca="true" t="shared" si="561" ref="AN87:AN98">Q87*$D87</f>
        <v>0</v>
      </c>
      <c r="AO87" s="492">
        <f aca="true" t="shared" si="562" ref="AO87:AO98">R87*$D87</f>
        <v>0</v>
      </c>
      <c r="AP87" s="489">
        <f aca="true" t="shared" si="563" ref="AP87:AP98">S87*$D87</f>
        <v>0</v>
      </c>
      <c r="AQ87" s="492">
        <f aca="true" t="shared" si="564" ref="AQ87:AQ98">T87*$D87</f>
        <v>0</v>
      </c>
      <c r="AR87" s="492">
        <f aca="true" t="shared" si="565" ref="AR87:AR98">U87*$D87</f>
        <v>100000</v>
      </c>
      <c r="AS87" s="492">
        <f aca="true" t="shared" si="566" ref="AS87:AS98">V87*$D87</f>
        <v>150000</v>
      </c>
      <c r="AT87" s="492">
        <f aca="true" t="shared" si="567" ref="AT87:AT98">W87*$D87</f>
        <v>0</v>
      </c>
      <c r="AU87" s="492">
        <f aca="true" t="shared" si="568" ref="AU87:AU98">X87*$D87</f>
        <v>0</v>
      </c>
      <c r="AV87" s="489"/>
      <c r="AW87" s="489"/>
      <c r="AX87" s="489">
        <f t="shared" si="488"/>
        <v>0</v>
      </c>
      <c r="AY87" s="489">
        <f t="shared" si="488"/>
        <v>0</v>
      </c>
      <c r="AZ87" s="489">
        <f t="shared" si="488"/>
        <v>0</v>
      </c>
      <c r="BA87" s="489">
        <f t="shared" si="488"/>
        <v>0</v>
      </c>
      <c r="BB87" s="489">
        <f t="shared" si="488"/>
        <v>0</v>
      </c>
      <c r="BC87" s="489">
        <f t="shared" si="488"/>
        <v>0</v>
      </c>
      <c r="BD87" s="489">
        <f t="shared" si="488"/>
        <v>0</v>
      </c>
      <c r="BE87" s="489">
        <f t="shared" si="488"/>
        <v>0</v>
      </c>
      <c r="BF87" s="489">
        <f t="shared" si="488"/>
        <v>0</v>
      </c>
      <c r="BG87" s="489">
        <f t="shared" si="488"/>
        <v>0</v>
      </c>
      <c r="BH87" s="489">
        <f t="shared" si="488"/>
        <v>0</v>
      </c>
      <c r="BI87" s="489">
        <f t="shared" si="488"/>
        <v>0</v>
      </c>
      <c r="BJ87" s="489">
        <f t="shared" si="488"/>
        <v>0</v>
      </c>
      <c r="BK87" s="489">
        <f t="shared" si="488"/>
        <v>0</v>
      </c>
      <c r="BL87" s="489">
        <f t="shared" si="488"/>
        <v>250000</v>
      </c>
      <c r="BM87" s="489">
        <f t="shared" si="488"/>
        <v>0</v>
      </c>
      <c r="BN87" s="489">
        <f t="shared" si="447"/>
        <v>0</v>
      </c>
      <c r="BO87" s="489">
        <f t="shared" si="447"/>
        <v>0</v>
      </c>
      <c r="BP87" s="489">
        <f t="shared" si="447"/>
        <v>0</v>
      </c>
      <c r="BQ87" s="489">
        <f t="shared" si="447"/>
        <v>0</v>
      </c>
      <c r="BR87" s="490">
        <f t="shared" si="420"/>
        <v>0</v>
      </c>
    </row>
    <row r="88" spans="1:70" s="295" customFormat="1" ht="14.45" customHeight="1">
      <c r="A88" s="482" t="s">
        <v>142</v>
      </c>
      <c r="B88" s="483"/>
      <c r="C88" s="484"/>
      <c r="D88" s="485">
        <v>30000</v>
      </c>
      <c r="E88" s="484" t="s">
        <v>281</v>
      </c>
      <c r="F88" s="487"/>
      <c r="G88" s="487"/>
      <c r="H88" s="487"/>
      <c r="I88" s="487"/>
      <c r="J88" s="487"/>
      <c r="K88" s="486"/>
      <c r="L88" s="486">
        <v>0</v>
      </c>
      <c r="M88" s="486">
        <v>0</v>
      </c>
      <c r="N88" s="486">
        <v>0</v>
      </c>
      <c r="O88" s="486">
        <v>0</v>
      </c>
      <c r="P88" s="486">
        <v>0</v>
      </c>
      <c r="Q88" s="486">
        <v>0</v>
      </c>
      <c r="R88" s="486">
        <v>0</v>
      </c>
      <c r="S88" s="486">
        <v>0</v>
      </c>
      <c r="T88" s="486">
        <v>0</v>
      </c>
      <c r="U88" s="486"/>
      <c r="V88" s="486"/>
      <c r="W88" s="486"/>
      <c r="X88" s="486">
        <v>1</v>
      </c>
      <c r="Y88" s="486">
        <v>0</v>
      </c>
      <c r="Z88" s="488">
        <f>SUM(F88:Y88)</f>
        <v>1</v>
      </c>
      <c r="AA88" s="484"/>
      <c r="AB88" s="484"/>
      <c r="AC88" s="489">
        <f aca="true" t="shared" si="569" ref="AC88">F88*$D88</f>
        <v>0</v>
      </c>
      <c r="AD88" s="489">
        <f aca="true" t="shared" si="570" ref="AD88">G88*$D88</f>
        <v>0</v>
      </c>
      <c r="AE88" s="489">
        <f aca="true" t="shared" si="571" ref="AE88">H88*$D88</f>
        <v>0</v>
      </c>
      <c r="AF88" s="489">
        <f aca="true" t="shared" si="572" ref="AF88">I88*$D88</f>
        <v>0</v>
      </c>
      <c r="AG88" s="489">
        <f aca="true" t="shared" si="573" ref="AG88">J88*$D88</f>
        <v>0</v>
      </c>
      <c r="AH88" s="485">
        <f aca="true" t="shared" si="574" ref="AH88">K88*$D88</f>
        <v>0</v>
      </c>
      <c r="AI88" s="489">
        <f aca="true" t="shared" si="575" ref="AI88">L88*$D88</f>
        <v>0</v>
      </c>
      <c r="AJ88" s="485">
        <f aca="true" t="shared" si="576" ref="AJ88">M88*$D88</f>
        <v>0</v>
      </c>
      <c r="AK88" s="489">
        <f aca="true" t="shared" si="577" ref="AK88">N88*$D88</f>
        <v>0</v>
      </c>
      <c r="AL88" s="489">
        <f aca="true" t="shared" si="578" ref="AL88">O88*$D88</f>
        <v>0</v>
      </c>
      <c r="AM88" s="485">
        <f aca="true" t="shared" si="579" ref="AM88">P88*$D88</f>
        <v>0</v>
      </c>
      <c r="AN88" s="492">
        <f aca="true" t="shared" si="580" ref="AN88">Q88*$D88</f>
        <v>0</v>
      </c>
      <c r="AO88" s="492">
        <f aca="true" t="shared" si="581" ref="AO88">R88*$D88</f>
        <v>0</v>
      </c>
      <c r="AP88" s="489">
        <f aca="true" t="shared" si="582" ref="AP88">S88*$D88</f>
        <v>0</v>
      </c>
      <c r="AQ88" s="492">
        <f aca="true" t="shared" si="583" ref="AQ88">T88*$D88</f>
        <v>0</v>
      </c>
      <c r="AR88" s="492">
        <f aca="true" t="shared" si="584" ref="AR88">U88*$D88</f>
        <v>0</v>
      </c>
      <c r="AS88" s="492">
        <f aca="true" t="shared" si="585" ref="AS88">V88*$D88</f>
        <v>0</v>
      </c>
      <c r="AT88" s="492">
        <f aca="true" t="shared" si="586" ref="AT88">W88*$D88</f>
        <v>0</v>
      </c>
      <c r="AU88" s="492">
        <f aca="true" t="shared" si="587" ref="AU88">X88*$D88</f>
        <v>30000</v>
      </c>
      <c r="AV88" s="489"/>
      <c r="AW88" s="489"/>
      <c r="AX88" s="489">
        <f t="shared" si="488"/>
        <v>0</v>
      </c>
      <c r="AY88" s="489">
        <f t="shared" si="488"/>
        <v>0</v>
      </c>
      <c r="AZ88" s="489">
        <f t="shared" si="488"/>
        <v>0</v>
      </c>
      <c r="BA88" s="489">
        <f t="shared" si="488"/>
        <v>0</v>
      </c>
      <c r="BB88" s="489">
        <f t="shared" si="488"/>
        <v>0</v>
      </c>
      <c r="BC88" s="489">
        <f t="shared" si="488"/>
        <v>0</v>
      </c>
      <c r="BD88" s="489">
        <f t="shared" si="488"/>
        <v>0</v>
      </c>
      <c r="BE88" s="489">
        <f t="shared" si="488"/>
        <v>0</v>
      </c>
      <c r="BF88" s="489">
        <f t="shared" si="488"/>
        <v>0</v>
      </c>
      <c r="BG88" s="489">
        <f t="shared" si="488"/>
        <v>0</v>
      </c>
      <c r="BH88" s="489">
        <f aca="true" t="shared" si="588" ref="BH88:BM88">IF(BH$3=$E88,$D88,0)</f>
        <v>0</v>
      </c>
      <c r="BI88" s="489">
        <f t="shared" si="588"/>
        <v>0</v>
      </c>
      <c r="BJ88" s="489">
        <f t="shared" si="588"/>
        <v>0</v>
      </c>
      <c r="BK88" s="489">
        <f t="shared" si="588"/>
        <v>0</v>
      </c>
      <c r="BL88" s="489">
        <f t="shared" si="588"/>
        <v>0</v>
      </c>
      <c r="BM88" s="489">
        <f t="shared" si="588"/>
        <v>0</v>
      </c>
      <c r="BN88" s="489">
        <f t="shared" si="447"/>
        <v>0</v>
      </c>
      <c r="BO88" s="489">
        <f t="shared" si="447"/>
        <v>0</v>
      </c>
      <c r="BP88" s="489">
        <f t="shared" si="447"/>
        <v>30000</v>
      </c>
      <c r="BQ88" s="489">
        <f t="shared" si="447"/>
        <v>0</v>
      </c>
      <c r="BR88" s="490">
        <f aca="true" t="shared" si="589" ref="BR88">SUM(AC88:AV88)-SUM(AX88:BQ88)</f>
        <v>0</v>
      </c>
    </row>
    <row r="89" spans="1:70" s="295" customFormat="1" ht="14.45" customHeight="1">
      <c r="A89" s="482" t="s">
        <v>142</v>
      </c>
      <c r="B89" s="483"/>
      <c r="C89" s="484"/>
      <c r="D89" s="485">
        <v>100000</v>
      </c>
      <c r="E89" s="484" t="s">
        <v>275</v>
      </c>
      <c r="F89" s="487"/>
      <c r="G89" s="487"/>
      <c r="H89" s="487"/>
      <c r="I89" s="487"/>
      <c r="J89" s="487"/>
      <c r="K89" s="486"/>
      <c r="L89" s="486">
        <v>0</v>
      </c>
      <c r="M89" s="486">
        <v>0</v>
      </c>
      <c r="N89" s="486">
        <v>0</v>
      </c>
      <c r="O89" s="486">
        <v>0</v>
      </c>
      <c r="P89" s="486">
        <v>0</v>
      </c>
      <c r="Q89" s="486">
        <v>0</v>
      </c>
      <c r="R89" s="486">
        <v>0</v>
      </c>
      <c r="S89" s="486">
        <v>0</v>
      </c>
      <c r="T89" s="486">
        <v>0.6</v>
      </c>
      <c r="U89" s="486">
        <v>0.4</v>
      </c>
      <c r="V89" s="486"/>
      <c r="W89" s="486"/>
      <c r="X89" s="486"/>
      <c r="Y89" s="486"/>
      <c r="Z89" s="488">
        <f t="shared" si="549"/>
        <v>1</v>
      </c>
      <c r="AA89" s="484"/>
      <c r="AB89" s="484"/>
      <c r="AC89" s="489">
        <f t="shared" si="550"/>
        <v>0</v>
      </c>
      <c r="AD89" s="489">
        <f t="shared" si="551"/>
        <v>0</v>
      </c>
      <c r="AE89" s="489">
        <f t="shared" si="552"/>
        <v>0</v>
      </c>
      <c r="AF89" s="489">
        <f t="shared" si="553"/>
        <v>0</v>
      </c>
      <c r="AG89" s="489">
        <f t="shared" si="554"/>
        <v>0</v>
      </c>
      <c r="AH89" s="485">
        <f t="shared" si="555"/>
        <v>0</v>
      </c>
      <c r="AI89" s="489">
        <f t="shared" si="556"/>
        <v>0</v>
      </c>
      <c r="AJ89" s="485">
        <f t="shared" si="557"/>
        <v>0</v>
      </c>
      <c r="AK89" s="489">
        <f t="shared" si="558"/>
        <v>0</v>
      </c>
      <c r="AL89" s="489">
        <f t="shared" si="559"/>
        <v>0</v>
      </c>
      <c r="AM89" s="485">
        <f t="shared" si="560"/>
        <v>0</v>
      </c>
      <c r="AN89" s="492">
        <f t="shared" si="561"/>
        <v>0</v>
      </c>
      <c r="AO89" s="492">
        <f t="shared" si="562"/>
        <v>0</v>
      </c>
      <c r="AP89" s="489">
        <f t="shared" si="563"/>
        <v>0</v>
      </c>
      <c r="AQ89" s="492">
        <f t="shared" si="564"/>
        <v>60000</v>
      </c>
      <c r="AR89" s="492">
        <f t="shared" si="565"/>
        <v>40000</v>
      </c>
      <c r="AS89" s="492">
        <f t="shared" si="566"/>
        <v>0</v>
      </c>
      <c r="AT89" s="492">
        <f t="shared" si="567"/>
        <v>0</v>
      </c>
      <c r="AU89" s="492">
        <f t="shared" si="568"/>
        <v>0</v>
      </c>
      <c r="AV89" s="489"/>
      <c r="AW89" s="489"/>
      <c r="AX89" s="489">
        <f t="shared" si="488"/>
        <v>0</v>
      </c>
      <c r="AY89" s="489">
        <f t="shared" si="488"/>
        <v>0</v>
      </c>
      <c r="AZ89" s="489">
        <f t="shared" si="488"/>
        <v>0</v>
      </c>
      <c r="BA89" s="489">
        <f t="shared" si="488"/>
        <v>0</v>
      </c>
      <c r="BB89" s="489">
        <f t="shared" si="488"/>
        <v>0</v>
      </c>
      <c r="BC89" s="489">
        <f t="shared" si="488"/>
        <v>0</v>
      </c>
      <c r="BD89" s="489">
        <f t="shared" si="488"/>
        <v>0</v>
      </c>
      <c r="BE89" s="489">
        <f t="shared" si="488"/>
        <v>0</v>
      </c>
      <c r="BF89" s="489">
        <f t="shared" si="488"/>
        <v>0</v>
      </c>
      <c r="BG89" s="489">
        <f t="shared" si="488"/>
        <v>0</v>
      </c>
      <c r="BH89" s="489">
        <f t="shared" si="488"/>
        <v>0</v>
      </c>
      <c r="BI89" s="489">
        <f t="shared" si="488"/>
        <v>0</v>
      </c>
      <c r="BJ89" s="489">
        <f t="shared" si="488"/>
        <v>0</v>
      </c>
      <c r="BK89" s="489">
        <f t="shared" si="488"/>
        <v>0</v>
      </c>
      <c r="BL89" s="489">
        <f t="shared" si="488"/>
        <v>0</v>
      </c>
      <c r="BM89" s="489">
        <f t="shared" si="488"/>
        <v>0</v>
      </c>
      <c r="BN89" s="489">
        <f t="shared" si="447"/>
        <v>100000</v>
      </c>
      <c r="BO89" s="489">
        <f t="shared" si="447"/>
        <v>0</v>
      </c>
      <c r="BP89" s="489">
        <f t="shared" si="447"/>
        <v>0</v>
      </c>
      <c r="BQ89" s="489">
        <f t="shared" si="447"/>
        <v>0</v>
      </c>
      <c r="BR89" s="490">
        <f t="shared" si="420"/>
        <v>0</v>
      </c>
    </row>
    <row r="90" spans="1:70" s="295" customFormat="1" ht="14.25" customHeight="1">
      <c r="A90" s="482" t="s">
        <v>142</v>
      </c>
      <c r="B90" s="483"/>
      <c r="C90" s="484"/>
      <c r="D90" s="485">
        <v>214.45</v>
      </c>
      <c r="E90" s="484" t="s">
        <v>233</v>
      </c>
      <c r="F90" s="487"/>
      <c r="G90" s="487"/>
      <c r="H90" s="487"/>
      <c r="I90" s="487"/>
      <c r="J90" s="487"/>
      <c r="K90" s="486"/>
      <c r="L90" s="486">
        <v>0</v>
      </c>
      <c r="M90" s="486">
        <v>0</v>
      </c>
      <c r="N90" s="486">
        <v>0</v>
      </c>
      <c r="O90" s="486">
        <v>0</v>
      </c>
      <c r="P90" s="486">
        <v>0</v>
      </c>
      <c r="Q90" s="486">
        <v>1</v>
      </c>
      <c r="R90" s="486">
        <v>0</v>
      </c>
      <c r="S90" s="486">
        <v>0</v>
      </c>
      <c r="T90" s="486">
        <v>0</v>
      </c>
      <c r="U90" s="486"/>
      <c r="V90" s="486"/>
      <c r="W90" s="486"/>
      <c r="X90" s="486"/>
      <c r="Y90" s="486"/>
      <c r="Z90" s="488">
        <f aca="true" t="shared" si="590" ref="Z90:Z97">SUM(F90:X90)</f>
        <v>1</v>
      </c>
      <c r="AA90" s="484"/>
      <c r="AB90" s="484"/>
      <c r="AC90" s="489">
        <f aca="true" t="shared" si="591" ref="AC90:AC97">F90*$D90</f>
        <v>0</v>
      </c>
      <c r="AD90" s="489">
        <f aca="true" t="shared" si="592" ref="AD90:AD97">G90*$D90</f>
        <v>0</v>
      </c>
      <c r="AE90" s="489">
        <f aca="true" t="shared" si="593" ref="AE90:AE97">H90*$D90</f>
        <v>0</v>
      </c>
      <c r="AF90" s="489">
        <f aca="true" t="shared" si="594" ref="AF90:AF97">I90*$D90</f>
        <v>0</v>
      </c>
      <c r="AG90" s="489">
        <f aca="true" t="shared" si="595" ref="AG90:AG97">J90*$D90</f>
        <v>0</v>
      </c>
      <c r="AH90" s="485">
        <f aca="true" t="shared" si="596" ref="AH90:AH97">K90*$D90</f>
        <v>0</v>
      </c>
      <c r="AI90" s="489">
        <f aca="true" t="shared" si="597" ref="AI90:AI97">L90*$D90</f>
        <v>0</v>
      </c>
      <c r="AJ90" s="485">
        <f aca="true" t="shared" si="598" ref="AJ90:AJ97">M90*$D90</f>
        <v>0</v>
      </c>
      <c r="AK90" s="489">
        <f aca="true" t="shared" si="599" ref="AK90:AK97">N90*$D90</f>
        <v>0</v>
      </c>
      <c r="AL90" s="489">
        <f aca="true" t="shared" si="600" ref="AL90:AL97">O90*$D90</f>
        <v>0</v>
      </c>
      <c r="AM90" s="485">
        <f aca="true" t="shared" si="601" ref="AM90:AM97">P90*$D90</f>
        <v>0</v>
      </c>
      <c r="AN90" s="492">
        <f aca="true" t="shared" si="602" ref="AN90:AN97">Q90*$D90</f>
        <v>214.45</v>
      </c>
      <c r="AO90" s="492">
        <f aca="true" t="shared" si="603" ref="AO90:AO97">R90*$D90</f>
        <v>0</v>
      </c>
      <c r="AP90" s="489">
        <f aca="true" t="shared" si="604" ref="AP90:AQ97">S90*$D90</f>
        <v>0</v>
      </c>
      <c r="AQ90" s="492">
        <f t="shared" si="604"/>
        <v>0</v>
      </c>
      <c r="AR90" s="492">
        <f aca="true" t="shared" si="605" ref="AR90:AR97">U90*$D90</f>
        <v>0</v>
      </c>
      <c r="AS90" s="492">
        <f aca="true" t="shared" si="606" ref="AS90:AS97">V90*$D90</f>
        <v>0</v>
      </c>
      <c r="AT90" s="492">
        <f aca="true" t="shared" si="607" ref="AT90:AT97">W90*$D90</f>
        <v>0</v>
      </c>
      <c r="AU90" s="492">
        <f aca="true" t="shared" si="608" ref="AU90:AU97">X90*$D90</f>
        <v>0</v>
      </c>
      <c r="AV90" s="489"/>
      <c r="AW90" s="489"/>
      <c r="AX90" s="489">
        <f t="shared" si="488"/>
        <v>0</v>
      </c>
      <c r="AY90" s="489">
        <f t="shared" si="488"/>
        <v>0</v>
      </c>
      <c r="AZ90" s="489">
        <f t="shared" si="488"/>
        <v>0</v>
      </c>
      <c r="BA90" s="489">
        <f t="shared" si="488"/>
        <v>0</v>
      </c>
      <c r="BB90" s="489">
        <f t="shared" si="488"/>
        <v>0</v>
      </c>
      <c r="BC90" s="489">
        <f t="shared" si="488"/>
        <v>0</v>
      </c>
      <c r="BD90" s="489">
        <f t="shared" si="488"/>
        <v>0</v>
      </c>
      <c r="BE90" s="489">
        <f t="shared" si="488"/>
        <v>0</v>
      </c>
      <c r="BF90" s="489">
        <f t="shared" si="488"/>
        <v>0</v>
      </c>
      <c r="BG90" s="489">
        <f t="shared" si="488"/>
        <v>0</v>
      </c>
      <c r="BH90" s="489">
        <f t="shared" si="488"/>
        <v>0</v>
      </c>
      <c r="BI90" s="489">
        <f t="shared" si="488"/>
        <v>214.45</v>
      </c>
      <c r="BJ90" s="489">
        <f t="shared" si="488"/>
        <v>0</v>
      </c>
      <c r="BK90" s="489">
        <f t="shared" si="488"/>
        <v>0</v>
      </c>
      <c r="BL90" s="489">
        <f t="shared" si="488"/>
        <v>0</v>
      </c>
      <c r="BM90" s="489">
        <f t="shared" si="488"/>
        <v>0</v>
      </c>
      <c r="BN90" s="489">
        <f t="shared" si="447"/>
        <v>0</v>
      </c>
      <c r="BO90" s="489">
        <f t="shared" si="447"/>
        <v>0</v>
      </c>
      <c r="BP90" s="489">
        <f t="shared" si="447"/>
        <v>0</v>
      </c>
      <c r="BQ90" s="489">
        <f t="shared" si="447"/>
        <v>0</v>
      </c>
      <c r="BR90" s="490">
        <f aca="true" t="shared" si="609" ref="BR90:BR97">SUM(AC90:AV90)-SUM(AX90:BQ90)</f>
        <v>0</v>
      </c>
    </row>
    <row r="91" spans="1:70" s="295" customFormat="1" ht="15" customHeight="1">
      <c r="A91" s="482" t="s">
        <v>139</v>
      </c>
      <c r="B91" s="483"/>
      <c r="C91" s="484"/>
      <c r="D91" s="485">
        <v>26800</v>
      </c>
      <c r="E91" s="484" t="s">
        <v>262</v>
      </c>
      <c r="F91" s="486"/>
      <c r="G91" s="486"/>
      <c r="H91" s="486"/>
      <c r="I91" s="486">
        <v>0</v>
      </c>
      <c r="J91" s="486">
        <v>0</v>
      </c>
      <c r="K91" s="486">
        <v>0</v>
      </c>
      <c r="L91" s="487">
        <v>0</v>
      </c>
      <c r="M91" s="487">
        <v>0</v>
      </c>
      <c r="N91" s="487">
        <v>0</v>
      </c>
      <c r="O91" s="487">
        <v>0</v>
      </c>
      <c r="P91" s="487">
        <v>0</v>
      </c>
      <c r="Q91" s="486">
        <v>0</v>
      </c>
      <c r="R91" s="486">
        <v>0</v>
      </c>
      <c r="S91" s="486">
        <v>0.33333333333333337</v>
      </c>
      <c r="T91" s="486">
        <v>0.5</v>
      </c>
      <c r="U91" s="486">
        <v>0.16666666666666669</v>
      </c>
      <c r="V91" s="486"/>
      <c r="W91" s="486"/>
      <c r="X91" s="486"/>
      <c r="Y91" s="486"/>
      <c r="Z91" s="488">
        <f>SUM(F91:Y91)</f>
        <v>1</v>
      </c>
      <c r="AA91" s="484"/>
      <c r="AB91" s="484"/>
      <c r="AC91" s="489">
        <f t="shared" si="591"/>
        <v>0</v>
      </c>
      <c r="AD91" s="489">
        <f t="shared" si="592"/>
        <v>0</v>
      </c>
      <c r="AE91" s="489">
        <f t="shared" si="593"/>
        <v>0</v>
      </c>
      <c r="AF91" s="489">
        <f t="shared" si="594"/>
        <v>0</v>
      </c>
      <c r="AG91" s="489">
        <f t="shared" si="595"/>
        <v>0</v>
      </c>
      <c r="AH91" s="485">
        <f t="shared" si="596"/>
        <v>0</v>
      </c>
      <c r="AI91" s="489">
        <f t="shared" si="597"/>
        <v>0</v>
      </c>
      <c r="AJ91" s="485">
        <f t="shared" si="598"/>
        <v>0</v>
      </c>
      <c r="AK91" s="485">
        <f t="shared" si="599"/>
        <v>0</v>
      </c>
      <c r="AL91" s="489">
        <f t="shared" si="600"/>
        <v>0</v>
      </c>
      <c r="AM91" s="485">
        <f t="shared" si="601"/>
        <v>0</v>
      </c>
      <c r="AN91" s="492">
        <f t="shared" si="602"/>
        <v>0</v>
      </c>
      <c r="AO91" s="492">
        <f t="shared" si="603"/>
        <v>0</v>
      </c>
      <c r="AP91" s="489">
        <f t="shared" si="604"/>
        <v>8933.333333333334</v>
      </c>
      <c r="AQ91" s="492">
        <f t="shared" si="604"/>
        <v>13400</v>
      </c>
      <c r="AR91" s="492">
        <f t="shared" si="605"/>
        <v>4466.666666666667</v>
      </c>
      <c r="AS91" s="492">
        <f t="shared" si="606"/>
        <v>0</v>
      </c>
      <c r="AT91" s="492">
        <f t="shared" si="607"/>
        <v>0</v>
      </c>
      <c r="AU91" s="492">
        <f t="shared" si="608"/>
        <v>0</v>
      </c>
      <c r="AV91" s="489"/>
      <c r="AW91" s="489"/>
      <c r="AX91" s="489">
        <f t="shared" si="488"/>
        <v>0</v>
      </c>
      <c r="AY91" s="489">
        <f t="shared" si="488"/>
        <v>0</v>
      </c>
      <c r="AZ91" s="489">
        <f t="shared" si="488"/>
        <v>0</v>
      </c>
      <c r="BA91" s="489">
        <f t="shared" si="488"/>
        <v>0</v>
      </c>
      <c r="BB91" s="489">
        <f t="shared" si="488"/>
        <v>0</v>
      </c>
      <c r="BC91" s="489">
        <f t="shared" si="488"/>
        <v>0</v>
      </c>
      <c r="BD91" s="489">
        <f t="shared" si="488"/>
        <v>0</v>
      </c>
      <c r="BE91" s="489">
        <f t="shared" si="488"/>
        <v>0</v>
      </c>
      <c r="BF91" s="485">
        <f t="shared" si="488"/>
        <v>0</v>
      </c>
      <c r="BG91" s="489">
        <f t="shared" si="488"/>
        <v>0</v>
      </c>
      <c r="BH91" s="489">
        <f t="shared" si="488"/>
        <v>0</v>
      </c>
      <c r="BI91" s="489">
        <f t="shared" si="488"/>
        <v>0</v>
      </c>
      <c r="BJ91" s="489">
        <f t="shared" si="488"/>
        <v>0</v>
      </c>
      <c r="BK91" s="489">
        <f t="shared" si="488"/>
        <v>26800</v>
      </c>
      <c r="BL91" s="489">
        <f t="shared" si="488"/>
        <v>0</v>
      </c>
      <c r="BM91" s="489">
        <f t="shared" si="488"/>
        <v>0</v>
      </c>
      <c r="BN91" s="489">
        <f t="shared" si="488"/>
        <v>0</v>
      </c>
      <c r="BO91" s="489">
        <f t="shared" si="447"/>
        <v>0</v>
      </c>
      <c r="BP91" s="489">
        <f t="shared" si="447"/>
        <v>0</v>
      </c>
      <c r="BQ91" s="489">
        <f t="shared" si="447"/>
        <v>0</v>
      </c>
      <c r="BR91" s="490">
        <f aca="true" t="shared" si="610" ref="BR91">SUM(AC91:AV91)-SUM(AX91:BQ91)</f>
        <v>0</v>
      </c>
    </row>
    <row r="92" spans="1:70" s="295" customFormat="1" ht="14.45" customHeight="1">
      <c r="A92" s="482" t="s">
        <v>139</v>
      </c>
      <c r="B92" s="483"/>
      <c r="C92" s="484"/>
      <c r="D92" s="485">
        <v>10000</v>
      </c>
      <c r="E92" s="484" t="s">
        <v>275</v>
      </c>
      <c r="F92" s="487"/>
      <c r="G92" s="487"/>
      <c r="H92" s="487"/>
      <c r="I92" s="487"/>
      <c r="J92" s="487"/>
      <c r="K92" s="486"/>
      <c r="L92" s="486">
        <v>0</v>
      </c>
      <c r="M92" s="486">
        <v>0</v>
      </c>
      <c r="N92" s="486">
        <v>0</v>
      </c>
      <c r="O92" s="486">
        <v>0</v>
      </c>
      <c r="P92" s="486">
        <v>0</v>
      </c>
      <c r="Q92" s="486">
        <v>0</v>
      </c>
      <c r="R92" s="486">
        <v>0</v>
      </c>
      <c r="S92" s="486">
        <v>0</v>
      </c>
      <c r="T92" s="486">
        <v>0</v>
      </c>
      <c r="U92" s="486"/>
      <c r="V92" s="486">
        <v>1</v>
      </c>
      <c r="W92" s="486"/>
      <c r="X92" s="486"/>
      <c r="Y92" s="486"/>
      <c r="Z92" s="488">
        <f t="shared" si="590"/>
        <v>1</v>
      </c>
      <c r="AA92" s="484"/>
      <c r="AB92" s="484"/>
      <c r="AC92" s="489">
        <f t="shared" si="591"/>
        <v>0</v>
      </c>
      <c r="AD92" s="489">
        <f t="shared" si="592"/>
        <v>0</v>
      </c>
      <c r="AE92" s="489">
        <f t="shared" si="593"/>
        <v>0</v>
      </c>
      <c r="AF92" s="489">
        <f t="shared" si="594"/>
        <v>0</v>
      </c>
      <c r="AG92" s="489">
        <f t="shared" si="595"/>
        <v>0</v>
      </c>
      <c r="AH92" s="485">
        <f t="shared" si="596"/>
        <v>0</v>
      </c>
      <c r="AI92" s="489">
        <f t="shared" si="597"/>
        <v>0</v>
      </c>
      <c r="AJ92" s="485">
        <f t="shared" si="598"/>
        <v>0</v>
      </c>
      <c r="AK92" s="489">
        <f t="shared" si="599"/>
        <v>0</v>
      </c>
      <c r="AL92" s="489">
        <f t="shared" si="600"/>
        <v>0</v>
      </c>
      <c r="AM92" s="485">
        <f t="shared" si="601"/>
        <v>0</v>
      </c>
      <c r="AN92" s="492">
        <f t="shared" si="602"/>
        <v>0</v>
      </c>
      <c r="AO92" s="492">
        <f t="shared" si="603"/>
        <v>0</v>
      </c>
      <c r="AP92" s="489">
        <f t="shared" si="604"/>
        <v>0</v>
      </c>
      <c r="AQ92" s="492">
        <f t="shared" si="604"/>
        <v>0</v>
      </c>
      <c r="AR92" s="492">
        <f t="shared" si="605"/>
        <v>0</v>
      </c>
      <c r="AS92" s="492">
        <f t="shared" si="606"/>
        <v>10000</v>
      </c>
      <c r="AT92" s="492">
        <f t="shared" si="607"/>
        <v>0</v>
      </c>
      <c r="AU92" s="492">
        <f t="shared" si="608"/>
        <v>0</v>
      </c>
      <c r="AV92" s="489"/>
      <c r="AW92" s="489"/>
      <c r="AX92" s="489">
        <f t="shared" si="488"/>
        <v>0</v>
      </c>
      <c r="AY92" s="489">
        <f t="shared" si="488"/>
        <v>0</v>
      </c>
      <c r="AZ92" s="489">
        <f t="shared" si="488"/>
        <v>0</v>
      </c>
      <c r="BA92" s="489">
        <f t="shared" si="488"/>
        <v>0</v>
      </c>
      <c r="BB92" s="489">
        <f t="shared" si="488"/>
        <v>0</v>
      </c>
      <c r="BC92" s="489">
        <f t="shared" si="488"/>
        <v>0</v>
      </c>
      <c r="BD92" s="489">
        <f t="shared" si="488"/>
        <v>0</v>
      </c>
      <c r="BE92" s="489">
        <f t="shared" si="488"/>
        <v>0</v>
      </c>
      <c r="BF92" s="489">
        <f t="shared" si="488"/>
        <v>0</v>
      </c>
      <c r="BG92" s="489">
        <f t="shared" si="488"/>
        <v>0</v>
      </c>
      <c r="BH92" s="489">
        <f t="shared" si="488"/>
        <v>0</v>
      </c>
      <c r="BI92" s="489">
        <f t="shared" si="488"/>
        <v>0</v>
      </c>
      <c r="BJ92" s="489">
        <f t="shared" si="488"/>
        <v>0</v>
      </c>
      <c r="BK92" s="489">
        <f t="shared" si="488"/>
        <v>0</v>
      </c>
      <c r="BL92" s="489">
        <f t="shared" si="488"/>
        <v>0</v>
      </c>
      <c r="BM92" s="489">
        <f t="shared" si="488"/>
        <v>0</v>
      </c>
      <c r="BN92" s="489">
        <f t="shared" si="447"/>
        <v>10000</v>
      </c>
      <c r="BO92" s="489">
        <f t="shared" si="447"/>
        <v>0</v>
      </c>
      <c r="BP92" s="489">
        <f t="shared" si="447"/>
        <v>0</v>
      </c>
      <c r="BQ92" s="489">
        <f t="shared" si="447"/>
        <v>0</v>
      </c>
      <c r="BR92" s="490">
        <f t="shared" si="609"/>
        <v>0</v>
      </c>
    </row>
    <row r="93" spans="1:70" s="295" customFormat="1" ht="14.45" customHeight="1">
      <c r="A93" s="482" t="s">
        <v>142</v>
      </c>
      <c r="B93" s="483"/>
      <c r="C93" s="484"/>
      <c r="D93" s="485">
        <v>8000</v>
      </c>
      <c r="E93" s="484" t="s">
        <v>275</v>
      </c>
      <c r="F93" s="487"/>
      <c r="G93" s="487"/>
      <c r="H93" s="487"/>
      <c r="I93" s="487"/>
      <c r="J93" s="487"/>
      <c r="K93" s="486"/>
      <c r="L93" s="486">
        <v>0</v>
      </c>
      <c r="M93" s="486">
        <v>0</v>
      </c>
      <c r="N93" s="486">
        <v>0</v>
      </c>
      <c r="O93" s="486">
        <v>0</v>
      </c>
      <c r="P93" s="486">
        <v>0</v>
      </c>
      <c r="Q93" s="486">
        <v>0</v>
      </c>
      <c r="R93" s="486">
        <v>0</v>
      </c>
      <c r="S93" s="486">
        <v>0</v>
      </c>
      <c r="T93" s="486">
        <v>0</v>
      </c>
      <c r="U93" s="486"/>
      <c r="V93" s="486">
        <v>0.25</v>
      </c>
      <c r="W93" s="486">
        <v>0.75</v>
      </c>
      <c r="X93" s="486"/>
      <c r="Y93" s="486"/>
      <c r="Z93" s="488">
        <f t="shared" si="590"/>
        <v>1</v>
      </c>
      <c r="AA93" s="484"/>
      <c r="AB93" s="484"/>
      <c r="AC93" s="489">
        <f t="shared" si="591"/>
        <v>0</v>
      </c>
      <c r="AD93" s="489">
        <f t="shared" si="592"/>
        <v>0</v>
      </c>
      <c r="AE93" s="489">
        <f t="shared" si="593"/>
        <v>0</v>
      </c>
      <c r="AF93" s="489">
        <f t="shared" si="594"/>
        <v>0</v>
      </c>
      <c r="AG93" s="489">
        <f t="shared" si="595"/>
        <v>0</v>
      </c>
      <c r="AH93" s="485">
        <f t="shared" si="596"/>
        <v>0</v>
      </c>
      <c r="AI93" s="489">
        <f t="shared" si="597"/>
        <v>0</v>
      </c>
      <c r="AJ93" s="485">
        <f t="shared" si="598"/>
        <v>0</v>
      </c>
      <c r="AK93" s="489">
        <f t="shared" si="599"/>
        <v>0</v>
      </c>
      <c r="AL93" s="489">
        <f t="shared" si="600"/>
        <v>0</v>
      </c>
      <c r="AM93" s="485">
        <f t="shared" si="601"/>
        <v>0</v>
      </c>
      <c r="AN93" s="492">
        <f t="shared" si="602"/>
        <v>0</v>
      </c>
      <c r="AO93" s="492">
        <f t="shared" si="603"/>
        <v>0</v>
      </c>
      <c r="AP93" s="489">
        <f t="shared" si="604"/>
        <v>0</v>
      </c>
      <c r="AQ93" s="492">
        <f t="shared" si="604"/>
        <v>0</v>
      </c>
      <c r="AR93" s="492">
        <f t="shared" si="605"/>
        <v>0</v>
      </c>
      <c r="AS93" s="492">
        <f t="shared" si="606"/>
        <v>2000</v>
      </c>
      <c r="AT93" s="492">
        <f t="shared" si="607"/>
        <v>6000</v>
      </c>
      <c r="AU93" s="492">
        <f t="shared" si="608"/>
        <v>0</v>
      </c>
      <c r="AV93" s="489"/>
      <c r="AW93" s="489"/>
      <c r="AX93" s="489">
        <f t="shared" si="488"/>
        <v>0</v>
      </c>
      <c r="AY93" s="489">
        <f t="shared" si="488"/>
        <v>0</v>
      </c>
      <c r="AZ93" s="489">
        <f t="shared" si="488"/>
        <v>0</v>
      </c>
      <c r="BA93" s="489">
        <f t="shared" si="488"/>
        <v>0</v>
      </c>
      <c r="BB93" s="489">
        <f t="shared" si="488"/>
        <v>0</v>
      </c>
      <c r="BC93" s="489">
        <f t="shared" si="488"/>
        <v>0</v>
      </c>
      <c r="BD93" s="489">
        <f t="shared" si="488"/>
        <v>0</v>
      </c>
      <c r="BE93" s="489">
        <f t="shared" si="488"/>
        <v>0</v>
      </c>
      <c r="BF93" s="489">
        <f t="shared" si="488"/>
        <v>0</v>
      </c>
      <c r="BG93" s="489">
        <f t="shared" si="488"/>
        <v>0</v>
      </c>
      <c r="BH93" s="489">
        <f t="shared" si="488"/>
        <v>0</v>
      </c>
      <c r="BI93" s="489">
        <f t="shared" si="488"/>
        <v>0</v>
      </c>
      <c r="BJ93" s="489">
        <f t="shared" si="488"/>
        <v>0</v>
      </c>
      <c r="BK93" s="489">
        <f t="shared" si="488"/>
        <v>0</v>
      </c>
      <c r="BL93" s="489">
        <f t="shared" si="488"/>
        <v>0</v>
      </c>
      <c r="BM93" s="489">
        <f t="shared" si="488"/>
        <v>0</v>
      </c>
      <c r="BN93" s="489">
        <f t="shared" si="447"/>
        <v>8000</v>
      </c>
      <c r="BO93" s="489">
        <f t="shared" si="447"/>
        <v>0</v>
      </c>
      <c r="BP93" s="489">
        <f t="shared" si="447"/>
        <v>0</v>
      </c>
      <c r="BQ93" s="489">
        <f t="shared" si="447"/>
        <v>0</v>
      </c>
      <c r="BR93" s="490">
        <f t="shared" si="609"/>
        <v>0</v>
      </c>
    </row>
    <row r="94" spans="1:70" s="295" customFormat="1" ht="14.45" customHeight="1">
      <c r="A94" s="482" t="s">
        <v>142</v>
      </c>
      <c r="B94" s="483"/>
      <c r="C94" s="484"/>
      <c r="D94" s="485">
        <v>10000</v>
      </c>
      <c r="E94" s="484" t="s">
        <v>262</v>
      </c>
      <c r="F94" s="487"/>
      <c r="G94" s="487"/>
      <c r="H94" s="487"/>
      <c r="I94" s="487"/>
      <c r="J94" s="487"/>
      <c r="K94" s="486"/>
      <c r="L94" s="486">
        <v>0</v>
      </c>
      <c r="M94" s="486">
        <v>0</v>
      </c>
      <c r="N94" s="486">
        <v>0</v>
      </c>
      <c r="O94" s="486">
        <v>0</v>
      </c>
      <c r="P94" s="486">
        <v>0</v>
      </c>
      <c r="Q94" s="486">
        <v>0</v>
      </c>
      <c r="R94" s="486">
        <v>0</v>
      </c>
      <c r="S94" s="486">
        <v>1</v>
      </c>
      <c r="T94" s="486">
        <v>0</v>
      </c>
      <c r="U94" s="486"/>
      <c r="V94" s="486">
        <v>0</v>
      </c>
      <c r="W94" s="486">
        <v>0</v>
      </c>
      <c r="X94" s="486"/>
      <c r="Y94" s="486"/>
      <c r="Z94" s="488">
        <f aca="true" t="shared" si="611" ref="Z94">SUM(F94:X94)</f>
        <v>1</v>
      </c>
      <c r="AA94" s="484"/>
      <c r="AB94" s="484"/>
      <c r="AC94" s="489">
        <f aca="true" t="shared" si="612" ref="AC94">F94*$D94</f>
        <v>0</v>
      </c>
      <c r="AD94" s="489">
        <f aca="true" t="shared" si="613" ref="AD94">G94*$D94</f>
        <v>0</v>
      </c>
      <c r="AE94" s="489">
        <f aca="true" t="shared" si="614" ref="AE94">H94*$D94</f>
        <v>0</v>
      </c>
      <c r="AF94" s="489">
        <f aca="true" t="shared" si="615" ref="AF94">I94*$D94</f>
        <v>0</v>
      </c>
      <c r="AG94" s="489">
        <f aca="true" t="shared" si="616" ref="AG94">J94*$D94</f>
        <v>0</v>
      </c>
      <c r="AH94" s="485">
        <f aca="true" t="shared" si="617" ref="AH94">K94*$D94</f>
        <v>0</v>
      </c>
      <c r="AI94" s="489">
        <f aca="true" t="shared" si="618" ref="AI94">L94*$D94</f>
        <v>0</v>
      </c>
      <c r="AJ94" s="485">
        <f aca="true" t="shared" si="619" ref="AJ94">M94*$D94</f>
        <v>0</v>
      </c>
      <c r="AK94" s="489">
        <f aca="true" t="shared" si="620" ref="AK94">N94*$D94</f>
        <v>0</v>
      </c>
      <c r="AL94" s="489">
        <f aca="true" t="shared" si="621" ref="AL94">O94*$D94</f>
        <v>0</v>
      </c>
      <c r="AM94" s="485">
        <f aca="true" t="shared" si="622" ref="AM94">P94*$D94</f>
        <v>0</v>
      </c>
      <c r="AN94" s="492">
        <f aca="true" t="shared" si="623" ref="AN94">Q94*$D94</f>
        <v>0</v>
      </c>
      <c r="AO94" s="492">
        <f aca="true" t="shared" si="624" ref="AO94">R94*$D94</f>
        <v>0</v>
      </c>
      <c r="AP94" s="489">
        <f aca="true" t="shared" si="625" ref="AP94">S94*$D94</f>
        <v>10000</v>
      </c>
      <c r="AQ94" s="492">
        <f aca="true" t="shared" si="626" ref="AQ94">T94*$D94</f>
        <v>0</v>
      </c>
      <c r="AR94" s="492">
        <f aca="true" t="shared" si="627" ref="AR94">U94*$D94</f>
        <v>0</v>
      </c>
      <c r="AS94" s="492">
        <f aca="true" t="shared" si="628" ref="AS94">V94*$D94</f>
        <v>0</v>
      </c>
      <c r="AT94" s="492">
        <f aca="true" t="shared" si="629" ref="AT94">W94*$D94</f>
        <v>0</v>
      </c>
      <c r="AU94" s="492">
        <f aca="true" t="shared" si="630" ref="AU94">X94*$D94</f>
        <v>0</v>
      </c>
      <c r="AV94" s="489"/>
      <c r="AW94" s="489"/>
      <c r="AX94" s="489">
        <f aca="true" t="shared" si="631" ref="AX94:BM94">IF(AX$3=$E94,$D94,0)</f>
        <v>0</v>
      </c>
      <c r="AY94" s="489">
        <f t="shared" si="631"/>
        <v>0</v>
      </c>
      <c r="AZ94" s="489">
        <f t="shared" si="631"/>
        <v>0</v>
      </c>
      <c r="BA94" s="489">
        <f t="shared" si="631"/>
        <v>0</v>
      </c>
      <c r="BB94" s="489">
        <f t="shared" si="631"/>
        <v>0</v>
      </c>
      <c r="BC94" s="489">
        <f t="shared" si="631"/>
        <v>0</v>
      </c>
      <c r="BD94" s="489">
        <f t="shared" si="631"/>
        <v>0</v>
      </c>
      <c r="BE94" s="489">
        <f t="shared" si="631"/>
        <v>0</v>
      </c>
      <c r="BF94" s="489">
        <f t="shared" si="631"/>
        <v>0</v>
      </c>
      <c r="BG94" s="489">
        <f t="shared" si="631"/>
        <v>0</v>
      </c>
      <c r="BH94" s="489">
        <f t="shared" si="631"/>
        <v>0</v>
      </c>
      <c r="BI94" s="489">
        <f t="shared" si="631"/>
        <v>0</v>
      </c>
      <c r="BJ94" s="489">
        <f t="shared" si="631"/>
        <v>0</v>
      </c>
      <c r="BK94" s="489">
        <f t="shared" si="631"/>
        <v>10000</v>
      </c>
      <c r="BL94" s="489">
        <f t="shared" si="631"/>
        <v>0</v>
      </c>
      <c r="BM94" s="489">
        <f t="shared" si="631"/>
        <v>0</v>
      </c>
      <c r="BN94" s="489">
        <f t="shared" si="447"/>
        <v>0</v>
      </c>
      <c r="BO94" s="489">
        <f t="shared" si="447"/>
        <v>0</v>
      </c>
      <c r="BP94" s="489">
        <f t="shared" si="447"/>
        <v>0</v>
      </c>
      <c r="BQ94" s="489">
        <f t="shared" si="447"/>
        <v>0</v>
      </c>
      <c r="BR94" s="490">
        <f aca="true" t="shared" si="632" ref="BR94">SUM(AC94:AV94)-SUM(AX94:BQ94)</f>
        <v>0</v>
      </c>
    </row>
    <row r="95" spans="1:70" s="295" customFormat="1" ht="14.45" customHeight="1">
      <c r="A95" s="482" t="s">
        <v>139</v>
      </c>
      <c r="B95" s="483"/>
      <c r="C95" s="484"/>
      <c r="D95" s="485">
        <v>170000</v>
      </c>
      <c r="E95" s="484" t="s">
        <v>276</v>
      </c>
      <c r="F95" s="487"/>
      <c r="G95" s="487"/>
      <c r="H95" s="487"/>
      <c r="I95" s="487"/>
      <c r="J95" s="487"/>
      <c r="K95" s="486"/>
      <c r="L95" s="486">
        <v>0</v>
      </c>
      <c r="M95" s="486">
        <v>0</v>
      </c>
      <c r="N95" s="486">
        <v>0</v>
      </c>
      <c r="O95" s="486">
        <v>0</v>
      </c>
      <c r="P95" s="486">
        <v>0</v>
      </c>
      <c r="Q95" s="486">
        <v>0</v>
      </c>
      <c r="R95" s="486">
        <v>0</v>
      </c>
      <c r="S95" s="486">
        <v>0</v>
      </c>
      <c r="T95" s="486">
        <v>0</v>
      </c>
      <c r="U95" s="486"/>
      <c r="V95" s="486"/>
      <c r="W95" s="486">
        <v>1</v>
      </c>
      <c r="X95" s="486"/>
      <c r="Y95" s="486"/>
      <c r="Z95" s="488">
        <f t="shared" si="590"/>
        <v>1</v>
      </c>
      <c r="AA95" s="484"/>
      <c r="AB95" s="484"/>
      <c r="AC95" s="489">
        <f t="shared" si="591"/>
        <v>0</v>
      </c>
      <c r="AD95" s="489">
        <f t="shared" si="592"/>
        <v>0</v>
      </c>
      <c r="AE95" s="489">
        <f t="shared" si="593"/>
        <v>0</v>
      </c>
      <c r="AF95" s="489">
        <f t="shared" si="594"/>
        <v>0</v>
      </c>
      <c r="AG95" s="489">
        <f t="shared" si="595"/>
        <v>0</v>
      </c>
      <c r="AH95" s="485">
        <f t="shared" si="596"/>
        <v>0</v>
      </c>
      <c r="AI95" s="489">
        <f t="shared" si="597"/>
        <v>0</v>
      </c>
      <c r="AJ95" s="485">
        <f t="shared" si="598"/>
        <v>0</v>
      </c>
      <c r="AK95" s="489">
        <f t="shared" si="599"/>
        <v>0</v>
      </c>
      <c r="AL95" s="489">
        <f t="shared" si="600"/>
        <v>0</v>
      </c>
      <c r="AM95" s="485">
        <f t="shared" si="601"/>
        <v>0</v>
      </c>
      <c r="AN95" s="492">
        <f t="shared" si="602"/>
        <v>0</v>
      </c>
      <c r="AO95" s="492">
        <f t="shared" si="603"/>
        <v>0</v>
      </c>
      <c r="AP95" s="489">
        <f t="shared" si="604"/>
        <v>0</v>
      </c>
      <c r="AQ95" s="492">
        <f t="shared" si="604"/>
        <v>0</v>
      </c>
      <c r="AR95" s="492">
        <f t="shared" si="605"/>
        <v>0</v>
      </c>
      <c r="AS95" s="492">
        <f t="shared" si="606"/>
        <v>0</v>
      </c>
      <c r="AT95" s="492">
        <f t="shared" si="607"/>
        <v>170000</v>
      </c>
      <c r="AU95" s="492">
        <f t="shared" si="608"/>
        <v>0</v>
      </c>
      <c r="AV95" s="489"/>
      <c r="AW95" s="489"/>
      <c r="AX95" s="489">
        <f t="shared" si="488"/>
        <v>0</v>
      </c>
      <c r="AY95" s="489">
        <f t="shared" si="488"/>
        <v>0</v>
      </c>
      <c r="AZ95" s="489">
        <f t="shared" si="488"/>
        <v>0</v>
      </c>
      <c r="BA95" s="489">
        <f t="shared" si="488"/>
        <v>0</v>
      </c>
      <c r="BB95" s="489">
        <f t="shared" si="488"/>
        <v>0</v>
      </c>
      <c r="BC95" s="489">
        <f t="shared" si="488"/>
        <v>0</v>
      </c>
      <c r="BD95" s="489">
        <f t="shared" si="488"/>
        <v>0</v>
      </c>
      <c r="BE95" s="489">
        <f t="shared" si="488"/>
        <v>0</v>
      </c>
      <c r="BF95" s="489">
        <f t="shared" si="488"/>
        <v>0</v>
      </c>
      <c r="BG95" s="489">
        <f t="shared" si="488"/>
        <v>0</v>
      </c>
      <c r="BH95" s="489">
        <f t="shared" si="488"/>
        <v>0</v>
      </c>
      <c r="BI95" s="489">
        <f t="shared" si="488"/>
        <v>0</v>
      </c>
      <c r="BJ95" s="489">
        <f t="shared" si="488"/>
        <v>0</v>
      </c>
      <c r="BK95" s="489">
        <f t="shared" si="488"/>
        <v>0</v>
      </c>
      <c r="BL95" s="489">
        <f t="shared" si="488"/>
        <v>0</v>
      </c>
      <c r="BM95" s="489">
        <f t="shared" si="488"/>
        <v>0</v>
      </c>
      <c r="BN95" s="489">
        <f t="shared" si="447"/>
        <v>0</v>
      </c>
      <c r="BO95" s="489">
        <f t="shared" si="447"/>
        <v>170000</v>
      </c>
      <c r="BP95" s="489">
        <f t="shared" si="447"/>
        <v>0</v>
      </c>
      <c r="BQ95" s="489">
        <f t="shared" si="447"/>
        <v>0</v>
      </c>
      <c r="BR95" s="490">
        <f t="shared" si="609"/>
        <v>0</v>
      </c>
    </row>
    <row r="96" spans="1:70" s="295" customFormat="1" ht="14.45" customHeight="1">
      <c r="A96" s="482" t="s">
        <v>139</v>
      </c>
      <c r="B96" s="483"/>
      <c r="C96" s="484"/>
      <c r="D96" s="485">
        <v>25000</v>
      </c>
      <c r="E96" s="484" t="s">
        <v>276</v>
      </c>
      <c r="F96" s="487"/>
      <c r="G96" s="487"/>
      <c r="H96" s="487"/>
      <c r="I96" s="487"/>
      <c r="J96" s="487"/>
      <c r="K96" s="486"/>
      <c r="L96" s="486">
        <v>0</v>
      </c>
      <c r="M96" s="486">
        <v>0</v>
      </c>
      <c r="N96" s="486">
        <v>0</v>
      </c>
      <c r="O96" s="486">
        <v>0</v>
      </c>
      <c r="P96" s="486">
        <v>0</v>
      </c>
      <c r="Q96" s="486">
        <v>0</v>
      </c>
      <c r="R96" s="486">
        <v>0</v>
      </c>
      <c r="S96" s="486">
        <v>0</v>
      </c>
      <c r="T96" s="486">
        <v>0</v>
      </c>
      <c r="U96" s="486"/>
      <c r="V96" s="486"/>
      <c r="W96" s="486">
        <v>1</v>
      </c>
      <c r="X96" s="486"/>
      <c r="Y96" s="486"/>
      <c r="Z96" s="488">
        <f t="shared" si="590"/>
        <v>1</v>
      </c>
      <c r="AA96" s="484"/>
      <c r="AB96" s="484"/>
      <c r="AC96" s="489">
        <f t="shared" si="591"/>
        <v>0</v>
      </c>
      <c r="AD96" s="489">
        <f t="shared" si="592"/>
        <v>0</v>
      </c>
      <c r="AE96" s="489">
        <f t="shared" si="593"/>
        <v>0</v>
      </c>
      <c r="AF96" s="489">
        <f t="shared" si="594"/>
        <v>0</v>
      </c>
      <c r="AG96" s="489">
        <f t="shared" si="595"/>
        <v>0</v>
      </c>
      <c r="AH96" s="485">
        <f t="shared" si="596"/>
        <v>0</v>
      </c>
      <c r="AI96" s="489">
        <f t="shared" si="597"/>
        <v>0</v>
      </c>
      <c r="AJ96" s="485">
        <f t="shared" si="598"/>
        <v>0</v>
      </c>
      <c r="AK96" s="489">
        <f t="shared" si="599"/>
        <v>0</v>
      </c>
      <c r="AL96" s="489">
        <f t="shared" si="600"/>
        <v>0</v>
      </c>
      <c r="AM96" s="485">
        <f t="shared" si="601"/>
        <v>0</v>
      </c>
      <c r="AN96" s="492">
        <f t="shared" si="602"/>
        <v>0</v>
      </c>
      <c r="AO96" s="492">
        <f t="shared" si="603"/>
        <v>0</v>
      </c>
      <c r="AP96" s="492">
        <f t="shared" si="604"/>
        <v>0</v>
      </c>
      <c r="AQ96" s="492">
        <f t="shared" si="604"/>
        <v>0</v>
      </c>
      <c r="AR96" s="492">
        <f t="shared" si="605"/>
        <v>0</v>
      </c>
      <c r="AS96" s="492">
        <f t="shared" si="606"/>
        <v>0</v>
      </c>
      <c r="AT96" s="492">
        <f t="shared" si="607"/>
        <v>25000</v>
      </c>
      <c r="AU96" s="492">
        <f t="shared" si="608"/>
        <v>0</v>
      </c>
      <c r="AV96" s="489"/>
      <c r="AW96" s="489"/>
      <c r="AX96" s="489">
        <f t="shared" si="488"/>
        <v>0</v>
      </c>
      <c r="AY96" s="489">
        <f t="shared" si="488"/>
        <v>0</v>
      </c>
      <c r="AZ96" s="489">
        <f t="shared" si="488"/>
        <v>0</v>
      </c>
      <c r="BA96" s="489">
        <f t="shared" si="488"/>
        <v>0</v>
      </c>
      <c r="BB96" s="489">
        <f t="shared" si="488"/>
        <v>0</v>
      </c>
      <c r="BC96" s="489">
        <f t="shared" si="488"/>
        <v>0</v>
      </c>
      <c r="BD96" s="489">
        <f t="shared" si="488"/>
        <v>0</v>
      </c>
      <c r="BE96" s="489">
        <f t="shared" si="488"/>
        <v>0</v>
      </c>
      <c r="BF96" s="489">
        <f t="shared" si="488"/>
        <v>0</v>
      </c>
      <c r="BG96" s="489">
        <f t="shared" si="488"/>
        <v>0</v>
      </c>
      <c r="BH96" s="489">
        <f t="shared" si="488"/>
        <v>0</v>
      </c>
      <c r="BI96" s="489">
        <f t="shared" si="488"/>
        <v>0</v>
      </c>
      <c r="BJ96" s="489">
        <f t="shared" si="488"/>
        <v>0</v>
      </c>
      <c r="BK96" s="489">
        <f t="shared" si="488"/>
        <v>0</v>
      </c>
      <c r="BL96" s="489">
        <f t="shared" si="488"/>
        <v>0</v>
      </c>
      <c r="BM96" s="489">
        <f t="shared" si="488"/>
        <v>0</v>
      </c>
      <c r="BN96" s="489">
        <f t="shared" si="447"/>
        <v>0</v>
      </c>
      <c r="BO96" s="489">
        <f t="shared" si="447"/>
        <v>25000</v>
      </c>
      <c r="BP96" s="489">
        <f t="shared" si="447"/>
        <v>0</v>
      </c>
      <c r="BQ96" s="489">
        <f t="shared" si="447"/>
        <v>0</v>
      </c>
      <c r="BR96" s="490">
        <f t="shared" si="609"/>
        <v>0</v>
      </c>
    </row>
    <row r="97" spans="1:70" s="295" customFormat="1" ht="14.45" customHeight="1">
      <c r="A97" s="482" t="s">
        <v>139</v>
      </c>
      <c r="B97" s="483"/>
      <c r="C97" s="484"/>
      <c r="D97" s="485">
        <v>40000</v>
      </c>
      <c r="E97" s="484" t="s">
        <v>276</v>
      </c>
      <c r="F97" s="487"/>
      <c r="G97" s="487"/>
      <c r="H97" s="487"/>
      <c r="I97" s="487"/>
      <c r="J97" s="487"/>
      <c r="K97" s="486"/>
      <c r="L97" s="486">
        <v>0</v>
      </c>
      <c r="M97" s="486">
        <v>0</v>
      </c>
      <c r="N97" s="486">
        <v>0</v>
      </c>
      <c r="O97" s="486">
        <v>0</v>
      </c>
      <c r="P97" s="486">
        <v>0</v>
      </c>
      <c r="Q97" s="486">
        <v>0</v>
      </c>
      <c r="R97" s="486">
        <v>0</v>
      </c>
      <c r="S97" s="486">
        <v>0</v>
      </c>
      <c r="T97" s="486">
        <v>0</v>
      </c>
      <c r="U97" s="486"/>
      <c r="V97" s="486"/>
      <c r="W97" s="486">
        <v>1</v>
      </c>
      <c r="X97" s="486"/>
      <c r="Y97" s="486"/>
      <c r="Z97" s="488">
        <f t="shared" si="590"/>
        <v>1</v>
      </c>
      <c r="AA97" s="484"/>
      <c r="AB97" s="484"/>
      <c r="AC97" s="489">
        <f t="shared" si="591"/>
        <v>0</v>
      </c>
      <c r="AD97" s="489">
        <f t="shared" si="592"/>
        <v>0</v>
      </c>
      <c r="AE97" s="489">
        <f t="shared" si="593"/>
        <v>0</v>
      </c>
      <c r="AF97" s="489">
        <f t="shared" si="594"/>
        <v>0</v>
      </c>
      <c r="AG97" s="489">
        <f t="shared" si="595"/>
        <v>0</v>
      </c>
      <c r="AH97" s="485">
        <f t="shared" si="596"/>
        <v>0</v>
      </c>
      <c r="AI97" s="489">
        <f t="shared" si="597"/>
        <v>0</v>
      </c>
      <c r="AJ97" s="485">
        <f t="shared" si="598"/>
        <v>0</v>
      </c>
      <c r="AK97" s="489">
        <f t="shared" si="599"/>
        <v>0</v>
      </c>
      <c r="AL97" s="489">
        <f t="shared" si="600"/>
        <v>0</v>
      </c>
      <c r="AM97" s="485">
        <f t="shared" si="601"/>
        <v>0</v>
      </c>
      <c r="AN97" s="492">
        <f t="shared" si="602"/>
        <v>0</v>
      </c>
      <c r="AO97" s="492">
        <f t="shared" si="603"/>
        <v>0</v>
      </c>
      <c r="AP97" s="492">
        <f t="shared" si="604"/>
        <v>0</v>
      </c>
      <c r="AQ97" s="492">
        <f t="shared" si="604"/>
        <v>0</v>
      </c>
      <c r="AR97" s="492">
        <f t="shared" si="605"/>
        <v>0</v>
      </c>
      <c r="AS97" s="492">
        <f t="shared" si="606"/>
        <v>0</v>
      </c>
      <c r="AT97" s="492">
        <f t="shared" si="607"/>
        <v>40000</v>
      </c>
      <c r="AU97" s="492">
        <f t="shared" si="608"/>
        <v>0</v>
      </c>
      <c r="AV97" s="489"/>
      <c r="AW97" s="489"/>
      <c r="AX97" s="489">
        <f t="shared" si="488"/>
        <v>0</v>
      </c>
      <c r="AY97" s="489">
        <f t="shared" si="488"/>
        <v>0</v>
      </c>
      <c r="AZ97" s="489">
        <f t="shared" si="488"/>
        <v>0</v>
      </c>
      <c r="BA97" s="489">
        <f t="shared" si="488"/>
        <v>0</v>
      </c>
      <c r="BB97" s="489">
        <f t="shared" si="488"/>
        <v>0</v>
      </c>
      <c r="BC97" s="489">
        <f t="shared" si="488"/>
        <v>0</v>
      </c>
      <c r="BD97" s="489">
        <f t="shared" si="488"/>
        <v>0</v>
      </c>
      <c r="BE97" s="489">
        <f t="shared" si="488"/>
        <v>0</v>
      </c>
      <c r="BF97" s="489">
        <f t="shared" si="488"/>
        <v>0</v>
      </c>
      <c r="BG97" s="489">
        <f t="shared" si="488"/>
        <v>0</v>
      </c>
      <c r="BH97" s="489">
        <f t="shared" si="488"/>
        <v>0</v>
      </c>
      <c r="BI97" s="489">
        <f t="shared" si="488"/>
        <v>0</v>
      </c>
      <c r="BJ97" s="489">
        <f t="shared" si="488"/>
        <v>0</v>
      </c>
      <c r="BK97" s="489">
        <f t="shared" si="488"/>
        <v>0</v>
      </c>
      <c r="BL97" s="489">
        <f t="shared" si="488"/>
        <v>0</v>
      </c>
      <c r="BM97" s="489">
        <f t="shared" si="488"/>
        <v>0</v>
      </c>
      <c r="BN97" s="489">
        <f t="shared" si="447"/>
        <v>0</v>
      </c>
      <c r="BO97" s="489">
        <f t="shared" si="447"/>
        <v>40000</v>
      </c>
      <c r="BP97" s="489">
        <f t="shared" si="447"/>
        <v>0</v>
      </c>
      <c r="BQ97" s="489">
        <f t="shared" si="447"/>
        <v>0</v>
      </c>
      <c r="BR97" s="490">
        <f t="shared" si="609"/>
        <v>0</v>
      </c>
    </row>
    <row r="98" spans="1:70" s="295" customFormat="1" ht="14.45" customHeight="1">
      <c r="A98" s="482" t="s">
        <v>142</v>
      </c>
      <c r="B98" s="483"/>
      <c r="C98" s="484"/>
      <c r="D98" s="485">
        <v>30000</v>
      </c>
      <c r="E98" s="484" t="s">
        <v>281</v>
      </c>
      <c r="F98" s="487"/>
      <c r="G98" s="487"/>
      <c r="H98" s="487"/>
      <c r="I98" s="487"/>
      <c r="J98" s="487"/>
      <c r="K98" s="486"/>
      <c r="L98" s="486">
        <v>0</v>
      </c>
      <c r="M98" s="486">
        <v>0</v>
      </c>
      <c r="N98" s="486">
        <v>0</v>
      </c>
      <c r="O98" s="486">
        <v>0</v>
      </c>
      <c r="P98" s="486">
        <v>0</v>
      </c>
      <c r="Q98" s="486">
        <v>0</v>
      </c>
      <c r="R98" s="486">
        <v>0</v>
      </c>
      <c r="S98" s="486">
        <v>0</v>
      </c>
      <c r="T98" s="486">
        <v>0</v>
      </c>
      <c r="U98" s="486"/>
      <c r="V98" s="486"/>
      <c r="W98" s="486"/>
      <c r="X98" s="486">
        <v>1</v>
      </c>
      <c r="Y98" s="486"/>
      <c r="Z98" s="488">
        <f t="shared" si="549"/>
        <v>1</v>
      </c>
      <c r="AA98" s="484"/>
      <c r="AB98" s="484"/>
      <c r="AC98" s="489">
        <f t="shared" si="550"/>
        <v>0</v>
      </c>
      <c r="AD98" s="489">
        <f t="shared" si="551"/>
        <v>0</v>
      </c>
      <c r="AE98" s="489">
        <f t="shared" si="552"/>
        <v>0</v>
      </c>
      <c r="AF98" s="489">
        <f t="shared" si="553"/>
        <v>0</v>
      </c>
      <c r="AG98" s="489">
        <f t="shared" si="554"/>
        <v>0</v>
      </c>
      <c r="AH98" s="485">
        <f t="shared" si="555"/>
        <v>0</v>
      </c>
      <c r="AI98" s="489">
        <f t="shared" si="556"/>
        <v>0</v>
      </c>
      <c r="AJ98" s="485">
        <f t="shared" si="557"/>
        <v>0</v>
      </c>
      <c r="AK98" s="489">
        <f t="shared" si="558"/>
        <v>0</v>
      </c>
      <c r="AL98" s="489">
        <f t="shared" si="559"/>
        <v>0</v>
      </c>
      <c r="AM98" s="485">
        <f t="shared" si="560"/>
        <v>0</v>
      </c>
      <c r="AN98" s="492">
        <f t="shared" si="561"/>
        <v>0</v>
      </c>
      <c r="AO98" s="492">
        <f t="shared" si="562"/>
        <v>0</v>
      </c>
      <c r="AP98" s="492">
        <f t="shared" si="563"/>
        <v>0</v>
      </c>
      <c r="AQ98" s="492">
        <f t="shared" si="564"/>
        <v>0</v>
      </c>
      <c r="AR98" s="492">
        <f t="shared" si="565"/>
        <v>0</v>
      </c>
      <c r="AS98" s="492">
        <f t="shared" si="566"/>
        <v>0</v>
      </c>
      <c r="AT98" s="492">
        <f t="shared" si="567"/>
        <v>0</v>
      </c>
      <c r="AU98" s="492">
        <f t="shared" si="568"/>
        <v>30000</v>
      </c>
      <c r="AV98" s="489"/>
      <c r="AW98" s="489"/>
      <c r="AX98" s="489">
        <f t="shared" si="488"/>
        <v>0</v>
      </c>
      <c r="AY98" s="489">
        <f t="shared" si="488"/>
        <v>0</v>
      </c>
      <c r="AZ98" s="489">
        <f t="shared" si="488"/>
        <v>0</v>
      </c>
      <c r="BA98" s="489">
        <f t="shared" si="488"/>
        <v>0</v>
      </c>
      <c r="BB98" s="489">
        <f t="shared" si="488"/>
        <v>0</v>
      </c>
      <c r="BC98" s="489">
        <f t="shared" si="488"/>
        <v>0</v>
      </c>
      <c r="BD98" s="489">
        <f t="shared" si="488"/>
        <v>0</v>
      </c>
      <c r="BE98" s="489">
        <f t="shared" si="488"/>
        <v>0</v>
      </c>
      <c r="BF98" s="489">
        <f t="shared" si="488"/>
        <v>0</v>
      </c>
      <c r="BG98" s="489">
        <f t="shared" si="488"/>
        <v>0</v>
      </c>
      <c r="BH98" s="489">
        <f t="shared" si="488"/>
        <v>0</v>
      </c>
      <c r="BI98" s="489">
        <f t="shared" si="488"/>
        <v>0</v>
      </c>
      <c r="BJ98" s="489">
        <f t="shared" si="488"/>
        <v>0</v>
      </c>
      <c r="BK98" s="489">
        <f t="shared" si="488"/>
        <v>0</v>
      </c>
      <c r="BL98" s="489">
        <f t="shared" si="488"/>
        <v>0</v>
      </c>
      <c r="BM98" s="489">
        <f t="shared" si="488"/>
        <v>0</v>
      </c>
      <c r="BN98" s="489">
        <f t="shared" si="447"/>
        <v>0</v>
      </c>
      <c r="BO98" s="489">
        <f t="shared" si="447"/>
        <v>0</v>
      </c>
      <c r="BP98" s="489">
        <f t="shared" si="447"/>
        <v>30000</v>
      </c>
      <c r="BQ98" s="489">
        <f t="shared" si="447"/>
        <v>0</v>
      </c>
      <c r="BR98" s="490">
        <f t="shared" si="420"/>
        <v>0</v>
      </c>
    </row>
    <row r="99" spans="1:70" s="295" customFormat="1" ht="14.45" customHeight="1">
      <c r="A99" s="493" t="s">
        <v>145</v>
      </c>
      <c r="B99" s="494"/>
      <c r="C99" s="495"/>
      <c r="D99" s="496">
        <v>120000</v>
      </c>
      <c r="E99" s="495" t="s">
        <v>221</v>
      </c>
      <c r="F99" s="497"/>
      <c r="G99" s="497"/>
      <c r="H99" s="497"/>
      <c r="I99" s="497"/>
      <c r="J99" s="497"/>
      <c r="K99" s="498">
        <v>0</v>
      </c>
      <c r="L99" s="498">
        <v>0</v>
      </c>
      <c r="M99" s="498">
        <v>0.08333333</v>
      </c>
      <c r="N99" s="498">
        <v>0.041666665</v>
      </c>
      <c r="O99" s="498">
        <v>0.041666666666666664</v>
      </c>
      <c r="P99" s="498">
        <f>14.1666666666667%-0.05</f>
        <v>0.091666666666667</v>
      </c>
      <c r="Q99" s="498">
        <v>0.1</v>
      </c>
      <c r="R99" s="499">
        <v>0</v>
      </c>
      <c r="S99" s="500">
        <v>0.25</v>
      </c>
      <c r="T99" s="498">
        <v>0.1</v>
      </c>
      <c r="U99" s="498"/>
      <c r="V99" s="498"/>
      <c r="W99" s="498">
        <v>0.20833333333333334</v>
      </c>
      <c r="X99" s="498"/>
      <c r="Y99" s="498">
        <v>0.08333333333333333</v>
      </c>
      <c r="Z99" s="501">
        <f>SUM(F99:Y99)</f>
        <v>0.9999999950000004</v>
      </c>
      <c r="AA99" s="495"/>
      <c r="AB99" s="495"/>
      <c r="AC99" s="496">
        <f t="shared" si="0"/>
        <v>0</v>
      </c>
      <c r="AD99" s="496">
        <f t="shared" si="1"/>
        <v>0</v>
      </c>
      <c r="AE99" s="496">
        <f t="shared" si="2"/>
        <v>0</v>
      </c>
      <c r="AF99" s="496">
        <f t="shared" si="3"/>
        <v>0</v>
      </c>
      <c r="AG99" s="496">
        <f aca="true" t="shared" si="633" ref="AG99:AG110">J99*$D99</f>
        <v>0</v>
      </c>
      <c r="AH99" s="496">
        <f t="shared" si="22"/>
        <v>0</v>
      </c>
      <c r="AI99" s="496">
        <f t="shared" si="23"/>
        <v>0</v>
      </c>
      <c r="AJ99" s="496">
        <f t="shared" si="24"/>
        <v>9999.9996</v>
      </c>
      <c r="AK99" s="502">
        <f>N99*$D99</f>
        <v>4999.9998</v>
      </c>
      <c r="AL99" s="496">
        <f t="shared" si="19"/>
        <v>5000</v>
      </c>
      <c r="AM99" s="496">
        <f t="shared" si="8"/>
        <v>11000.00000000004</v>
      </c>
      <c r="AN99" s="503">
        <f t="shared" si="9"/>
        <v>12000</v>
      </c>
      <c r="AO99" s="496">
        <f t="shared" si="10"/>
        <v>0</v>
      </c>
      <c r="AP99" s="496">
        <f t="shared" si="11"/>
        <v>30000</v>
      </c>
      <c r="AQ99" s="496">
        <f t="shared" si="12"/>
        <v>12000</v>
      </c>
      <c r="AR99" s="496">
        <f t="shared" si="397"/>
        <v>0</v>
      </c>
      <c r="AS99" s="496">
        <f t="shared" si="14"/>
        <v>0</v>
      </c>
      <c r="AT99" s="496">
        <f t="shared" si="15"/>
        <v>25000</v>
      </c>
      <c r="AU99" s="496">
        <f t="shared" si="16"/>
        <v>0</v>
      </c>
      <c r="AV99" s="496">
        <f t="shared" si="16"/>
        <v>10000</v>
      </c>
      <c r="AW99" s="496"/>
      <c r="AX99" s="496">
        <f t="shared" si="398"/>
        <v>0</v>
      </c>
      <c r="AY99" s="496">
        <f t="shared" si="398"/>
        <v>0</v>
      </c>
      <c r="AZ99" s="496">
        <f t="shared" si="398"/>
        <v>0</v>
      </c>
      <c r="BA99" s="496">
        <f t="shared" si="398"/>
        <v>0</v>
      </c>
      <c r="BB99" s="496">
        <f t="shared" si="398"/>
        <v>0</v>
      </c>
      <c r="BC99" s="496">
        <f t="shared" si="398"/>
        <v>0</v>
      </c>
      <c r="BD99" s="496">
        <f t="shared" si="398"/>
        <v>0</v>
      </c>
      <c r="BE99" s="496">
        <f t="shared" si="398"/>
        <v>120000</v>
      </c>
      <c r="BF99" s="496">
        <f t="shared" si="398"/>
        <v>0</v>
      </c>
      <c r="BG99" s="496">
        <f t="shared" si="398"/>
        <v>0</v>
      </c>
      <c r="BH99" s="496">
        <f t="shared" si="398"/>
        <v>0</v>
      </c>
      <c r="BI99" s="496">
        <f t="shared" si="398"/>
        <v>0</v>
      </c>
      <c r="BJ99" s="496">
        <f t="shared" si="398"/>
        <v>0</v>
      </c>
      <c r="BK99" s="496">
        <f t="shared" si="398"/>
        <v>0</v>
      </c>
      <c r="BL99" s="496">
        <f t="shared" si="398"/>
        <v>0</v>
      </c>
      <c r="BM99" s="496">
        <f t="shared" si="447"/>
        <v>0</v>
      </c>
      <c r="BN99" s="496">
        <f t="shared" si="447"/>
        <v>0</v>
      </c>
      <c r="BO99" s="496">
        <f t="shared" si="447"/>
        <v>0</v>
      </c>
      <c r="BP99" s="496">
        <f t="shared" si="447"/>
        <v>0</v>
      </c>
      <c r="BQ99" s="496">
        <f t="shared" si="447"/>
        <v>0</v>
      </c>
      <c r="BR99" s="504">
        <f t="shared" si="420"/>
        <v>-0.0005999999557388946</v>
      </c>
    </row>
    <row r="100" spans="1:70" s="295" customFormat="1" ht="14.45" customHeight="1">
      <c r="A100" s="493" t="s">
        <v>146</v>
      </c>
      <c r="B100" s="494"/>
      <c r="C100" s="495"/>
      <c r="D100" s="496">
        <v>7666.96</v>
      </c>
      <c r="E100" s="495" t="s">
        <v>195</v>
      </c>
      <c r="F100" s="500"/>
      <c r="G100" s="500">
        <v>1</v>
      </c>
      <c r="H100" s="500">
        <v>0</v>
      </c>
      <c r="I100" s="500">
        <v>0</v>
      </c>
      <c r="J100" s="497"/>
      <c r="K100" s="497"/>
      <c r="L100" s="497"/>
      <c r="M100" s="497"/>
      <c r="N100" s="497"/>
      <c r="O100" s="497"/>
      <c r="P100" s="497"/>
      <c r="Q100" s="497"/>
      <c r="R100" s="497"/>
      <c r="S100" s="497"/>
      <c r="T100" s="497"/>
      <c r="U100" s="497"/>
      <c r="V100" s="497"/>
      <c r="W100" s="497"/>
      <c r="X100" s="497"/>
      <c r="Y100" s="497"/>
      <c r="Z100" s="501">
        <f aca="true" t="shared" si="634" ref="Z100:Z102">SUM(F100:Y100)</f>
        <v>1</v>
      </c>
      <c r="AA100" s="495"/>
      <c r="AB100" s="495"/>
      <c r="AC100" s="496">
        <f t="shared" si="0"/>
        <v>0</v>
      </c>
      <c r="AD100" s="496">
        <f t="shared" si="1"/>
        <v>7666.96</v>
      </c>
      <c r="AE100" s="496">
        <f t="shared" si="2"/>
        <v>0</v>
      </c>
      <c r="AF100" s="496">
        <f t="shared" si="3"/>
        <v>0</v>
      </c>
      <c r="AG100" s="496">
        <f t="shared" si="633"/>
        <v>0</v>
      </c>
      <c r="AH100" s="496">
        <f t="shared" si="22"/>
        <v>0</v>
      </c>
      <c r="AI100" s="496">
        <f t="shared" si="23"/>
        <v>0</v>
      </c>
      <c r="AJ100" s="496">
        <f t="shared" si="24"/>
        <v>0</v>
      </c>
      <c r="AK100" s="502">
        <f>N100*$D100</f>
        <v>0</v>
      </c>
      <c r="AL100" s="496">
        <f t="shared" si="19"/>
        <v>0</v>
      </c>
      <c r="AM100" s="496">
        <f t="shared" si="8"/>
        <v>0</v>
      </c>
      <c r="AN100" s="503">
        <f t="shared" si="9"/>
        <v>0</v>
      </c>
      <c r="AO100" s="496">
        <f t="shared" si="10"/>
        <v>0</v>
      </c>
      <c r="AP100" s="496">
        <f t="shared" si="11"/>
        <v>0</v>
      </c>
      <c r="AQ100" s="496">
        <f t="shared" si="12"/>
        <v>0</v>
      </c>
      <c r="AR100" s="496">
        <f t="shared" si="397"/>
        <v>0</v>
      </c>
      <c r="AS100" s="496">
        <f t="shared" si="14"/>
        <v>0</v>
      </c>
      <c r="AT100" s="496">
        <f t="shared" si="15"/>
        <v>0</v>
      </c>
      <c r="AU100" s="496">
        <f t="shared" si="16"/>
        <v>0</v>
      </c>
      <c r="AV100" s="496">
        <f t="shared" si="16"/>
        <v>0</v>
      </c>
      <c r="AW100" s="496"/>
      <c r="AX100" s="496">
        <f t="shared" si="398"/>
        <v>0</v>
      </c>
      <c r="AY100" s="496">
        <f t="shared" si="398"/>
        <v>7666.96</v>
      </c>
      <c r="AZ100" s="496">
        <f t="shared" si="398"/>
        <v>0</v>
      </c>
      <c r="BA100" s="496">
        <f t="shared" si="398"/>
        <v>0</v>
      </c>
      <c r="BB100" s="496">
        <f t="shared" si="398"/>
        <v>0</v>
      </c>
      <c r="BC100" s="496">
        <f t="shared" si="398"/>
        <v>0</v>
      </c>
      <c r="BD100" s="496">
        <f t="shared" si="398"/>
        <v>0</v>
      </c>
      <c r="BE100" s="496">
        <f t="shared" si="398"/>
        <v>0</v>
      </c>
      <c r="BF100" s="496">
        <f t="shared" si="398"/>
        <v>0</v>
      </c>
      <c r="BG100" s="496">
        <f t="shared" si="398"/>
        <v>0</v>
      </c>
      <c r="BH100" s="496">
        <f t="shared" si="398"/>
        <v>0</v>
      </c>
      <c r="BI100" s="496">
        <f t="shared" si="398"/>
        <v>0</v>
      </c>
      <c r="BJ100" s="496">
        <f t="shared" si="398"/>
        <v>0</v>
      </c>
      <c r="BK100" s="496">
        <f t="shared" si="398"/>
        <v>0</v>
      </c>
      <c r="BL100" s="496">
        <f t="shared" si="398"/>
        <v>0</v>
      </c>
      <c r="BM100" s="496">
        <f t="shared" si="447"/>
        <v>0</v>
      </c>
      <c r="BN100" s="496">
        <f t="shared" si="447"/>
        <v>0</v>
      </c>
      <c r="BO100" s="496">
        <f t="shared" si="447"/>
        <v>0</v>
      </c>
      <c r="BP100" s="496">
        <f t="shared" si="447"/>
        <v>0</v>
      </c>
      <c r="BQ100" s="496">
        <f t="shared" si="447"/>
        <v>0</v>
      </c>
      <c r="BR100" s="504">
        <f t="shared" si="420"/>
        <v>0</v>
      </c>
    </row>
    <row r="101" spans="1:70" s="295" customFormat="1" ht="14.45" customHeight="1">
      <c r="A101" s="493" t="s">
        <v>146</v>
      </c>
      <c r="B101" s="494"/>
      <c r="C101" s="495"/>
      <c r="D101" s="496">
        <v>1124.38</v>
      </c>
      <c r="E101" s="495" t="s">
        <v>167</v>
      </c>
      <c r="F101" s="500"/>
      <c r="G101" s="500">
        <v>0</v>
      </c>
      <c r="H101" s="500">
        <v>0</v>
      </c>
      <c r="I101" s="500">
        <v>1</v>
      </c>
      <c r="J101" s="497"/>
      <c r="K101" s="497"/>
      <c r="L101" s="497"/>
      <c r="M101" s="497"/>
      <c r="N101" s="497"/>
      <c r="O101" s="497"/>
      <c r="P101" s="497"/>
      <c r="Q101" s="497"/>
      <c r="R101" s="497"/>
      <c r="S101" s="497"/>
      <c r="T101" s="497"/>
      <c r="U101" s="497"/>
      <c r="V101" s="497"/>
      <c r="W101" s="497"/>
      <c r="X101" s="497"/>
      <c r="Y101" s="497"/>
      <c r="Z101" s="501">
        <f t="shared" si="634"/>
        <v>1</v>
      </c>
      <c r="AA101" s="495"/>
      <c r="AB101" s="495"/>
      <c r="AC101" s="496">
        <f aca="true" t="shared" si="635" ref="AC101">F101*$D101</f>
        <v>0</v>
      </c>
      <c r="AD101" s="496">
        <f aca="true" t="shared" si="636" ref="AD101">G101*$D101</f>
        <v>0</v>
      </c>
      <c r="AE101" s="496">
        <f aca="true" t="shared" si="637" ref="AE101">H101*$D101</f>
        <v>0</v>
      </c>
      <c r="AF101" s="496">
        <f aca="true" t="shared" si="638" ref="AF101">I101*$D101</f>
        <v>1124.38</v>
      </c>
      <c r="AG101" s="496">
        <f t="shared" si="633"/>
        <v>0</v>
      </c>
      <c r="AH101" s="496">
        <f aca="true" t="shared" si="639" ref="AH101">K101*$D101</f>
        <v>0</v>
      </c>
      <c r="AI101" s="496">
        <f aca="true" t="shared" si="640" ref="AI101">L101*$D101</f>
        <v>0</v>
      </c>
      <c r="AJ101" s="496">
        <f aca="true" t="shared" si="641" ref="AJ101">M101*$D101</f>
        <v>0</v>
      </c>
      <c r="AK101" s="502">
        <f aca="true" t="shared" si="642" ref="AK101">N101*$D101</f>
        <v>0</v>
      </c>
      <c r="AL101" s="496">
        <f aca="true" t="shared" si="643" ref="AL101">O101*$D101</f>
        <v>0</v>
      </c>
      <c r="AM101" s="496">
        <f aca="true" t="shared" si="644" ref="AM101">P101*$D101</f>
        <v>0</v>
      </c>
      <c r="AN101" s="503">
        <f aca="true" t="shared" si="645" ref="AN101">Q101*$D101</f>
        <v>0</v>
      </c>
      <c r="AO101" s="496">
        <f aca="true" t="shared" si="646" ref="AO101">R101*$D101</f>
        <v>0</v>
      </c>
      <c r="AP101" s="496">
        <f aca="true" t="shared" si="647" ref="AP101">S101*$D101</f>
        <v>0</v>
      </c>
      <c r="AQ101" s="496">
        <f aca="true" t="shared" si="648" ref="AQ101">T101*$D101</f>
        <v>0</v>
      </c>
      <c r="AR101" s="496">
        <f t="shared" si="397"/>
        <v>0</v>
      </c>
      <c r="AS101" s="496">
        <f t="shared" si="14"/>
        <v>0</v>
      </c>
      <c r="AT101" s="496">
        <f t="shared" si="15"/>
        <v>0</v>
      </c>
      <c r="AU101" s="496">
        <f t="shared" si="16"/>
        <v>0</v>
      </c>
      <c r="AV101" s="496">
        <f t="shared" si="16"/>
        <v>0</v>
      </c>
      <c r="AW101" s="496"/>
      <c r="AX101" s="496">
        <f aca="true" t="shared" si="649" ref="AX101:BL109">IF(AX$3=$E101,$D101,0)</f>
        <v>0</v>
      </c>
      <c r="AY101" s="496">
        <f t="shared" si="649"/>
        <v>0</v>
      </c>
      <c r="AZ101" s="496">
        <f t="shared" si="649"/>
        <v>1124.38</v>
      </c>
      <c r="BA101" s="496">
        <f t="shared" si="649"/>
        <v>0</v>
      </c>
      <c r="BB101" s="496">
        <f t="shared" si="649"/>
        <v>0</v>
      </c>
      <c r="BC101" s="496">
        <f t="shared" si="649"/>
        <v>0</v>
      </c>
      <c r="BD101" s="496">
        <f t="shared" si="649"/>
        <v>0</v>
      </c>
      <c r="BE101" s="496">
        <f t="shared" si="649"/>
        <v>0</v>
      </c>
      <c r="BF101" s="496">
        <f t="shared" si="649"/>
        <v>0</v>
      </c>
      <c r="BG101" s="496">
        <f t="shared" si="649"/>
        <v>0</v>
      </c>
      <c r="BH101" s="496">
        <f t="shared" si="649"/>
        <v>0</v>
      </c>
      <c r="BI101" s="496">
        <f t="shared" si="649"/>
        <v>0</v>
      </c>
      <c r="BJ101" s="496">
        <f t="shared" si="649"/>
        <v>0</v>
      </c>
      <c r="BK101" s="496">
        <f t="shared" si="649"/>
        <v>0</v>
      </c>
      <c r="BL101" s="496">
        <f t="shared" si="649"/>
        <v>0</v>
      </c>
      <c r="BM101" s="496">
        <f t="shared" si="447"/>
        <v>0</v>
      </c>
      <c r="BN101" s="496">
        <f t="shared" si="447"/>
        <v>0</v>
      </c>
      <c r="BO101" s="496">
        <f t="shared" si="447"/>
        <v>0</v>
      </c>
      <c r="BP101" s="496">
        <f t="shared" si="447"/>
        <v>0</v>
      </c>
      <c r="BQ101" s="496">
        <f t="shared" si="447"/>
        <v>0</v>
      </c>
      <c r="BR101" s="504">
        <f t="shared" si="420"/>
        <v>0</v>
      </c>
    </row>
    <row r="102" spans="1:70" s="295" customFormat="1" ht="14.45" customHeight="1">
      <c r="A102" s="493" t="s">
        <v>146</v>
      </c>
      <c r="B102" s="494"/>
      <c r="C102" s="495"/>
      <c r="D102" s="496">
        <v>982.1</v>
      </c>
      <c r="E102" s="495" t="s">
        <v>167</v>
      </c>
      <c r="F102" s="500"/>
      <c r="G102" s="500">
        <v>0</v>
      </c>
      <c r="H102" s="500">
        <v>0.18181818181818182</v>
      </c>
      <c r="I102" s="500">
        <v>0.2727272727272727</v>
      </c>
      <c r="J102" s="505">
        <v>0.2727272727272727</v>
      </c>
      <c r="K102" s="505">
        <v>0.2727272727272727</v>
      </c>
      <c r="L102" s="497"/>
      <c r="M102" s="497"/>
      <c r="N102" s="497"/>
      <c r="O102" s="497"/>
      <c r="P102" s="497"/>
      <c r="Q102" s="497"/>
      <c r="R102" s="497"/>
      <c r="S102" s="497"/>
      <c r="T102" s="497"/>
      <c r="U102" s="497"/>
      <c r="V102" s="497"/>
      <c r="W102" s="497"/>
      <c r="X102" s="497"/>
      <c r="Y102" s="497"/>
      <c r="Z102" s="501">
        <f t="shared" si="634"/>
        <v>1</v>
      </c>
      <c r="AA102" s="495"/>
      <c r="AB102" s="495"/>
      <c r="AC102" s="496">
        <f aca="true" t="shared" si="650" ref="AC102:AV102">F102*$D102</f>
        <v>0</v>
      </c>
      <c r="AD102" s="496">
        <f t="shared" si="650"/>
        <v>0</v>
      </c>
      <c r="AE102" s="496">
        <f t="shared" si="650"/>
        <v>178.56363636363636</v>
      </c>
      <c r="AF102" s="496">
        <f t="shared" si="650"/>
        <v>267.8454545454545</v>
      </c>
      <c r="AG102" s="496">
        <f t="shared" si="650"/>
        <v>267.8454545454545</v>
      </c>
      <c r="AH102" s="496">
        <f t="shared" si="650"/>
        <v>267.8454545454545</v>
      </c>
      <c r="AI102" s="496">
        <f t="shared" si="650"/>
        <v>0</v>
      </c>
      <c r="AJ102" s="496">
        <f t="shared" si="650"/>
        <v>0</v>
      </c>
      <c r="AK102" s="502">
        <f t="shared" si="650"/>
        <v>0</v>
      </c>
      <c r="AL102" s="496">
        <f t="shared" si="650"/>
        <v>0</v>
      </c>
      <c r="AM102" s="496">
        <f t="shared" si="650"/>
        <v>0</v>
      </c>
      <c r="AN102" s="503">
        <f t="shared" si="650"/>
        <v>0</v>
      </c>
      <c r="AO102" s="496">
        <f t="shared" si="650"/>
        <v>0</v>
      </c>
      <c r="AP102" s="496">
        <f t="shared" si="650"/>
        <v>0</v>
      </c>
      <c r="AQ102" s="496">
        <f t="shared" si="650"/>
        <v>0</v>
      </c>
      <c r="AR102" s="496">
        <f t="shared" si="650"/>
        <v>0</v>
      </c>
      <c r="AS102" s="496">
        <f t="shared" si="650"/>
        <v>0</v>
      </c>
      <c r="AT102" s="496">
        <f t="shared" si="650"/>
        <v>0</v>
      </c>
      <c r="AU102" s="496">
        <f t="shared" si="650"/>
        <v>0</v>
      </c>
      <c r="AV102" s="496">
        <f t="shared" si="650"/>
        <v>0</v>
      </c>
      <c r="AW102" s="496"/>
      <c r="AX102" s="496">
        <f aca="true" t="shared" si="651" ref="AX102:BQ102">IF(AX$3=$E102,$D102,0)</f>
        <v>0</v>
      </c>
      <c r="AY102" s="496">
        <f t="shared" si="651"/>
        <v>0</v>
      </c>
      <c r="AZ102" s="496">
        <f t="shared" si="651"/>
        <v>982.1</v>
      </c>
      <c r="BA102" s="496">
        <f t="shared" si="651"/>
        <v>0</v>
      </c>
      <c r="BB102" s="496">
        <f t="shared" si="651"/>
        <v>0</v>
      </c>
      <c r="BC102" s="496">
        <f t="shared" si="651"/>
        <v>0</v>
      </c>
      <c r="BD102" s="496">
        <f t="shared" si="651"/>
        <v>0</v>
      </c>
      <c r="BE102" s="496">
        <f t="shared" si="651"/>
        <v>0</v>
      </c>
      <c r="BF102" s="496">
        <f t="shared" si="651"/>
        <v>0</v>
      </c>
      <c r="BG102" s="496">
        <f t="shared" si="651"/>
        <v>0</v>
      </c>
      <c r="BH102" s="496">
        <f t="shared" si="651"/>
        <v>0</v>
      </c>
      <c r="BI102" s="496">
        <f t="shared" si="651"/>
        <v>0</v>
      </c>
      <c r="BJ102" s="496">
        <f t="shared" si="651"/>
        <v>0</v>
      </c>
      <c r="BK102" s="496">
        <f t="shared" si="651"/>
        <v>0</v>
      </c>
      <c r="BL102" s="496">
        <f t="shared" si="651"/>
        <v>0</v>
      </c>
      <c r="BM102" s="496">
        <f t="shared" si="651"/>
        <v>0</v>
      </c>
      <c r="BN102" s="496">
        <f t="shared" si="651"/>
        <v>0</v>
      </c>
      <c r="BO102" s="496">
        <f t="shared" si="651"/>
        <v>0</v>
      </c>
      <c r="BP102" s="496">
        <f t="shared" si="651"/>
        <v>0</v>
      </c>
      <c r="BQ102" s="496">
        <f t="shared" si="651"/>
        <v>0</v>
      </c>
      <c r="BR102" s="504">
        <f t="shared" si="420"/>
        <v>0</v>
      </c>
    </row>
    <row r="103" spans="1:70" ht="14.45" customHeight="1" outlineLevel="1">
      <c r="A103" s="493" t="s">
        <v>143</v>
      </c>
      <c r="B103" s="494"/>
      <c r="C103" s="495"/>
      <c r="D103" s="496">
        <f>SUM(F103:X103)</f>
        <v>15389.66</v>
      </c>
      <c r="E103" s="497" t="s">
        <v>167</v>
      </c>
      <c r="F103" s="506"/>
      <c r="G103" s="506">
        <v>0</v>
      </c>
      <c r="H103" s="506">
        <v>375</v>
      </c>
      <c r="I103" s="506">
        <v>4500</v>
      </c>
      <c r="J103" s="506">
        <v>4848.48</v>
      </c>
      <c r="K103" s="506">
        <v>4771.52</v>
      </c>
      <c r="L103" s="506">
        <v>894.66</v>
      </c>
      <c r="M103" s="506">
        <v>0</v>
      </c>
      <c r="N103" s="506">
        <v>0</v>
      </c>
      <c r="O103" s="506">
        <v>0</v>
      </c>
      <c r="P103" s="506">
        <v>0</v>
      </c>
      <c r="Q103" s="506">
        <v>0</v>
      </c>
      <c r="R103" s="522">
        <v>0</v>
      </c>
      <c r="S103" s="506">
        <v>0</v>
      </c>
      <c r="T103" s="507">
        <v>0</v>
      </c>
      <c r="U103" s="507">
        <v>0</v>
      </c>
      <c r="V103" s="507">
        <v>0</v>
      </c>
      <c r="W103" s="507">
        <v>0</v>
      </c>
      <c r="X103" s="507">
        <v>0</v>
      </c>
      <c r="Y103" s="507"/>
      <c r="Z103" s="496">
        <f aca="true" t="shared" si="652" ref="Z103:Z108">SUM(F103:Y103)</f>
        <v>15389.66</v>
      </c>
      <c r="AA103" s="495"/>
      <c r="AB103" s="495"/>
      <c r="AC103" s="496">
        <f aca="true" t="shared" si="653" ref="AC103:AV103">F103</f>
        <v>0</v>
      </c>
      <c r="AD103" s="496">
        <f t="shared" si="653"/>
        <v>0</v>
      </c>
      <c r="AE103" s="496">
        <f t="shared" si="653"/>
        <v>375</v>
      </c>
      <c r="AF103" s="496">
        <f t="shared" si="653"/>
        <v>4500</v>
      </c>
      <c r="AG103" s="496">
        <f t="shared" si="653"/>
        <v>4848.48</v>
      </c>
      <c r="AH103" s="496">
        <f t="shared" si="653"/>
        <v>4771.52</v>
      </c>
      <c r="AI103" s="496">
        <f t="shared" si="653"/>
        <v>894.66</v>
      </c>
      <c r="AJ103" s="496">
        <f t="shared" si="653"/>
        <v>0</v>
      </c>
      <c r="AK103" s="502">
        <f t="shared" si="653"/>
        <v>0</v>
      </c>
      <c r="AL103" s="496">
        <f t="shared" si="653"/>
        <v>0</v>
      </c>
      <c r="AM103" s="496">
        <f t="shared" si="653"/>
        <v>0</v>
      </c>
      <c r="AN103" s="503">
        <f t="shared" si="653"/>
        <v>0</v>
      </c>
      <c r="AO103" s="496">
        <f t="shared" si="653"/>
        <v>0</v>
      </c>
      <c r="AP103" s="496">
        <f t="shared" si="653"/>
        <v>0</v>
      </c>
      <c r="AQ103" s="496">
        <f t="shared" si="653"/>
        <v>0</v>
      </c>
      <c r="AR103" s="496">
        <f t="shared" si="653"/>
        <v>0</v>
      </c>
      <c r="AS103" s="496">
        <f t="shared" si="653"/>
        <v>0</v>
      </c>
      <c r="AT103" s="496">
        <f t="shared" si="653"/>
        <v>0</v>
      </c>
      <c r="AU103" s="496">
        <f t="shared" si="653"/>
        <v>0</v>
      </c>
      <c r="AV103" s="496">
        <f t="shared" si="653"/>
        <v>0</v>
      </c>
      <c r="AW103" s="496"/>
      <c r="AX103" s="496">
        <f>IF(AX$119=$E103,SUM(AC103:AF103),0)</f>
        <v>0</v>
      </c>
      <c r="AY103" s="496">
        <f>IF(AY$119=$E103,SUM(AD103:AG103),0)</f>
        <v>0</v>
      </c>
      <c r="AZ103" s="496">
        <f>IF(AZ$119=$E103,SUM(AE103:AH103),0)</f>
        <v>14495</v>
      </c>
      <c r="BA103" s="496">
        <v>894.66</v>
      </c>
      <c r="BB103" s="496">
        <v>0</v>
      </c>
      <c r="BC103" s="496">
        <f>IF(BC$119=$E103,SUM(AH103:AK103),0)</f>
        <v>0</v>
      </c>
      <c r="BD103" s="496">
        <v>0</v>
      </c>
      <c r="BE103" s="496">
        <f aca="true" t="shared" si="654" ref="BE103:BG104">IF(BE$119=$E103,SUM(AJ103:AM103),0)</f>
        <v>0</v>
      </c>
      <c r="BF103" s="496">
        <f t="shared" si="654"/>
        <v>0</v>
      </c>
      <c r="BG103" s="496">
        <f t="shared" si="654"/>
        <v>0</v>
      </c>
      <c r="BH103" s="496">
        <v>0</v>
      </c>
      <c r="BI103" s="496">
        <f>IF(BI$119=$E103,SUM(AN103:AQ103),0)</f>
        <v>0</v>
      </c>
      <c r="BJ103" s="496">
        <f>IF(BJ$119=$E103,SUM(AO103:$AQ103),0)</f>
        <v>0</v>
      </c>
      <c r="BK103" s="496">
        <f>IF(BK$119=$E103,SUM(AP103:$AQ103),0)</f>
        <v>0</v>
      </c>
      <c r="BL103" s="496">
        <f>IF(BL$119=$E103,SUM(AQ103:$AQ103),0)</f>
        <v>0</v>
      </c>
      <c r="BM103" s="496">
        <f>IF(BM$119=$E103,SUM($AQ103:AR103),0)</f>
        <v>0</v>
      </c>
      <c r="BN103" s="496">
        <f>IF(BN$119=$E103,SUM($AQ103:AS103),0)</f>
        <v>0</v>
      </c>
      <c r="BO103" s="496">
        <f>IF(BO$119=$E103,SUM($AQ103:AT103),0)</f>
        <v>0</v>
      </c>
      <c r="BP103" s="496">
        <f>IF(BP$119=$E103,SUM($AQ103:AU103),0)</f>
        <v>0</v>
      </c>
      <c r="BQ103" s="496">
        <f>IF(BQ$119=$E103,SUM($AQ103:AV103),0)</f>
        <v>0</v>
      </c>
      <c r="BR103" s="504">
        <f t="shared" si="420"/>
        <v>0</v>
      </c>
    </row>
    <row r="104" spans="1:70" s="295" customFormat="1" ht="14.45" customHeight="1">
      <c r="A104" s="493" t="s">
        <v>146</v>
      </c>
      <c r="B104" s="494"/>
      <c r="C104" s="495"/>
      <c r="D104" s="508">
        <v>7222.5</v>
      </c>
      <c r="E104" s="497" t="s">
        <v>167</v>
      </c>
      <c r="F104" s="506"/>
      <c r="G104" s="506"/>
      <c r="H104" s="506"/>
      <c r="I104" s="506" t="s">
        <v>104</v>
      </c>
      <c r="J104" s="506"/>
      <c r="K104" s="506">
        <v>0</v>
      </c>
      <c r="L104" s="506">
        <v>0</v>
      </c>
      <c r="M104" s="506">
        <v>0</v>
      </c>
      <c r="N104" s="506">
        <v>0</v>
      </c>
      <c r="O104" s="506">
        <v>7222.2</v>
      </c>
      <c r="P104" s="506"/>
      <c r="Q104" s="506"/>
      <c r="R104" s="506"/>
      <c r="S104" s="506"/>
      <c r="T104" s="507"/>
      <c r="U104" s="507"/>
      <c r="V104" s="507"/>
      <c r="W104" s="507"/>
      <c r="X104" s="507"/>
      <c r="Y104" s="507"/>
      <c r="Z104" s="496">
        <f t="shared" si="652"/>
        <v>7222.2</v>
      </c>
      <c r="AA104" s="495"/>
      <c r="AB104" s="495"/>
      <c r="AC104" s="496">
        <f aca="true" t="shared" si="655" ref="AC104:AJ104">F104</f>
        <v>0</v>
      </c>
      <c r="AD104" s="496">
        <f t="shared" si="655"/>
        <v>0</v>
      </c>
      <c r="AE104" s="496">
        <f t="shared" si="655"/>
        <v>0</v>
      </c>
      <c r="AF104" s="496" t="str">
        <f t="shared" si="655"/>
        <v xml:space="preserve"> </v>
      </c>
      <c r="AG104" s="496">
        <f t="shared" si="655"/>
        <v>0</v>
      </c>
      <c r="AH104" s="496">
        <f t="shared" si="655"/>
        <v>0</v>
      </c>
      <c r="AI104" s="496">
        <f t="shared" si="655"/>
        <v>0</v>
      </c>
      <c r="AJ104" s="502">
        <f t="shared" si="655"/>
        <v>0</v>
      </c>
      <c r="AK104" s="502">
        <f aca="true" t="shared" si="656" ref="AK104">N104</f>
        <v>0</v>
      </c>
      <c r="AL104" s="496">
        <f aca="true" t="shared" si="657" ref="AL104">O104</f>
        <v>7222.2</v>
      </c>
      <c r="AM104" s="496">
        <f aca="true" t="shared" si="658" ref="AM104">P104</f>
        <v>0</v>
      </c>
      <c r="AN104" s="503">
        <f aca="true" t="shared" si="659" ref="AN104">Q104</f>
        <v>0</v>
      </c>
      <c r="AO104" s="496">
        <f aca="true" t="shared" si="660" ref="AO104">R104</f>
        <v>0</v>
      </c>
      <c r="AP104" s="496">
        <f aca="true" t="shared" si="661" ref="AP104">S104</f>
        <v>0</v>
      </c>
      <c r="AQ104" s="496">
        <f aca="true" t="shared" si="662" ref="AQ104">T104</f>
        <v>0</v>
      </c>
      <c r="AR104" s="496">
        <f>U104</f>
        <v>0</v>
      </c>
      <c r="AS104" s="496">
        <f>V104</f>
        <v>0</v>
      </c>
      <c r="AT104" s="496">
        <f>W104</f>
        <v>0</v>
      </c>
      <c r="AU104" s="496">
        <f>X104</f>
        <v>0</v>
      </c>
      <c r="AV104" s="496">
        <f>Y104</f>
        <v>0</v>
      </c>
      <c r="AW104" s="496"/>
      <c r="AX104" s="496">
        <f>IF(AX$119=$E104,SUM(AC104:AF104),0)</f>
        <v>0</v>
      </c>
      <c r="AY104" s="496">
        <f>IF(AY$119=$E104,SUM(AD104:AG104),0)</f>
        <v>0</v>
      </c>
      <c r="AZ104" s="496">
        <v>7222.2</v>
      </c>
      <c r="BA104" s="496">
        <f>IF(BA$119=$E104,SUM(AF104:AI104),0)</f>
        <v>0</v>
      </c>
      <c r="BB104" s="496">
        <f>IF(BB$119=$E104,SUM(AG104:AJ104),0)</f>
        <v>0</v>
      </c>
      <c r="BC104" s="496">
        <f>IF(BC$119=$E104,SUM(AH104:AK104),0)</f>
        <v>0</v>
      </c>
      <c r="BD104" s="496">
        <v>0</v>
      </c>
      <c r="BE104" s="496">
        <f t="shared" si="654"/>
        <v>0</v>
      </c>
      <c r="BF104" s="496">
        <f t="shared" si="654"/>
        <v>0</v>
      </c>
      <c r="BG104" s="496">
        <f t="shared" si="654"/>
        <v>0</v>
      </c>
      <c r="BH104" s="496">
        <f>IF(BH$119=$E104,SUM(AM104:AP104),0)</f>
        <v>0</v>
      </c>
      <c r="BI104" s="496">
        <f>IF(BI$119=$E104,SUM(AN104:AQ104),0)</f>
        <v>0</v>
      </c>
      <c r="BJ104" s="496">
        <f>IF(BJ$119=$E104,SUM(AO104:$AQ104),0)</f>
        <v>0</v>
      </c>
      <c r="BK104" s="496">
        <f>IF(BK$119=$E104,SUM(AP104:$AQ104),0)</f>
        <v>0</v>
      </c>
      <c r="BL104" s="496">
        <f>IF(BL$119=$E104,SUM(AQ104:$AQ104),0)</f>
        <v>0</v>
      </c>
      <c r="BM104" s="496">
        <f>IF(BM$119=$E104,SUM($AQ104:AR104),0)</f>
        <v>0</v>
      </c>
      <c r="BN104" s="496">
        <v>0</v>
      </c>
      <c r="BO104" s="496">
        <v>0</v>
      </c>
      <c r="BP104" s="496">
        <v>0</v>
      </c>
      <c r="BQ104" s="496">
        <v>0</v>
      </c>
      <c r="BR104" s="504">
        <f t="shared" si="420"/>
        <v>0</v>
      </c>
    </row>
    <row r="105" spans="1:70" s="295" customFormat="1" ht="14.45" customHeight="1">
      <c r="A105" s="493" t="s">
        <v>146</v>
      </c>
      <c r="B105" s="494"/>
      <c r="C105" s="495"/>
      <c r="D105" s="496">
        <v>505.16</v>
      </c>
      <c r="E105" s="495" t="s">
        <v>199</v>
      </c>
      <c r="F105" s="500"/>
      <c r="G105" s="500">
        <v>0</v>
      </c>
      <c r="H105" s="500">
        <v>0</v>
      </c>
      <c r="I105" s="500">
        <v>1</v>
      </c>
      <c r="J105" s="500">
        <v>0</v>
      </c>
      <c r="K105" s="500">
        <v>0</v>
      </c>
      <c r="L105" s="500">
        <v>0</v>
      </c>
      <c r="M105" s="497"/>
      <c r="N105" s="497"/>
      <c r="O105" s="497"/>
      <c r="P105" s="497"/>
      <c r="Q105" s="497"/>
      <c r="R105" s="497"/>
      <c r="S105" s="497"/>
      <c r="T105" s="497"/>
      <c r="U105" s="497"/>
      <c r="V105" s="497"/>
      <c r="W105" s="497"/>
      <c r="X105" s="497"/>
      <c r="Y105" s="497"/>
      <c r="Z105" s="501">
        <f t="shared" si="652"/>
        <v>1</v>
      </c>
      <c r="AA105" s="495"/>
      <c r="AB105" s="495"/>
      <c r="AC105" s="496">
        <f aca="true" t="shared" si="663" ref="AC105:AV105">F105*$D105</f>
        <v>0</v>
      </c>
      <c r="AD105" s="496">
        <f t="shared" si="663"/>
        <v>0</v>
      </c>
      <c r="AE105" s="496">
        <f t="shared" si="663"/>
        <v>0</v>
      </c>
      <c r="AF105" s="496">
        <f t="shared" si="663"/>
        <v>505.16</v>
      </c>
      <c r="AG105" s="496">
        <f t="shared" si="663"/>
        <v>0</v>
      </c>
      <c r="AH105" s="496">
        <f t="shared" si="663"/>
        <v>0</v>
      </c>
      <c r="AI105" s="496">
        <f t="shared" si="663"/>
        <v>0</v>
      </c>
      <c r="AJ105" s="496">
        <f t="shared" si="663"/>
        <v>0</v>
      </c>
      <c r="AK105" s="502">
        <f t="shared" si="663"/>
        <v>0</v>
      </c>
      <c r="AL105" s="496">
        <f t="shared" si="663"/>
        <v>0</v>
      </c>
      <c r="AM105" s="496">
        <f t="shared" si="663"/>
        <v>0</v>
      </c>
      <c r="AN105" s="503">
        <f t="shared" si="663"/>
        <v>0</v>
      </c>
      <c r="AO105" s="496">
        <f t="shared" si="663"/>
        <v>0</v>
      </c>
      <c r="AP105" s="496">
        <f t="shared" si="663"/>
        <v>0</v>
      </c>
      <c r="AQ105" s="496">
        <f t="shared" si="663"/>
        <v>0</v>
      </c>
      <c r="AR105" s="496">
        <f t="shared" si="663"/>
        <v>0</v>
      </c>
      <c r="AS105" s="496">
        <f t="shared" si="663"/>
        <v>0</v>
      </c>
      <c r="AT105" s="496">
        <f t="shared" si="663"/>
        <v>0</v>
      </c>
      <c r="AU105" s="496">
        <f t="shared" si="663"/>
        <v>0</v>
      </c>
      <c r="AV105" s="496">
        <f t="shared" si="663"/>
        <v>0</v>
      </c>
      <c r="AW105" s="496"/>
      <c r="AX105" s="496">
        <f aca="true" t="shared" si="664" ref="AX105:BQ105">IF(AX$3=$E105,$D105,0)</f>
        <v>0</v>
      </c>
      <c r="AY105" s="496">
        <f t="shared" si="664"/>
        <v>0</v>
      </c>
      <c r="AZ105" s="496">
        <f t="shared" si="664"/>
        <v>0</v>
      </c>
      <c r="BA105" s="496">
        <f t="shared" si="664"/>
        <v>505.16</v>
      </c>
      <c r="BB105" s="496">
        <f t="shared" si="664"/>
        <v>0</v>
      </c>
      <c r="BC105" s="496">
        <f t="shared" si="664"/>
        <v>0</v>
      </c>
      <c r="BD105" s="496">
        <f t="shared" si="664"/>
        <v>0</v>
      </c>
      <c r="BE105" s="496">
        <f t="shared" si="664"/>
        <v>0</v>
      </c>
      <c r="BF105" s="496">
        <f t="shared" si="664"/>
        <v>0</v>
      </c>
      <c r="BG105" s="496">
        <f t="shared" si="664"/>
        <v>0</v>
      </c>
      <c r="BH105" s="496">
        <f t="shared" si="664"/>
        <v>0</v>
      </c>
      <c r="BI105" s="496">
        <f t="shared" si="664"/>
        <v>0</v>
      </c>
      <c r="BJ105" s="496">
        <f t="shared" si="664"/>
        <v>0</v>
      </c>
      <c r="BK105" s="496">
        <f t="shared" si="664"/>
        <v>0</v>
      </c>
      <c r="BL105" s="496">
        <f t="shared" si="664"/>
        <v>0</v>
      </c>
      <c r="BM105" s="496">
        <f t="shared" si="664"/>
        <v>0</v>
      </c>
      <c r="BN105" s="496">
        <f t="shared" si="664"/>
        <v>0</v>
      </c>
      <c r="BO105" s="496">
        <f t="shared" si="664"/>
        <v>0</v>
      </c>
      <c r="BP105" s="496">
        <f t="shared" si="664"/>
        <v>0</v>
      </c>
      <c r="BQ105" s="496">
        <f t="shared" si="664"/>
        <v>0</v>
      </c>
      <c r="BR105" s="504">
        <f t="shared" si="420"/>
        <v>0</v>
      </c>
    </row>
    <row r="106" spans="1:71" s="295" customFormat="1" ht="14.45" customHeight="1" outlineLevel="1">
      <c r="A106" s="493" t="s">
        <v>143</v>
      </c>
      <c r="B106" s="494"/>
      <c r="C106" s="495"/>
      <c r="D106" s="496">
        <f>SUM(F106:X106)</f>
        <v>115055.47000000003</v>
      </c>
      <c r="E106" s="497" t="s">
        <v>199</v>
      </c>
      <c r="F106" s="506"/>
      <c r="G106" s="506"/>
      <c r="H106" s="506"/>
      <c r="I106" s="506">
        <v>2666.56</v>
      </c>
      <c r="J106" s="506">
        <v>4615.2</v>
      </c>
      <c r="K106" s="506">
        <v>6230.52</v>
      </c>
      <c r="L106" s="506">
        <v>5435.68</v>
      </c>
      <c r="M106" s="506">
        <v>6153.6</v>
      </c>
      <c r="N106" s="506">
        <v>7295.78</v>
      </c>
      <c r="O106" s="506">
        <v>6828.72</v>
      </c>
      <c r="P106" s="506">
        <v>6997.9</v>
      </c>
      <c r="Q106" s="506">
        <v>7228.6</v>
      </c>
      <c r="R106" s="523">
        <v>7505.4400000000005</v>
      </c>
      <c r="S106" s="506">
        <v>8362.710000000001</v>
      </c>
      <c r="T106" s="507">
        <v>8836.470000000001</v>
      </c>
      <c r="U106" s="507">
        <v>9073.35</v>
      </c>
      <c r="V106" s="507">
        <v>9073.35</v>
      </c>
      <c r="W106" s="507">
        <v>9073.35</v>
      </c>
      <c r="X106" s="507">
        <v>9678.240000000002</v>
      </c>
      <c r="Y106" s="507">
        <v>3326.8950000000004</v>
      </c>
      <c r="Z106" s="496">
        <f t="shared" si="652"/>
        <v>118382.36500000003</v>
      </c>
      <c r="AA106" s="495"/>
      <c r="AB106" s="495"/>
      <c r="AC106" s="496">
        <f aca="true" t="shared" si="665" ref="AC106">F106</f>
        <v>0</v>
      </c>
      <c r="AD106" s="496">
        <f aca="true" t="shared" si="666" ref="AD106">G106</f>
        <v>0</v>
      </c>
      <c r="AE106" s="496">
        <f aca="true" t="shared" si="667" ref="AE106">H106</f>
        <v>0</v>
      </c>
      <c r="AF106" s="496">
        <f aca="true" t="shared" si="668" ref="AF106">I106</f>
        <v>2666.56</v>
      </c>
      <c r="AG106" s="496">
        <f aca="true" t="shared" si="669" ref="AG106">J106</f>
        <v>4615.2</v>
      </c>
      <c r="AH106" s="496">
        <f aca="true" t="shared" si="670" ref="AH106">K106</f>
        <v>6230.52</v>
      </c>
      <c r="AI106" s="496">
        <f aca="true" t="shared" si="671" ref="AI106">L106</f>
        <v>5435.68</v>
      </c>
      <c r="AJ106" s="502">
        <f aca="true" t="shared" si="672" ref="AJ106">M106</f>
        <v>6153.6</v>
      </c>
      <c r="AK106" s="502">
        <f aca="true" t="shared" si="673" ref="AK106:AO106">N106</f>
        <v>7295.78</v>
      </c>
      <c r="AL106" s="496">
        <f t="shared" si="673"/>
        <v>6828.72</v>
      </c>
      <c r="AM106" s="496">
        <f t="shared" si="673"/>
        <v>6997.9</v>
      </c>
      <c r="AN106" s="503">
        <f t="shared" si="673"/>
        <v>7228.6</v>
      </c>
      <c r="AO106" s="503">
        <f t="shared" si="673"/>
        <v>7505.4400000000005</v>
      </c>
      <c r="AP106" s="503">
        <f aca="true" t="shared" si="674" ref="AP106">S106</f>
        <v>8362.710000000001</v>
      </c>
      <c r="AQ106" s="503">
        <f aca="true" t="shared" si="675" ref="AQ106">T106</f>
        <v>8836.470000000001</v>
      </c>
      <c r="AR106" s="503">
        <f aca="true" t="shared" si="676" ref="AR106">U106</f>
        <v>9073.35</v>
      </c>
      <c r="AS106" s="503">
        <f aca="true" t="shared" si="677" ref="AS106">V106</f>
        <v>9073.35</v>
      </c>
      <c r="AT106" s="503">
        <f aca="true" t="shared" si="678" ref="AT106">W106</f>
        <v>9073.35</v>
      </c>
      <c r="AU106" s="503">
        <f aca="true" t="shared" si="679" ref="AU106:AV106">X106</f>
        <v>9678.240000000002</v>
      </c>
      <c r="AV106" s="503">
        <f t="shared" si="679"/>
        <v>3326.8950000000004</v>
      </c>
      <c r="AW106" s="496"/>
      <c r="AX106" s="496">
        <f>IF(AX$119=$E106,SUM(AC106:AF106),0)</f>
        <v>0</v>
      </c>
      <c r="AY106" s="496">
        <f>IF(AY$119=$E106,SUM(AD106:AG106),0)</f>
        <v>0</v>
      </c>
      <c r="AZ106" s="496">
        <f>IF(AZ$119=$E106,SUM(AE106:AH106),0)</f>
        <v>0</v>
      </c>
      <c r="BA106" s="496">
        <v>3384.48</v>
      </c>
      <c r="BB106" s="496">
        <f>24999-738.56</f>
        <v>24260.44</v>
      </c>
      <c r="BC106" s="496">
        <f>IF(BC$119=$E106,SUM(AH106:AK106),0)</f>
        <v>0</v>
      </c>
      <c r="BD106" s="496">
        <f>IF(BD$119=$E106,SUM(AI106:AL106),0)</f>
        <v>0</v>
      </c>
      <c r="BE106" s="496">
        <v>0</v>
      </c>
      <c r="BF106" s="496">
        <v>29991</v>
      </c>
      <c r="BG106" s="496">
        <f>IF(BG$119=$E106,SUM(AL106:AO106),0)</f>
        <v>0</v>
      </c>
      <c r="BH106" s="496">
        <f>IF(BH$119=$E106,SUM(AM106:AP106),0)</f>
        <v>0</v>
      </c>
      <c r="BI106" s="496">
        <v>0</v>
      </c>
      <c r="BJ106" s="496">
        <v>14651.4</v>
      </c>
      <c r="BK106" s="496">
        <f>IF(BK$119=$E106,SUM(AP106:$AQ106),0)</f>
        <v>0</v>
      </c>
      <c r="BL106" s="496">
        <v>36293.4</v>
      </c>
      <c r="BM106" s="496">
        <v>0</v>
      </c>
      <c r="BN106" s="496">
        <v>0</v>
      </c>
      <c r="BO106" s="496">
        <v>0</v>
      </c>
      <c r="BP106" s="496">
        <f>9980.685-179.04</f>
        <v>9801.644999999999</v>
      </c>
      <c r="BQ106" s="496">
        <v>0</v>
      </c>
      <c r="BR106" s="526">
        <f t="shared" si="420"/>
        <v>0</v>
      </c>
      <c r="BS106" s="251"/>
    </row>
    <row r="107" spans="1:70" s="295" customFormat="1" ht="14.45" customHeight="1">
      <c r="A107" s="493" t="s">
        <v>146</v>
      </c>
      <c r="B107" s="494"/>
      <c r="C107" s="495"/>
      <c r="D107" s="496">
        <v>1630</v>
      </c>
      <c r="E107" s="495" t="s">
        <v>196</v>
      </c>
      <c r="F107" s="500"/>
      <c r="G107" s="500">
        <v>0</v>
      </c>
      <c r="H107" s="500">
        <v>0</v>
      </c>
      <c r="I107" s="500">
        <v>0</v>
      </c>
      <c r="J107" s="500">
        <v>1</v>
      </c>
      <c r="K107" s="497"/>
      <c r="L107" s="497"/>
      <c r="M107" s="497"/>
      <c r="N107" s="497"/>
      <c r="O107" s="497"/>
      <c r="P107" s="497"/>
      <c r="Q107" s="497"/>
      <c r="R107" s="497"/>
      <c r="S107" s="497"/>
      <c r="T107" s="497"/>
      <c r="U107" s="497"/>
      <c r="V107" s="497"/>
      <c r="W107" s="497"/>
      <c r="X107" s="497"/>
      <c r="Y107" s="497"/>
      <c r="Z107" s="501">
        <f t="shared" si="652"/>
        <v>1</v>
      </c>
      <c r="AA107" s="505"/>
      <c r="AB107" s="495"/>
      <c r="AC107" s="496">
        <f aca="true" t="shared" si="680" ref="AC107">F107*$D107</f>
        <v>0</v>
      </c>
      <c r="AD107" s="496">
        <f aca="true" t="shared" si="681" ref="AD107">G107*$D107</f>
        <v>0</v>
      </c>
      <c r="AE107" s="496">
        <f aca="true" t="shared" si="682" ref="AE107">H107*$D107</f>
        <v>0</v>
      </c>
      <c r="AF107" s="496">
        <f aca="true" t="shared" si="683" ref="AF107">I107*$D107</f>
        <v>0</v>
      </c>
      <c r="AG107" s="496">
        <f t="shared" si="633"/>
        <v>1630</v>
      </c>
      <c r="AH107" s="496">
        <f aca="true" t="shared" si="684" ref="AH107">K107*$D107</f>
        <v>0</v>
      </c>
      <c r="AI107" s="496">
        <f aca="true" t="shared" si="685" ref="AI107">L107*$D107</f>
        <v>0</v>
      </c>
      <c r="AJ107" s="496">
        <f aca="true" t="shared" si="686" ref="AJ107">M107*$D107</f>
        <v>0</v>
      </c>
      <c r="AK107" s="502">
        <f aca="true" t="shared" si="687" ref="AK107">N107*$D107</f>
        <v>0</v>
      </c>
      <c r="AL107" s="496">
        <f aca="true" t="shared" si="688" ref="AL107">O107*$D107</f>
        <v>0</v>
      </c>
      <c r="AM107" s="496">
        <f aca="true" t="shared" si="689" ref="AM107">P107*$D107</f>
        <v>0</v>
      </c>
      <c r="AN107" s="503">
        <f aca="true" t="shared" si="690" ref="AN107">Q107*$D107</f>
        <v>0</v>
      </c>
      <c r="AO107" s="496">
        <f aca="true" t="shared" si="691" ref="AO107">R107*$D107</f>
        <v>0</v>
      </c>
      <c r="AP107" s="496">
        <f aca="true" t="shared" si="692" ref="AP107">S107*$D107</f>
        <v>0</v>
      </c>
      <c r="AQ107" s="496">
        <f aca="true" t="shared" si="693" ref="AQ107">T107*$D107</f>
        <v>0</v>
      </c>
      <c r="AR107" s="496">
        <f t="shared" si="397"/>
        <v>0</v>
      </c>
      <c r="AS107" s="496">
        <f t="shared" si="14"/>
        <v>0</v>
      </c>
      <c r="AT107" s="496">
        <f t="shared" si="15"/>
        <v>0</v>
      </c>
      <c r="AU107" s="496">
        <f t="shared" si="16"/>
        <v>0</v>
      </c>
      <c r="AV107" s="496">
        <f t="shared" si="16"/>
        <v>0</v>
      </c>
      <c r="AW107" s="496"/>
      <c r="AX107" s="496">
        <f t="shared" si="649"/>
        <v>0</v>
      </c>
      <c r="AY107" s="496">
        <f t="shared" si="649"/>
        <v>0</v>
      </c>
      <c r="AZ107" s="496">
        <f t="shared" si="649"/>
        <v>0</v>
      </c>
      <c r="BA107" s="496">
        <f t="shared" si="649"/>
        <v>0</v>
      </c>
      <c r="BB107" s="496">
        <f t="shared" si="649"/>
        <v>1630</v>
      </c>
      <c r="BC107" s="496">
        <f t="shared" si="649"/>
        <v>0</v>
      </c>
      <c r="BD107" s="496">
        <f t="shared" si="649"/>
        <v>0</v>
      </c>
      <c r="BE107" s="496">
        <f t="shared" si="649"/>
        <v>0</v>
      </c>
      <c r="BF107" s="496">
        <f t="shared" si="649"/>
        <v>0</v>
      </c>
      <c r="BG107" s="496">
        <f t="shared" si="649"/>
        <v>0</v>
      </c>
      <c r="BH107" s="496">
        <f t="shared" si="649"/>
        <v>0</v>
      </c>
      <c r="BI107" s="496">
        <f t="shared" si="649"/>
        <v>0</v>
      </c>
      <c r="BJ107" s="496">
        <f t="shared" si="649"/>
        <v>0</v>
      </c>
      <c r="BK107" s="496">
        <f t="shared" si="649"/>
        <v>0</v>
      </c>
      <c r="BL107" s="496">
        <f t="shared" si="649"/>
        <v>0</v>
      </c>
      <c r="BM107" s="496">
        <f t="shared" si="447"/>
        <v>0</v>
      </c>
      <c r="BN107" s="496">
        <f t="shared" si="447"/>
        <v>0</v>
      </c>
      <c r="BO107" s="496">
        <f t="shared" si="447"/>
        <v>0</v>
      </c>
      <c r="BP107" s="496">
        <f t="shared" si="447"/>
        <v>0</v>
      </c>
      <c r="BQ107" s="496">
        <f t="shared" si="447"/>
        <v>0</v>
      </c>
      <c r="BR107" s="504">
        <f t="shared" si="420"/>
        <v>0</v>
      </c>
    </row>
    <row r="108" spans="1:70" s="295" customFormat="1" ht="14.45" customHeight="1">
      <c r="A108" s="493" t="s">
        <v>146</v>
      </c>
      <c r="B108" s="494"/>
      <c r="C108" s="495"/>
      <c r="D108" s="496">
        <v>739.99</v>
      </c>
      <c r="E108" s="495" t="s">
        <v>169</v>
      </c>
      <c r="F108" s="500"/>
      <c r="G108" s="500">
        <v>0</v>
      </c>
      <c r="H108" s="500">
        <v>0</v>
      </c>
      <c r="I108" s="500">
        <v>0</v>
      </c>
      <c r="J108" s="497">
        <v>0</v>
      </c>
      <c r="K108" s="500">
        <v>1</v>
      </c>
      <c r="L108" s="500">
        <v>0</v>
      </c>
      <c r="M108" s="497"/>
      <c r="N108" s="497"/>
      <c r="O108" s="497"/>
      <c r="P108" s="497"/>
      <c r="Q108" s="497"/>
      <c r="R108" s="497"/>
      <c r="S108" s="497"/>
      <c r="T108" s="497"/>
      <c r="U108" s="497"/>
      <c r="V108" s="497"/>
      <c r="W108" s="497"/>
      <c r="X108" s="497"/>
      <c r="Y108" s="497"/>
      <c r="Z108" s="501">
        <f t="shared" si="652"/>
        <v>1</v>
      </c>
      <c r="AA108" s="495"/>
      <c r="AB108" s="495"/>
      <c r="AC108" s="496">
        <f aca="true" t="shared" si="694" ref="AC108">F108*$D108</f>
        <v>0</v>
      </c>
      <c r="AD108" s="496">
        <f aca="true" t="shared" si="695" ref="AD108">G108*$D108</f>
        <v>0</v>
      </c>
      <c r="AE108" s="496">
        <f aca="true" t="shared" si="696" ref="AE108">H108*$D108</f>
        <v>0</v>
      </c>
      <c r="AF108" s="496">
        <v>0</v>
      </c>
      <c r="AG108" s="496">
        <f t="shared" si="633"/>
        <v>0</v>
      </c>
      <c r="AH108" s="496">
        <f aca="true" t="shared" si="697" ref="AH108">K108*$D108</f>
        <v>739.99</v>
      </c>
      <c r="AI108" s="496">
        <f aca="true" t="shared" si="698" ref="AI108">L108*$D108</f>
        <v>0</v>
      </c>
      <c r="AJ108" s="496">
        <f aca="true" t="shared" si="699" ref="AJ108">M108*$D108</f>
        <v>0</v>
      </c>
      <c r="AK108" s="502">
        <f aca="true" t="shared" si="700" ref="AK108">N108*$D108</f>
        <v>0</v>
      </c>
      <c r="AL108" s="496">
        <f aca="true" t="shared" si="701" ref="AL108">O108*$D108</f>
        <v>0</v>
      </c>
      <c r="AM108" s="496">
        <f aca="true" t="shared" si="702" ref="AM108">P108*$D108</f>
        <v>0</v>
      </c>
      <c r="AN108" s="503">
        <f aca="true" t="shared" si="703" ref="AN108">Q108*$D108</f>
        <v>0</v>
      </c>
      <c r="AO108" s="496">
        <f aca="true" t="shared" si="704" ref="AO108">R108*$D108</f>
        <v>0</v>
      </c>
      <c r="AP108" s="496">
        <f aca="true" t="shared" si="705" ref="AP108">S108*$D108</f>
        <v>0</v>
      </c>
      <c r="AQ108" s="496">
        <f aca="true" t="shared" si="706" ref="AQ108">T108*$D108</f>
        <v>0</v>
      </c>
      <c r="AR108" s="496">
        <f t="shared" si="397"/>
        <v>0</v>
      </c>
      <c r="AS108" s="496">
        <f t="shared" si="14"/>
        <v>0</v>
      </c>
      <c r="AT108" s="496">
        <f t="shared" si="15"/>
        <v>0</v>
      </c>
      <c r="AU108" s="496">
        <f t="shared" si="16"/>
        <v>0</v>
      </c>
      <c r="AV108" s="496">
        <f t="shared" si="16"/>
        <v>0</v>
      </c>
      <c r="AW108" s="496"/>
      <c r="AX108" s="496">
        <f t="shared" si="649"/>
        <v>0</v>
      </c>
      <c r="AY108" s="496">
        <f t="shared" si="649"/>
        <v>0</v>
      </c>
      <c r="AZ108" s="496">
        <f t="shared" si="649"/>
        <v>0</v>
      </c>
      <c r="BA108" s="496">
        <f t="shared" si="649"/>
        <v>0</v>
      </c>
      <c r="BB108" s="496">
        <f t="shared" si="649"/>
        <v>0</v>
      </c>
      <c r="BC108" s="496">
        <f t="shared" si="649"/>
        <v>739.99</v>
      </c>
      <c r="BD108" s="496">
        <f t="shared" si="649"/>
        <v>0</v>
      </c>
      <c r="BE108" s="496">
        <f t="shared" si="649"/>
        <v>0</v>
      </c>
      <c r="BF108" s="496">
        <f t="shared" si="649"/>
        <v>0</v>
      </c>
      <c r="BG108" s="496">
        <f t="shared" si="649"/>
        <v>0</v>
      </c>
      <c r="BH108" s="496">
        <f t="shared" si="649"/>
        <v>0</v>
      </c>
      <c r="BI108" s="496">
        <f t="shared" si="649"/>
        <v>0</v>
      </c>
      <c r="BJ108" s="496">
        <f t="shared" si="649"/>
        <v>0</v>
      </c>
      <c r="BK108" s="496">
        <f t="shared" si="649"/>
        <v>0</v>
      </c>
      <c r="BL108" s="496">
        <f t="shared" si="649"/>
        <v>0</v>
      </c>
      <c r="BM108" s="496">
        <f t="shared" si="447"/>
        <v>0</v>
      </c>
      <c r="BN108" s="496">
        <f t="shared" si="447"/>
        <v>0</v>
      </c>
      <c r="BO108" s="496">
        <f t="shared" si="447"/>
        <v>0</v>
      </c>
      <c r="BP108" s="496">
        <f t="shared" si="447"/>
        <v>0</v>
      </c>
      <c r="BQ108" s="496">
        <f t="shared" si="447"/>
        <v>0</v>
      </c>
      <c r="BR108" s="504">
        <f t="shared" si="420"/>
        <v>0</v>
      </c>
    </row>
    <row r="109" spans="1:70" s="295" customFormat="1" ht="14.45" customHeight="1">
      <c r="A109" s="493" t="s">
        <v>146</v>
      </c>
      <c r="B109" s="494"/>
      <c r="C109" s="495"/>
      <c r="D109" s="496">
        <v>1232.14</v>
      </c>
      <c r="E109" s="495" t="s">
        <v>169</v>
      </c>
      <c r="F109" s="500"/>
      <c r="G109" s="500">
        <v>0</v>
      </c>
      <c r="H109" s="500">
        <v>0</v>
      </c>
      <c r="I109" s="500">
        <v>0</v>
      </c>
      <c r="J109" s="500">
        <v>0</v>
      </c>
      <c r="K109" s="500">
        <v>1</v>
      </c>
      <c r="L109" s="500">
        <v>0</v>
      </c>
      <c r="M109" s="497"/>
      <c r="N109" s="497"/>
      <c r="O109" s="497"/>
      <c r="P109" s="497"/>
      <c r="Q109" s="497"/>
      <c r="R109" s="497"/>
      <c r="S109" s="497"/>
      <c r="T109" s="497"/>
      <c r="U109" s="497"/>
      <c r="V109" s="497"/>
      <c r="W109" s="497"/>
      <c r="X109" s="497"/>
      <c r="Y109" s="497"/>
      <c r="Z109" s="501">
        <f aca="true" t="shared" si="707" ref="Z109:Z111">SUM(F109:Y109)</f>
        <v>1</v>
      </c>
      <c r="AA109" s="495"/>
      <c r="AB109" s="495"/>
      <c r="AC109" s="496">
        <f aca="true" t="shared" si="708" ref="AC109">F109*$D109</f>
        <v>0</v>
      </c>
      <c r="AD109" s="496">
        <f aca="true" t="shared" si="709" ref="AD109">G109*$D109</f>
        <v>0</v>
      </c>
      <c r="AE109" s="496">
        <f aca="true" t="shared" si="710" ref="AE109">H109*$D109</f>
        <v>0</v>
      </c>
      <c r="AF109" s="496">
        <f aca="true" t="shared" si="711" ref="AF109">I109*$D109</f>
        <v>0</v>
      </c>
      <c r="AG109" s="496">
        <f t="shared" si="633"/>
        <v>0</v>
      </c>
      <c r="AH109" s="496">
        <f aca="true" t="shared" si="712" ref="AH109">K109*$D109</f>
        <v>1232.14</v>
      </c>
      <c r="AI109" s="496">
        <f aca="true" t="shared" si="713" ref="AI109">L109*$D109</f>
        <v>0</v>
      </c>
      <c r="AJ109" s="496">
        <f aca="true" t="shared" si="714" ref="AJ109">M109*$D109</f>
        <v>0</v>
      </c>
      <c r="AK109" s="502">
        <f aca="true" t="shared" si="715" ref="AK109">N109*$D109</f>
        <v>0</v>
      </c>
      <c r="AL109" s="496">
        <f aca="true" t="shared" si="716" ref="AL109">O109*$D109</f>
        <v>0</v>
      </c>
      <c r="AM109" s="496">
        <f aca="true" t="shared" si="717" ref="AM109">P109*$D109</f>
        <v>0</v>
      </c>
      <c r="AN109" s="503">
        <f aca="true" t="shared" si="718" ref="AN109">Q109*$D109</f>
        <v>0</v>
      </c>
      <c r="AO109" s="496">
        <f aca="true" t="shared" si="719" ref="AO109">R109*$D109</f>
        <v>0</v>
      </c>
      <c r="AP109" s="496">
        <f aca="true" t="shared" si="720" ref="AP109">S109*$D109</f>
        <v>0</v>
      </c>
      <c r="AQ109" s="496">
        <f aca="true" t="shared" si="721" ref="AQ109">T109*$D109</f>
        <v>0</v>
      </c>
      <c r="AR109" s="496">
        <f t="shared" si="397"/>
        <v>0</v>
      </c>
      <c r="AS109" s="496">
        <f aca="true" t="shared" si="722" ref="AS109:AS117">V109*$D109</f>
        <v>0</v>
      </c>
      <c r="AT109" s="496">
        <f aca="true" t="shared" si="723" ref="AT109:AT117">W109*$D109</f>
        <v>0</v>
      </c>
      <c r="AU109" s="496">
        <f aca="true" t="shared" si="724" ref="AU109:AV117">X109*$D109</f>
        <v>0</v>
      </c>
      <c r="AV109" s="496">
        <f t="shared" si="724"/>
        <v>0</v>
      </c>
      <c r="AW109" s="496"/>
      <c r="AX109" s="496">
        <f t="shared" si="649"/>
        <v>0</v>
      </c>
      <c r="AY109" s="496">
        <f t="shared" si="649"/>
        <v>0</v>
      </c>
      <c r="AZ109" s="496">
        <f t="shared" si="649"/>
        <v>0</v>
      </c>
      <c r="BA109" s="496">
        <f t="shared" si="649"/>
        <v>0</v>
      </c>
      <c r="BB109" s="496">
        <f t="shared" si="649"/>
        <v>0</v>
      </c>
      <c r="BC109" s="496">
        <f t="shared" si="649"/>
        <v>1232.14</v>
      </c>
      <c r="BD109" s="496">
        <f t="shared" si="649"/>
        <v>0</v>
      </c>
      <c r="BE109" s="496">
        <f t="shared" si="649"/>
        <v>0</v>
      </c>
      <c r="BF109" s="496">
        <f t="shared" si="649"/>
        <v>0</v>
      </c>
      <c r="BG109" s="496">
        <f t="shared" si="649"/>
        <v>0</v>
      </c>
      <c r="BH109" s="496">
        <f t="shared" si="649"/>
        <v>0</v>
      </c>
      <c r="BI109" s="496">
        <f t="shared" si="649"/>
        <v>0</v>
      </c>
      <c r="BJ109" s="496">
        <f t="shared" si="649"/>
        <v>0</v>
      </c>
      <c r="BK109" s="496">
        <f t="shared" si="649"/>
        <v>0</v>
      </c>
      <c r="BL109" s="496">
        <f t="shared" si="649"/>
        <v>0</v>
      </c>
      <c r="BM109" s="496">
        <f t="shared" si="447"/>
        <v>0</v>
      </c>
      <c r="BN109" s="496">
        <f t="shared" si="447"/>
        <v>0</v>
      </c>
      <c r="BO109" s="496">
        <f t="shared" si="447"/>
        <v>0</v>
      </c>
      <c r="BP109" s="496">
        <f t="shared" si="447"/>
        <v>0</v>
      </c>
      <c r="BQ109" s="496">
        <f t="shared" si="447"/>
        <v>0</v>
      </c>
      <c r="BR109" s="504">
        <f t="shared" si="420"/>
        <v>0</v>
      </c>
    </row>
    <row r="110" spans="1:70" s="295" customFormat="1" ht="14.45" customHeight="1">
      <c r="A110" s="493" t="s">
        <v>146</v>
      </c>
      <c r="B110" s="494"/>
      <c r="C110" s="495"/>
      <c r="D110" s="496">
        <v>1071.43</v>
      </c>
      <c r="E110" s="495" t="s">
        <v>195</v>
      </c>
      <c r="F110" s="500"/>
      <c r="G110" s="500">
        <v>0.25</v>
      </c>
      <c r="H110" s="500">
        <v>0.25</v>
      </c>
      <c r="I110" s="500">
        <v>0.25</v>
      </c>
      <c r="J110" s="500">
        <v>0.25</v>
      </c>
      <c r="K110" s="500">
        <v>0</v>
      </c>
      <c r="L110" s="497"/>
      <c r="M110" s="497"/>
      <c r="N110" s="497"/>
      <c r="O110" s="497"/>
      <c r="P110" s="497"/>
      <c r="Q110" s="497"/>
      <c r="R110" s="497"/>
      <c r="S110" s="497"/>
      <c r="T110" s="497"/>
      <c r="U110" s="497"/>
      <c r="V110" s="497"/>
      <c r="W110" s="497"/>
      <c r="X110" s="497"/>
      <c r="Y110" s="497"/>
      <c r="Z110" s="501">
        <f t="shared" si="707"/>
        <v>1</v>
      </c>
      <c r="AA110" s="495"/>
      <c r="AB110" s="495"/>
      <c r="AC110" s="496">
        <f aca="true" t="shared" si="725" ref="AC110">F110*$D110</f>
        <v>0</v>
      </c>
      <c r="AD110" s="496">
        <f aca="true" t="shared" si="726" ref="AD110">G110*$D110</f>
        <v>267.8575</v>
      </c>
      <c r="AE110" s="496">
        <f aca="true" t="shared" si="727" ref="AE110">H110*$D110</f>
        <v>267.8575</v>
      </c>
      <c r="AF110" s="496">
        <f aca="true" t="shared" si="728" ref="AF110">I110*$D110</f>
        <v>267.8575</v>
      </c>
      <c r="AG110" s="496">
        <f t="shared" si="633"/>
        <v>267.8575</v>
      </c>
      <c r="AH110" s="496">
        <f aca="true" t="shared" si="729" ref="AH110">K110*$D110</f>
        <v>0</v>
      </c>
      <c r="AI110" s="496">
        <f aca="true" t="shared" si="730" ref="AI110">L110*$D110</f>
        <v>0</v>
      </c>
      <c r="AJ110" s="496">
        <f aca="true" t="shared" si="731" ref="AJ110">M110*$D110</f>
        <v>0</v>
      </c>
      <c r="AK110" s="502">
        <f aca="true" t="shared" si="732" ref="AK110">N110*$D110</f>
        <v>0</v>
      </c>
      <c r="AL110" s="496">
        <f aca="true" t="shared" si="733" ref="AL110">O110*$D110</f>
        <v>0</v>
      </c>
      <c r="AM110" s="496">
        <f aca="true" t="shared" si="734" ref="AM110">P110*$D110</f>
        <v>0</v>
      </c>
      <c r="AN110" s="503">
        <f aca="true" t="shared" si="735" ref="AN110">Q110*$D110</f>
        <v>0</v>
      </c>
      <c r="AO110" s="496">
        <f aca="true" t="shared" si="736" ref="AO110">R110*$D110</f>
        <v>0</v>
      </c>
      <c r="AP110" s="496">
        <f aca="true" t="shared" si="737" ref="AP110">S110*$D110</f>
        <v>0</v>
      </c>
      <c r="AQ110" s="496">
        <f aca="true" t="shared" si="738" ref="AQ110">T110*$D110</f>
        <v>0</v>
      </c>
      <c r="AR110" s="496">
        <f t="shared" si="397"/>
        <v>0</v>
      </c>
      <c r="AS110" s="496">
        <f t="shared" si="722"/>
        <v>0</v>
      </c>
      <c r="AT110" s="496">
        <f t="shared" si="723"/>
        <v>0</v>
      </c>
      <c r="AU110" s="496">
        <f t="shared" si="724"/>
        <v>0</v>
      </c>
      <c r="AV110" s="496">
        <f t="shared" si="724"/>
        <v>0</v>
      </c>
      <c r="AW110" s="496"/>
      <c r="AX110" s="496">
        <f aca="true" t="shared" si="739" ref="AX110:BL116">IF(AX$3=$E110,$D110,0)</f>
        <v>0</v>
      </c>
      <c r="AY110" s="496">
        <f t="shared" si="739"/>
        <v>1071.43</v>
      </c>
      <c r="AZ110" s="496">
        <f t="shared" si="739"/>
        <v>0</v>
      </c>
      <c r="BA110" s="496">
        <f t="shared" si="739"/>
        <v>0</v>
      </c>
      <c r="BB110" s="496">
        <f t="shared" si="739"/>
        <v>0</v>
      </c>
      <c r="BC110" s="496">
        <f t="shared" si="739"/>
        <v>0</v>
      </c>
      <c r="BD110" s="496">
        <f t="shared" si="739"/>
        <v>0</v>
      </c>
      <c r="BE110" s="496">
        <f t="shared" si="739"/>
        <v>0</v>
      </c>
      <c r="BF110" s="496">
        <f t="shared" si="739"/>
        <v>0</v>
      </c>
      <c r="BG110" s="496">
        <f t="shared" si="739"/>
        <v>0</v>
      </c>
      <c r="BH110" s="496">
        <f t="shared" si="739"/>
        <v>0</v>
      </c>
      <c r="BI110" s="496">
        <f t="shared" si="739"/>
        <v>0</v>
      </c>
      <c r="BJ110" s="496">
        <f t="shared" si="739"/>
        <v>0</v>
      </c>
      <c r="BK110" s="496">
        <f t="shared" si="739"/>
        <v>0</v>
      </c>
      <c r="BL110" s="496">
        <f t="shared" si="739"/>
        <v>0</v>
      </c>
      <c r="BM110" s="496">
        <f t="shared" si="447"/>
        <v>0</v>
      </c>
      <c r="BN110" s="496">
        <f t="shared" si="447"/>
        <v>0</v>
      </c>
      <c r="BO110" s="496">
        <f t="shared" si="447"/>
        <v>0</v>
      </c>
      <c r="BP110" s="496">
        <f t="shared" si="447"/>
        <v>0</v>
      </c>
      <c r="BQ110" s="496">
        <f t="shared" si="447"/>
        <v>0</v>
      </c>
      <c r="BR110" s="504">
        <f t="shared" si="420"/>
        <v>0</v>
      </c>
    </row>
    <row r="111" spans="1:70" s="295" customFormat="1" ht="14.45" customHeight="1">
      <c r="A111" s="493" t="s">
        <v>146</v>
      </c>
      <c r="B111" s="494"/>
      <c r="C111" s="495"/>
      <c r="D111" s="496">
        <v>982.15</v>
      </c>
      <c r="E111" s="495" t="s">
        <v>169</v>
      </c>
      <c r="F111" s="500"/>
      <c r="G111" s="500">
        <v>0</v>
      </c>
      <c r="H111" s="500">
        <v>0</v>
      </c>
      <c r="I111" s="500">
        <v>0</v>
      </c>
      <c r="J111" s="500"/>
      <c r="K111" s="500">
        <v>0.27271801659624295</v>
      </c>
      <c r="L111" s="500">
        <v>0.2727383800845085</v>
      </c>
      <c r="M111" s="500">
        <v>0.09091279336150283</v>
      </c>
      <c r="N111" s="500">
        <v>0</v>
      </c>
      <c r="O111" s="500">
        <v>0.3636308099577458</v>
      </c>
      <c r="P111" s="500"/>
      <c r="Q111" s="497"/>
      <c r="R111" s="497"/>
      <c r="S111" s="497"/>
      <c r="T111" s="497"/>
      <c r="U111" s="497"/>
      <c r="V111" s="497"/>
      <c r="W111" s="497"/>
      <c r="X111" s="497"/>
      <c r="Y111" s="497"/>
      <c r="Z111" s="501">
        <f t="shared" si="707"/>
        <v>1.0000000000000002</v>
      </c>
      <c r="AA111" s="495"/>
      <c r="AB111" s="495"/>
      <c r="AC111" s="496">
        <f aca="true" t="shared" si="740" ref="AC111">F111*$D111</f>
        <v>0</v>
      </c>
      <c r="AD111" s="496">
        <f aca="true" t="shared" si="741" ref="AD111">G111*$D111</f>
        <v>0</v>
      </c>
      <c r="AE111" s="496">
        <f aca="true" t="shared" si="742" ref="AE111">H111*$D111</f>
        <v>0</v>
      </c>
      <c r="AF111" s="496">
        <f aca="true" t="shared" si="743" ref="AF111">I111*$D111</f>
        <v>0</v>
      </c>
      <c r="AG111" s="496">
        <f aca="true" t="shared" si="744" ref="AG111">J111*$D111</f>
        <v>0</v>
      </c>
      <c r="AH111" s="502">
        <f aca="true" t="shared" si="745" ref="AH111">K111*$D111</f>
        <v>267.85</v>
      </c>
      <c r="AI111" s="502">
        <f aca="true" t="shared" si="746" ref="AI111">L111*$D111</f>
        <v>267.87</v>
      </c>
      <c r="AJ111" s="502">
        <f aca="true" t="shared" si="747" ref="AJ111">M111*$D111</f>
        <v>89.29</v>
      </c>
      <c r="AK111" s="502">
        <f aca="true" t="shared" si="748" ref="AK111">N111*$D111</f>
        <v>0</v>
      </c>
      <c r="AL111" s="502">
        <f aca="true" t="shared" si="749" ref="AL111">O111*$D111</f>
        <v>357.14000000000004</v>
      </c>
      <c r="AM111" s="496">
        <f aca="true" t="shared" si="750" ref="AM111">P111*$D111</f>
        <v>0</v>
      </c>
      <c r="AN111" s="503">
        <f aca="true" t="shared" si="751" ref="AN111">Q111*$D111</f>
        <v>0</v>
      </c>
      <c r="AO111" s="496">
        <f aca="true" t="shared" si="752" ref="AO111">R111*$D111</f>
        <v>0</v>
      </c>
      <c r="AP111" s="496">
        <f aca="true" t="shared" si="753" ref="AP111">S111*$D111</f>
        <v>0</v>
      </c>
      <c r="AQ111" s="496">
        <f aca="true" t="shared" si="754" ref="AQ111">T111*$D111</f>
        <v>0</v>
      </c>
      <c r="AR111" s="496">
        <f t="shared" si="397"/>
        <v>0</v>
      </c>
      <c r="AS111" s="496">
        <f t="shared" si="722"/>
        <v>0</v>
      </c>
      <c r="AT111" s="496">
        <f t="shared" si="723"/>
        <v>0</v>
      </c>
      <c r="AU111" s="496">
        <f t="shared" si="724"/>
        <v>0</v>
      </c>
      <c r="AV111" s="496">
        <f t="shared" si="724"/>
        <v>0</v>
      </c>
      <c r="AW111" s="496"/>
      <c r="AX111" s="496">
        <f t="shared" si="739"/>
        <v>0</v>
      </c>
      <c r="AY111" s="496">
        <f t="shared" si="739"/>
        <v>0</v>
      </c>
      <c r="AZ111" s="496">
        <f t="shared" si="739"/>
        <v>0</v>
      </c>
      <c r="BA111" s="496">
        <f t="shared" si="739"/>
        <v>0</v>
      </c>
      <c r="BB111" s="496">
        <f t="shared" si="739"/>
        <v>0</v>
      </c>
      <c r="BC111" s="503">
        <f t="shared" si="739"/>
        <v>982.15</v>
      </c>
      <c r="BD111" s="496">
        <f t="shared" si="739"/>
        <v>0</v>
      </c>
      <c r="BE111" s="496">
        <f t="shared" si="739"/>
        <v>0</v>
      </c>
      <c r="BF111" s="496">
        <f t="shared" si="739"/>
        <v>0</v>
      </c>
      <c r="BG111" s="496">
        <f t="shared" si="739"/>
        <v>0</v>
      </c>
      <c r="BH111" s="496">
        <f t="shared" si="739"/>
        <v>0</v>
      </c>
      <c r="BI111" s="496">
        <f t="shared" si="739"/>
        <v>0</v>
      </c>
      <c r="BJ111" s="496">
        <f t="shared" si="739"/>
        <v>0</v>
      </c>
      <c r="BK111" s="496">
        <f t="shared" si="739"/>
        <v>0</v>
      </c>
      <c r="BL111" s="496">
        <f t="shared" si="739"/>
        <v>0</v>
      </c>
      <c r="BM111" s="496">
        <f t="shared" si="447"/>
        <v>0</v>
      </c>
      <c r="BN111" s="496">
        <f t="shared" si="447"/>
        <v>0</v>
      </c>
      <c r="BO111" s="496">
        <f t="shared" si="447"/>
        <v>0</v>
      </c>
      <c r="BP111" s="496">
        <f t="shared" si="447"/>
        <v>0</v>
      </c>
      <c r="BQ111" s="496">
        <f t="shared" si="447"/>
        <v>0</v>
      </c>
      <c r="BR111" s="504">
        <f t="shared" si="420"/>
        <v>0</v>
      </c>
    </row>
    <row r="112" spans="1:71" s="295" customFormat="1" ht="14.45" customHeight="1" outlineLevel="1">
      <c r="A112" s="493" t="s">
        <v>143</v>
      </c>
      <c r="B112" s="494"/>
      <c r="C112" s="495"/>
      <c r="D112" s="496">
        <v>30021.76</v>
      </c>
      <c r="E112" s="497" t="s">
        <v>169</v>
      </c>
      <c r="F112" s="506">
        <v>0</v>
      </c>
      <c r="G112" s="506">
        <v>0</v>
      </c>
      <c r="H112" s="506">
        <v>0</v>
      </c>
      <c r="I112" s="506">
        <v>0</v>
      </c>
      <c r="J112" s="506">
        <v>0</v>
      </c>
      <c r="K112" s="506">
        <v>2706.88</v>
      </c>
      <c r="L112" s="506">
        <v>7628.48</v>
      </c>
      <c r="M112" s="506">
        <v>7505.44</v>
      </c>
      <c r="N112" s="506">
        <v>7751.52</v>
      </c>
      <c r="O112" s="506">
        <v>4429.44</v>
      </c>
      <c r="P112" s="506"/>
      <c r="Q112" s="506"/>
      <c r="R112" s="523"/>
      <c r="S112" s="506"/>
      <c r="T112" s="507"/>
      <c r="U112" s="507"/>
      <c r="V112" s="507"/>
      <c r="W112" s="507"/>
      <c r="X112" s="507"/>
      <c r="Y112" s="507"/>
      <c r="Z112" s="496">
        <f>SUM(F112:Y112)</f>
        <v>30021.76</v>
      </c>
      <c r="AA112" s="495"/>
      <c r="AB112" s="495"/>
      <c r="AC112" s="496">
        <f aca="true" t="shared" si="755" ref="AC112">F112</f>
        <v>0</v>
      </c>
      <c r="AD112" s="496">
        <f aca="true" t="shared" si="756" ref="AD112">G112</f>
        <v>0</v>
      </c>
      <c r="AE112" s="496">
        <f aca="true" t="shared" si="757" ref="AE112">H112</f>
        <v>0</v>
      </c>
      <c r="AF112" s="496">
        <f aca="true" t="shared" si="758" ref="AF112">I112</f>
        <v>0</v>
      </c>
      <c r="AG112" s="496">
        <f aca="true" t="shared" si="759" ref="AG112">J112</f>
        <v>0</v>
      </c>
      <c r="AH112" s="496">
        <f aca="true" t="shared" si="760" ref="AH112">K112</f>
        <v>2706.88</v>
      </c>
      <c r="AI112" s="496">
        <f aca="true" t="shared" si="761" ref="AI112">L112</f>
        <v>7628.48</v>
      </c>
      <c r="AJ112" s="502">
        <f aca="true" t="shared" si="762" ref="AJ112">M112</f>
        <v>7505.44</v>
      </c>
      <c r="AK112" s="502">
        <f aca="true" t="shared" si="763" ref="AK112">N112</f>
        <v>7751.52</v>
      </c>
      <c r="AL112" s="496">
        <f aca="true" t="shared" si="764" ref="AL112">O112</f>
        <v>4429.44</v>
      </c>
      <c r="AM112" s="496">
        <f aca="true" t="shared" si="765" ref="AM112">P112</f>
        <v>0</v>
      </c>
      <c r="AN112" s="503">
        <f aca="true" t="shared" si="766" ref="AN112">Q112</f>
        <v>0</v>
      </c>
      <c r="AO112" s="503">
        <f aca="true" t="shared" si="767" ref="AO112">R112</f>
        <v>0</v>
      </c>
      <c r="AP112" s="496">
        <f aca="true" t="shared" si="768" ref="AP112">S112</f>
        <v>0</v>
      </c>
      <c r="AQ112" s="496">
        <f aca="true" t="shared" si="769" ref="AQ112">T112</f>
        <v>0</v>
      </c>
      <c r="AR112" s="496">
        <f>U112</f>
        <v>0</v>
      </c>
      <c r="AS112" s="496">
        <f>V112</f>
        <v>0</v>
      </c>
      <c r="AT112" s="496">
        <f>W112</f>
        <v>0</v>
      </c>
      <c r="AU112" s="496">
        <f>X112</f>
        <v>0</v>
      </c>
      <c r="AV112" s="496">
        <f>Y112</f>
        <v>0</v>
      </c>
      <c r="AW112" s="496"/>
      <c r="AX112" s="496">
        <f>IF(AX$119=$E112,SUM(AC112:AF112),0)</f>
        <v>0</v>
      </c>
      <c r="AY112" s="496">
        <f>IF(AY$119=$E112,SUM(AD112:AG112),0)</f>
        <v>0</v>
      </c>
      <c r="AZ112" s="496">
        <f>IF(AZ$119=$E112,SUM(AE112:AH112),0)</f>
        <v>0</v>
      </c>
      <c r="BA112" s="496">
        <f>IF(BA$119=$E112,SUM(AF112:AI112),0)</f>
        <v>0</v>
      </c>
      <c r="BB112" s="496">
        <f>IF(BB$119=$E112,SUM(AG112:AJ112),0)</f>
        <v>0</v>
      </c>
      <c r="BC112" s="496">
        <v>29991</v>
      </c>
      <c r="BD112" s="496">
        <f>IF(BD$119=$E112,SUM(AI112:AL112),0)</f>
        <v>0</v>
      </c>
      <c r="BE112" s="496">
        <f>IF(BE$119=$E112,SUM(AJ112:AM112),0)</f>
        <v>0</v>
      </c>
      <c r="BF112" s="496">
        <f>IF(BF$119=$E112,SUM(AK112:AN112),0)</f>
        <v>0</v>
      </c>
      <c r="BG112" s="496">
        <v>30.76</v>
      </c>
      <c r="BH112" s="496">
        <f aca="true" t="shared" si="770" ref="BH112:BM112">IF(BH$119=$E112,SUM(AM112:AP112),0)</f>
        <v>0</v>
      </c>
      <c r="BI112" s="496">
        <f t="shared" si="770"/>
        <v>0</v>
      </c>
      <c r="BJ112" s="496">
        <f t="shared" si="770"/>
        <v>0</v>
      </c>
      <c r="BK112" s="496">
        <f t="shared" si="770"/>
        <v>0</v>
      </c>
      <c r="BL112" s="496">
        <f t="shared" si="770"/>
        <v>0</v>
      </c>
      <c r="BM112" s="496">
        <f t="shared" si="770"/>
        <v>0</v>
      </c>
      <c r="BN112" s="496">
        <f>IF(BN$119=$E112,SUM(AS112:AW112),0)</f>
        <v>0</v>
      </c>
      <c r="BO112" s="496">
        <f>IF(BO$119=$E112,SUM(AT112:AX112),0)</f>
        <v>0</v>
      </c>
      <c r="BP112" s="496">
        <f>IF(BP$119=$E112,SUM(AU112:AY112),0)</f>
        <v>0</v>
      </c>
      <c r="BQ112" s="496">
        <f>IF(BQ$119=$E112,SUM(AV112:AZ112),0)</f>
        <v>0</v>
      </c>
      <c r="BR112" s="504">
        <f t="shared" si="420"/>
        <v>0</v>
      </c>
      <c r="BS112" s="251"/>
    </row>
    <row r="113" spans="1:70" s="295" customFormat="1" ht="14.45" customHeight="1">
      <c r="A113" s="493" t="s">
        <v>146</v>
      </c>
      <c r="B113" s="494"/>
      <c r="C113" s="495"/>
      <c r="D113" s="496">
        <v>714.25</v>
      </c>
      <c r="E113" s="495" t="s">
        <v>181</v>
      </c>
      <c r="F113" s="500"/>
      <c r="G113" s="500">
        <v>0</v>
      </c>
      <c r="H113" s="500">
        <v>0</v>
      </c>
      <c r="I113" s="500">
        <v>0</v>
      </c>
      <c r="J113" s="500"/>
      <c r="K113" s="500"/>
      <c r="L113" s="500">
        <v>0.3749947497374869</v>
      </c>
      <c r="M113" s="500">
        <v>0.12499824991249563</v>
      </c>
      <c r="N113" s="500">
        <v>0</v>
      </c>
      <c r="O113" s="500">
        <v>0.5000070003500175</v>
      </c>
      <c r="P113" s="500"/>
      <c r="Q113" s="497"/>
      <c r="R113" s="497"/>
      <c r="S113" s="497"/>
      <c r="T113" s="497"/>
      <c r="U113" s="497"/>
      <c r="V113" s="497"/>
      <c r="W113" s="497"/>
      <c r="X113" s="497"/>
      <c r="Y113" s="497"/>
      <c r="Z113" s="501">
        <f>SUM(F113:Y113)</f>
        <v>1</v>
      </c>
      <c r="AA113" s="495"/>
      <c r="AB113" s="495"/>
      <c r="AC113" s="496">
        <f aca="true" t="shared" si="771" ref="AC113:AL115">F113*$D113</f>
        <v>0</v>
      </c>
      <c r="AD113" s="496">
        <f t="shared" si="771"/>
        <v>0</v>
      </c>
      <c r="AE113" s="496">
        <f t="shared" si="771"/>
        <v>0</v>
      </c>
      <c r="AF113" s="496">
        <f t="shared" si="771"/>
        <v>0</v>
      </c>
      <c r="AG113" s="496">
        <f t="shared" si="771"/>
        <v>0</v>
      </c>
      <c r="AH113" s="496">
        <f t="shared" si="771"/>
        <v>0</v>
      </c>
      <c r="AI113" s="502">
        <f t="shared" si="771"/>
        <v>267.84000000000003</v>
      </c>
      <c r="AJ113" s="502">
        <f t="shared" si="771"/>
        <v>89.28</v>
      </c>
      <c r="AK113" s="502">
        <f t="shared" si="771"/>
        <v>0</v>
      </c>
      <c r="AL113" s="502">
        <f t="shared" si="771"/>
        <v>357.13000000000005</v>
      </c>
      <c r="AM113" s="496">
        <f aca="true" t="shared" si="772" ref="AM113:AV115">P113*$D113</f>
        <v>0</v>
      </c>
      <c r="AN113" s="503">
        <f t="shared" si="772"/>
        <v>0</v>
      </c>
      <c r="AO113" s="496">
        <f t="shared" si="772"/>
        <v>0</v>
      </c>
      <c r="AP113" s="496">
        <f t="shared" si="772"/>
        <v>0</v>
      </c>
      <c r="AQ113" s="496">
        <f t="shared" si="772"/>
        <v>0</v>
      </c>
      <c r="AR113" s="496">
        <f t="shared" si="772"/>
        <v>0</v>
      </c>
      <c r="AS113" s="496">
        <f t="shared" si="772"/>
        <v>0</v>
      </c>
      <c r="AT113" s="496">
        <f t="shared" si="772"/>
        <v>0</v>
      </c>
      <c r="AU113" s="496">
        <f t="shared" si="772"/>
        <v>0</v>
      </c>
      <c r="AV113" s="496">
        <f t="shared" si="772"/>
        <v>0</v>
      </c>
      <c r="AW113" s="496"/>
      <c r="AX113" s="496">
        <f aca="true" t="shared" si="773" ref="AX113:BQ113">IF(AX$3=$E113,$D113,0)</f>
        <v>0</v>
      </c>
      <c r="AY113" s="496">
        <f t="shared" si="773"/>
        <v>0</v>
      </c>
      <c r="AZ113" s="496">
        <f t="shared" si="773"/>
        <v>0</v>
      </c>
      <c r="BA113" s="496">
        <f t="shared" si="773"/>
        <v>0</v>
      </c>
      <c r="BB113" s="496">
        <f t="shared" si="773"/>
        <v>0</v>
      </c>
      <c r="BC113" s="496">
        <f t="shared" si="773"/>
        <v>0</v>
      </c>
      <c r="BD113" s="503">
        <f t="shared" si="773"/>
        <v>714.25</v>
      </c>
      <c r="BE113" s="496">
        <f t="shared" si="773"/>
        <v>0</v>
      </c>
      <c r="BF113" s="496">
        <f t="shared" si="773"/>
        <v>0</v>
      </c>
      <c r="BG113" s="496">
        <f t="shared" si="773"/>
        <v>0</v>
      </c>
      <c r="BH113" s="496">
        <f t="shared" si="773"/>
        <v>0</v>
      </c>
      <c r="BI113" s="496">
        <f t="shared" si="773"/>
        <v>0</v>
      </c>
      <c r="BJ113" s="496">
        <f t="shared" si="773"/>
        <v>0</v>
      </c>
      <c r="BK113" s="496">
        <f t="shared" si="773"/>
        <v>0</v>
      </c>
      <c r="BL113" s="496">
        <f t="shared" si="773"/>
        <v>0</v>
      </c>
      <c r="BM113" s="496">
        <f t="shared" si="773"/>
        <v>0</v>
      </c>
      <c r="BN113" s="496">
        <f t="shared" si="773"/>
        <v>0</v>
      </c>
      <c r="BO113" s="496">
        <f t="shared" si="773"/>
        <v>0</v>
      </c>
      <c r="BP113" s="496">
        <f t="shared" si="773"/>
        <v>0</v>
      </c>
      <c r="BQ113" s="496">
        <f t="shared" si="773"/>
        <v>0</v>
      </c>
      <c r="BR113" s="504">
        <f t="shared" si="420"/>
        <v>0</v>
      </c>
    </row>
    <row r="114" spans="1:70" s="295" customFormat="1" ht="14.45" customHeight="1">
      <c r="A114" s="493" t="s">
        <v>146</v>
      </c>
      <c r="B114" s="494"/>
      <c r="C114" s="495"/>
      <c r="D114" s="503">
        <v>7714.32</v>
      </c>
      <c r="E114" s="495" t="s">
        <v>244</v>
      </c>
      <c r="F114" s="500"/>
      <c r="G114" s="500">
        <v>0</v>
      </c>
      <c r="H114" s="500">
        <v>0</v>
      </c>
      <c r="I114" s="500">
        <v>0</v>
      </c>
      <c r="J114" s="500"/>
      <c r="K114" s="500">
        <v>0</v>
      </c>
      <c r="L114" s="500">
        <v>0</v>
      </c>
      <c r="M114" s="500">
        <v>0</v>
      </c>
      <c r="N114" s="500">
        <v>0</v>
      </c>
      <c r="O114" s="500">
        <v>0.33333333333333337</v>
      </c>
      <c r="P114" s="500">
        <v>0.25</v>
      </c>
      <c r="Q114" s="500">
        <v>0.25</v>
      </c>
      <c r="R114" s="500">
        <f>1-(O114+P114+Q114)</f>
        <v>0.16666666666666663</v>
      </c>
      <c r="S114" s="497"/>
      <c r="T114" s="497"/>
      <c r="U114" s="497"/>
      <c r="V114" s="497"/>
      <c r="W114" s="497"/>
      <c r="X114" s="497"/>
      <c r="Y114" s="497"/>
      <c r="Z114" s="501">
        <f aca="true" t="shared" si="774" ref="Z114:Z116">SUM(F114:Y114)</f>
        <v>1</v>
      </c>
      <c r="AA114" s="495"/>
      <c r="AB114" s="495"/>
      <c r="AC114" s="496">
        <f t="shared" si="771"/>
        <v>0</v>
      </c>
      <c r="AD114" s="496">
        <f t="shared" si="771"/>
        <v>0</v>
      </c>
      <c r="AE114" s="496">
        <f t="shared" si="771"/>
        <v>0</v>
      </c>
      <c r="AF114" s="496">
        <f t="shared" si="771"/>
        <v>0</v>
      </c>
      <c r="AG114" s="496">
        <f t="shared" si="771"/>
        <v>0</v>
      </c>
      <c r="AH114" s="502">
        <f t="shared" si="771"/>
        <v>0</v>
      </c>
      <c r="AI114" s="502">
        <f t="shared" si="771"/>
        <v>0</v>
      </c>
      <c r="AJ114" s="502">
        <f t="shared" si="771"/>
        <v>0</v>
      </c>
      <c r="AK114" s="502">
        <f t="shared" si="771"/>
        <v>0</v>
      </c>
      <c r="AL114" s="502">
        <f t="shared" si="771"/>
        <v>2571.44</v>
      </c>
      <c r="AM114" s="496">
        <f t="shared" si="772"/>
        <v>1928.58</v>
      </c>
      <c r="AN114" s="503">
        <f t="shared" si="772"/>
        <v>1928.58</v>
      </c>
      <c r="AO114" s="503">
        <f t="shared" si="772"/>
        <v>1285.7199999999996</v>
      </c>
      <c r="AP114" s="496">
        <f t="shared" si="772"/>
        <v>0</v>
      </c>
      <c r="AQ114" s="496">
        <f t="shared" si="772"/>
        <v>0</v>
      </c>
      <c r="AR114" s="496">
        <f t="shared" si="772"/>
        <v>0</v>
      </c>
      <c r="AS114" s="496">
        <f t="shared" si="772"/>
        <v>0</v>
      </c>
      <c r="AT114" s="496">
        <f t="shared" si="772"/>
        <v>0</v>
      </c>
      <c r="AU114" s="496">
        <f t="shared" si="772"/>
        <v>0</v>
      </c>
      <c r="AV114" s="496">
        <f t="shared" si="772"/>
        <v>0</v>
      </c>
      <c r="AW114" s="496"/>
      <c r="AX114" s="496">
        <f t="shared" si="739"/>
        <v>0</v>
      </c>
      <c r="AY114" s="496">
        <f t="shared" si="739"/>
        <v>0</v>
      </c>
      <c r="AZ114" s="496">
        <f t="shared" si="739"/>
        <v>0</v>
      </c>
      <c r="BA114" s="496">
        <f t="shared" si="739"/>
        <v>0</v>
      </c>
      <c r="BB114" s="496">
        <f t="shared" si="739"/>
        <v>0</v>
      </c>
      <c r="BC114" s="496">
        <f t="shared" si="739"/>
        <v>0</v>
      </c>
      <c r="BD114" s="496">
        <f t="shared" si="739"/>
        <v>0</v>
      </c>
      <c r="BE114" s="496">
        <f t="shared" si="739"/>
        <v>0</v>
      </c>
      <c r="BF114" s="496">
        <f t="shared" si="739"/>
        <v>7714.32</v>
      </c>
      <c r="BG114" s="496">
        <f t="shared" si="739"/>
        <v>0</v>
      </c>
      <c r="BH114" s="496">
        <f t="shared" si="739"/>
        <v>0</v>
      </c>
      <c r="BI114" s="496">
        <f t="shared" si="739"/>
        <v>0</v>
      </c>
      <c r="BJ114" s="496">
        <f t="shared" si="739"/>
        <v>0</v>
      </c>
      <c r="BK114" s="496">
        <f t="shared" si="739"/>
        <v>0</v>
      </c>
      <c r="BL114" s="496">
        <f t="shared" si="739"/>
        <v>0</v>
      </c>
      <c r="BM114" s="496">
        <f t="shared" si="447"/>
        <v>0</v>
      </c>
      <c r="BN114" s="496">
        <f t="shared" si="447"/>
        <v>0</v>
      </c>
      <c r="BO114" s="496">
        <f t="shared" si="447"/>
        <v>0</v>
      </c>
      <c r="BP114" s="496">
        <f t="shared" si="447"/>
        <v>0</v>
      </c>
      <c r="BQ114" s="496">
        <f t="shared" si="447"/>
        <v>0</v>
      </c>
      <c r="BR114" s="504">
        <f t="shared" si="420"/>
        <v>0</v>
      </c>
    </row>
    <row r="115" spans="1:70" s="295" customFormat="1" ht="14.45" customHeight="1">
      <c r="A115" s="493" t="s">
        <v>146</v>
      </c>
      <c r="B115" s="494"/>
      <c r="C115" s="495"/>
      <c r="D115" s="503">
        <v>7714.32</v>
      </c>
      <c r="E115" s="495" t="s">
        <v>263</v>
      </c>
      <c r="F115" s="500"/>
      <c r="G115" s="500">
        <v>0</v>
      </c>
      <c r="H115" s="500">
        <v>0</v>
      </c>
      <c r="I115" s="500">
        <v>0</v>
      </c>
      <c r="J115" s="500"/>
      <c r="K115" s="500">
        <v>0</v>
      </c>
      <c r="L115" s="500">
        <v>0</v>
      </c>
      <c r="M115" s="500">
        <v>0</v>
      </c>
      <c r="N115" s="500">
        <v>0</v>
      </c>
      <c r="O115" s="500">
        <v>0</v>
      </c>
      <c r="P115" s="500">
        <v>0</v>
      </c>
      <c r="Q115" s="500">
        <v>0</v>
      </c>
      <c r="R115" s="500">
        <v>0.08333333333333337</v>
      </c>
      <c r="S115" s="500">
        <v>0.25</v>
      </c>
      <c r="T115" s="500">
        <v>0.25</v>
      </c>
      <c r="U115" s="500">
        <v>0.25</v>
      </c>
      <c r="V115" s="500">
        <v>0.16666666666666663</v>
      </c>
      <c r="W115" s="497"/>
      <c r="X115" s="497"/>
      <c r="Y115" s="497"/>
      <c r="Z115" s="501">
        <f aca="true" t="shared" si="775" ref="Z115">SUM(F115:Y115)</f>
        <v>1</v>
      </c>
      <c r="AA115" s="495"/>
      <c r="AB115" s="495"/>
      <c r="AC115" s="496">
        <f t="shared" si="771"/>
        <v>0</v>
      </c>
      <c r="AD115" s="496">
        <f t="shared" si="771"/>
        <v>0</v>
      </c>
      <c r="AE115" s="496">
        <f t="shared" si="771"/>
        <v>0</v>
      </c>
      <c r="AF115" s="496">
        <f t="shared" si="771"/>
        <v>0</v>
      </c>
      <c r="AG115" s="496">
        <f t="shared" si="771"/>
        <v>0</v>
      </c>
      <c r="AH115" s="502">
        <f t="shared" si="771"/>
        <v>0</v>
      </c>
      <c r="AI115" s="502">
        <f t="shared" si="771"/>
        <v>0</v>
      </c>
      <c r="AJ115" s="502">
        <f t="shared" si="771"/>
        <v>0</v>
      </c>
      <c r="AK115" s="502">
        <f t="shared" si="771"/>
        <v>0</v>
      </c>
      <c r="AL115" s="502">
        <f t="shared" si="771"/>
        <v>0</v>
      </c>
      <c r="AM115" s="496">
        <f t="shared" si="772"/>
        <v>0</v>
      </c>
      <c r="AN115" s="503">
        <f t="shared" si="772"/>
        <v>0</v>
      </c>
      <c r="AO115" s="503">
        <f t="shared" si="772"/>
        <v>642.8600000000002</v>
      </c>
      <c r="AP115" s="496">
        <f t="shared" si="772"/>
        <v>1928.58</v>
      </c>
      <c r="AQ115" s="496">
        <f t="shared" si="772"/>
        <v>1928.58</v>
      </c>
      <c r="AR115" s="496">
        <f t="shared" si="772"/>
        <v>1928.58</v>
      </c>
      <c r="AS115" s="496">
        <f t="shared" si="772"/>
        <v>1285.7199999999996</v>
      </c>
      <c r="AT115" s="496">
        <f t="shared" si="772"/>
        <v>0</v>
      </c>
      <c r="AU115" s="496">
        <f t="shared" si="772"/>
        <v>0</v>
      </c>
      <c r="AV115" s="496">
        <f t="shared" si="772"/>
        <v>0</v>
      </c>
      <c r="AW115" s="496"/>
      <c r="AX115" s="496">
        <f t="shared" si="739"/>
        <v>0</v>
      </c>
      <c r="AY115" s="496">
        <f t="shared" si="739"/>
        <v>0</v>
      </c>
      <c r="AZ115" s="496">
        <f t="shared" si="739"/>
        <v>0</v>
      </c>
      <c r="BA115" s="496">
        <f t="shared" si="739"/>
        <v>0</v>
      </c>
      <c r="BB115" s="496">
        <f t="shared" si="739"/>
        <v>0</v>
      </c>
      <c r="BC115" s="496">
        <f t="shared" si="739"/>
        <v>0</v>
      </c>
      <c r="BD115" s="496">
        <f t="shared" si="739"/>
        <v>0</v>
      </c>
      <c r="BE115" s="496">
        <f t="shared" si="739"/>
        <v>0</v>
      </c>
      <c r="BF115" s="496">
        <f t="shared" si="739"/>
        <v>0</v>
      </c>
      <c r="BG115" s="496">
        <f t="shared" si="739"/>
        <v>0</v>
      </c>
      <c r="BH115" s="496">
        <f t="shared" si="739"/>
        <v>0</v>
      </c>
      <c r="BI115" s="496">
        <f t="shared" si="739"/>
        <v>0</v>
      </c>
      <c r="BJ115" s="503">
        <f t="shared" si="739"/>
        <v>7714.32</v>
      </c>
      <c r="BK115" s="496">
        <f t="shared" si="739"/>
        <v>0</v>
      </c>
      <c r="BL115" s="496">
        <f t="shared" si="739"/>
        <v>0</v>
      </c>
      <c r="BM115" s="496">
        <f t="shared" si="447"/>
        <v>0</v>
      </c>
      <c r="BN115" s="496">
        <f t="shared" si="447"/>
        <v>0</v>
      </c>
      <c r="BO115" s="496">
        <f t="shared" si="447"/>
        <v>0</v>
      </c>
      <c r="BP115" s="496">
        <f t="shared" si="447"/>
        <v>0</v>
      </c>
      <c r="BQ115" s="496">
        <f t="shared" si="447"/>
        <v>0</v>
      </c>
      <c r="BR115" s="504">
        <f aca="true" t="shared" si="776" ref="BR115">SUM(AC115:AV115)-SUM(AX115:BQ115)</f>
        <v>0</v>
      </c>
    </row>
    <row r="116" spans="1:70" s="295" customFormat="1" ht="14.45" customHeight="1">
      <c r="A116" s="493" t="s">
        <v>146</v>
      </c>
      <c r="B116" s="494"/>
      <c r="C116" s="495"/>
      <c r="D116" s="503">
        <v>4500.02</v>
      </c>
      <c r="E116" s="495" t="s">
        <v>275</v>
      </c>
      <c r="F116" s="500"/>
      <c r="G116" s="500">
        <v>0</v>
      </c>
      <c r="H116" s="500">
        <v>0</v>
      </c>
      <c r="I116" s="500">
        <v>0</v>
      </c>
      <c r="J116" s="500"/>
      <c r="K116" s="500">
        <v>0</v>
      </c>
      <c r="L116" s="500">
        <v>0</v>
      </c>
      <c r="M116" s="500">
        <v>0</v>
      </c>
      <c r="N116" s="500">
        <v>0</v>
      </c>
      <c r="O116" s="500">
        <v>0</v>
      </c>
      <c r="P116" s="500">
        <v>0</v>
      </c>
      <c r="Q116" s="500">
        <v>0</v>
      </c>
      <c r="R116" s="500">
        <v>0</v>
      </c>
      <c r="S116" s="500">
        <v>0</v>
      </c>
      <c r="T116" s="500">
        <v>0</v>
      </c>
      <c r="U116" s="500">
        <v>0</v>
      </c>
      <c r="V116" s="499">
        <v>0.1428571428571429</v>
      </c>
      <c r="W116" s="499">
        <v>0.4285714285714285</v>
      </c>
      <c r="X116" s="499">
        <v>0.4285714285714285</v>
      </c>
      <c r="Y116" s="497"/>
      <c r="Z116" s="501">
        <f t="shared" si="774"/>
        <v>0.9999999999999999</v>
      </c>
      <c r="AA116" s="495"/>
      <c r="AB116" s="495"/>
      <c r="AC116" s="496">
        <f aca="true" t="shared" si="777" ref="AC116">F116*$D116</f>
        <v>0</v>
      </c>
      <c r="AD116" s="496">
        <f aca="true" t="shared" si="778" ref="AD116">G116*$D116</f>
        <v>0</v>
      </c>
      <c r="AE116" s="496">
        <f aca="true" t="shared" si="779" ref="AE116">H116*$D116</f>
        <v>0</v>
      </c>
      <c r="AF116" s="496">
        <f aca="true" t="shared" si="780" ref="AF116">I116*$D116</f>
        <v>0</v>
      </c>
      <c r="AG116" s="496">
        <f aca="true" t="shared" si="781" ref="AG116">J116*$D116</f>
        <v>0</v>
      </c>
      <c r="AH116" s="502">
        <f aca="true" t="shared" si="782" ref="AH116">K116*$D116</f>
        <v>0</v>
      </c>
      <c r="AI116" s="502">
        <f aca="true" t="shared" si="783" ref="AI116">L116*$D116</f>
        <v>0</v>
      </c>
      <c r="AJ116" s="502">
        <f aca="true" t="shared" si="784" ref="AJ116">M116*$D116</f>
        <v>0</v>
      </c>
      <c r="AK116" s="502">
        <f aca="true" t="shared" si="785" ref="AK116">N116*$D116</f>
        <v>0</v>
      </c>
      <c r="AL116" s="502">
        <f aca="true" t="shared" si="786" ref="AL116">O116*$D116</f>
        <v>0</v>
      </c>
      <c r="AM116" s="496">
        <f aca="true" t="shared" si="787" ref="AM116">P116*$D116</f>
        <v>0</v>
      </c>
      <c r="AN116" s="503">
        <f aca="true" t="shared" si="788" ref="AN116">Q116*$D116</f>
        <v>0</v>
      </c>
      <c r="AO116" s="503">
        <f aca="true" t="shared" si="789" ref="AO116">R116*$D116</f>
        <v>0</v>
      </c>
      <c r="AP116" s="496">
        <f aca="true" t="shared" si="790" ref="AP116">S116*$D116</f>
        <v>0</v>
      </c>
      <c r="AQ116" s="496">
        <f aca="true" t="shared" si="791" ref="AQ116">T116*$D116</f>
        <v>0</v>
      </c>
      <c r="AR116" s="496">
        <f aca="true" t="shared" si="792" ref="AR116">U116*$D116</f>
        <v>0</v>
      </c>
      <c r="AS116" s="503">
        <f aca="true" t="shared" si="793" ref="AS116">V116*$D116</f>
        <v>642.8600000000002</v>
      </c>
      <c r="AT116" s="496">
        <f aca="true" t="shared" si="794" ref="AT116">W116*$D116</f>
        <v>1928.58</v>
      </c>
      <c r="AU116" s="496">
        <f aca="true" t="shared" si="795" ref="AU116:AV116">X116*$D116</f>
        <v>1928.58</v>
      </c>
      <c r="AV116" s="496">
        <f t="shared" si="795"/>
        <v>0</v>
      </c>
      <c r="AW116" s="496"/>
      <c r="AX116" s="496">
        <f t="shared" si="739"/>
        <v>0</v>
      </c>
      <c r="AY116" s="496">
        <f t="shared" si="739"/>
        <v>0</v>
      </c>
      <c r="AZ116" s="496">
        <f t="shared" si="739"/>
        <v>0</v>
      </c>
      <c r="BA116" s="496">
        <f t="shared" si="739"/>
        <v>0</v>
      </c>
      <c r="BB116" s="496">
        <f t="shared" si="739"/>
        <v>0</v>
      </c>
      <c r="BC116" s="496">
        <f t="shared" si="739"/>
        <v>0</v>
      </c>
      <c r="BD116" s="496">
        <f t="shared" si="739"/>
        <v>0</v>
      </c>
      <c r="BE116" s="496">
        <f t="shared" si="739"/>
        <v>0</v>
      </c>
      <c r="BF116" s="496">
        <f t="shared" si="739"/>
        <v>0</v>
      </c>
      <c r="BG116" s="496">
        <f t="shared" si="739"/>
        <v>0</v>
      </c>
      <c r="BH116" s="496">
        <f t="shared" si="739"/>
        <v>0</v>
      </c>
      <c r="BI116" s="496">
        <f t="shared" si="739"/>
        <v>0</v>
      </c>
      <c r="BJ116" s="503">
        <f t="shared" si="739"/>
        <v>0</v>
      </c>
      <c r="BK116" s="496">
        <f t="shared" si="739"/>
        <v>0</v>
      </c>
      <c r="BL116" s="496">
        <f t="shared" si="739"/>
        <v>0</v>
      </c>
      <c r="BM116" s="496">
        <f t="shared" si="447"/>
        <v>0</v>
      </c>
      <c r="BN116" s="496">
        <f t="shared" si="447"/>
        <v>4500.02</v>
      </c>
      <c r="BO116" s="496">
        <f t="shared" si="447"/>
        <v>0</v>
      </c>
      <c r="BP116" s="496">
        <f t="shared" si="447"/>
        <v>0</v>
      </c>
      <c r="BQ116" s="496">
        <f t="shared" si="447"/>
        <v>0</v>
      </c>
      <c r="BR116" s="504">
        <f t="shared" si="420"/>
        <v>0</v>
      </c>
    </row>
    <row r="117" spans="1:70" ht="14.45" customHeight="1">
      <c r="A117" s="245"/>
      <c r="B117" s="245"/>
      <c r="C117" s="356"/>
      <c r="D117" s="358"/>
      <c r="E117" s="356"/>
      <c r="F117" s="356"/>
      <c r="G117" s="356"/>
      <c r="H117" s="356"/>
      <c r="I117" s="357"/>
      <c r="J117" s="357"/>
      <c r="K117" s="357"/>
      <c r="L117" s="357"/>
      <c r="M117" s="357"/>
      <c r="N117" s="357"/>
      <c r="O117" s="357"/>
      <c r="P117" s="357"/>
      <c r="Q117" s="356"/>
      <c r="R117" s="344"/>
      <c r="S117" s="356"/>
      <c r="T117" s="356"/>
      <c r="U117" s="356"/>
      <c r="V117" s="356"/>
      <c r="W117" s="356"/>
      <c r="X117" s="356"/>
      <c r="Y117" s="356"/>
      <c r="Z117" s="356"/>
      <c r="AA117" s="356"/>
      <c r="AB117" s="356"/>
      <c r="AC117" s="358">
        <f aca="true" t="shared" si="796" ref="AC117">F117*$D117</f>
        <v>0</v>
      </c>
      <c r="AD117" s="358">
        <f aca="true" t="shared" si="797" ref="AD117">G117*$D117</f>
        <v>0</v>
      </c>
      <c r="AE117" s="358">
        <f aca="true" t="shared" si="798" ref="AE117">H117*$D117</f>
        <v>0</v>
      </c>
      <c r="AF117" s="358">
        <f aca="true" t="shared" si="799" ref="AF117">I117*$D117</f>
        <v>0</v>
      </c>
      <c r="AG117" s="358">
        <f aca="true" t="shared" si="800" ref="AG117">J117*$D117</f>
        <v>0</v>
      </c>
      <c r="AH117" s="358">
        <f aca="true" t="shared" si="801" ref="AH117">K117*$D117</f>
        <v>0</v>
      </c>
      <c r="AI117" s="358">
        <f aca="true" t="shared" si="802" ref="AI117">L117*$D117</f>
        <v>0</v>
      </c>
      <c r="AJ117" s="358">
        <f aca="true" t="shared" si="803" ref="AJ117">M117*$D117</f>
        <v>0</v>
      </c>
      <c r="AK117" s="358">
        <f aca="true" t="shared" si="804" ref="AK117">N117*$D117</f>
        <v>0</v>
      </c>
      <c r="AL117" s="358">
        <f aca="true" t="shared" si="805" ref="AL117">O117*$D117</f>
        <v>0</v>
      </c>
      <c r="AM117" s="358">
        <f aca="true" t="shared" si="806" ref="AM117">P117*$D117</f>
        <v>0</v>
      </c>
      <c r="AN117" s="358">
        <f aca="true" t="shared" si="807" ref="AN117">Q117*$D117</f>
        <v>0</v>
      </c>
      <c r="AO117" s="405">
        <f aca="true" t="shared" si="808" ref="AO117">R117*$D117</f>
        <v>0</v>
      </c>
      <c r="AP117" s="358">
        <f aca="true" t="shared" si="809" ref="AP117">S117*$D117</f>
        <v>0</v>
      </c>
      <c r="AQ117" s="358">
        <f aca="true" t="shared" si="810" ref="AQ117">T117*$D117</f>
        <v>0</v>
      </c>
      <c r="AR117" s="358">
        <f t="shared" si="397"/>
        <v>0</v>
      </c>
      <c r="AS117" s="358">
        <f t="shared" si="722"/>
        <v>0</v>
      </c>
      <c r="AT117" s="358">
        <f t="shared" si="723"/>
        <v>0</v>
      </c>
      <c r="AU117" s="358">
        <f t="shared" si="724"/>
        <v>0</v>
      </c>
      <c r="AV117" s="358"/>
      <c r="AW117" s="358"/>
      <c r="AX117" s="358">
        <f aca="true" t="shared" si="811" ref="AX117:BQ117">IF(AX$3=$E117,$D117,0)</f>
        <v>0</v>
      </c>
      <c r="AY117" s="358">
        <f t="shared" si="811"/>
        <v>0</v>
      </c>
      <c r="AZ117" s="358">
        <f t="shared" si="811"/>
        <v>0</v>
      </c>
      <c r="BA117" s="358">
        <f t="shared" si="811"/>
        <v>0</v>
      </c>
      <c r="BB117" s="358">
        <f t="shared" si="811"/>
        <v>0</v>
      </c>
      <c r="BC117" s="358">
        <f t="shared" si="811"/>
        <v>0</v>
      </c>
      <c r="BD117" s="358">
        <f t="shared" si="811"/>
        <v>0</v>
      </c>
      <c r="BE117" s="358">
        <f t="shared" si="811"/>
        <v>0</v>
      </c>
      <c r="BF117" s="358">
        <f t="shared" si="811"/>
        <v>0</v>
      </c>
      <c r="BG117" s="358">
        <f t="shared" si="811"/>
        <v>0</v>
      </c>
      <c r="BH117" s="358">
        <f t="shared" si="811"/>
        <v>0</v>
      </c>
      <c r="BI117" s="358">
        <f t="shared" si="811"/>
        <v>0</v>
      </c>
      <c r="BJ117" s="358">
        <f t="shared" si="811"/>
        <v>0</v>
      </c>
      <c r="BK117" s="358">
        <f t="shared" si="811"/>
        <v>0</v>
      </c>
      <c r="BL117" s="358">
        <f t="shared" si="811"/>
        <v>0</v>
      </c>
      <c r="BM117" s="358">
        <f t="shared" si="811"/>
        <v>0</v>
      </c>
      <c r="BN117" s="358">
        <f t="shared" si="811"/>
        <v>0</v>
      </c>
      <c r="BO117" s="358">
        <f t="shared" si="811"/>
        <v>0</v>
      </c>
      <c r="BP117" s="358">
        <f t="shared" si="811"/>
        <v>0</v>
      </c>
      <c r="BQ117" s="358">
        <f t="shared" si="811"/>
        <v>0</v>
      </c>
      <c r="BR117" s="400">
        <f t="shared" si="420"/>
        <v>0</v>
      </c>
    </row>
    <row r="118" spans="1:70" ht="14.45" customHeight="1">
      <c r="A118" s="245"/>
      <c r="B118" s="245"/>
      <c r="C118" s="356"/>
      <c r="D118" s="356" t="s">
        <v>165</v>
      </c>
      <c r="E118" s="356"/>
      <c r="F118" s="356" t="s">
        <v>148</v>
      </c>
      <c r="G118" s="356" t="s">
        <v>152</v>
      </c>
      <c r="H118" s="356" t="s">
        <v>153</v>
      </c>
      <c r="I118" s="357" t="s">
        <v>154</v>
      </c>
      <c r="J118" s="357" t="s">
        <v>155</v>
      </c>
      <c r="K118" s="357" t="s">
        <v>156</v>
      </c>
      <c r="L118" s="357" t="s">
        <v>157</v>
      </c>
      <c r="M118" s="357" t="s">
        <v>158</v>
      </c>
      <c r="N118" s="357" t="s">
        <v>159</v>
      </c>
      <c r="O118" s="357" t="s">
        <v>160</v>
      </c>
      <c r="P118" s="357" t="s">
        <v>161</v>
      </c>
      <c r="Q118" s="356" t="s">
        <v>162</v>
      </c>
      <c r="R118" s="356" t="s">
        <v>163</v>
      </c>
      <c r="S118" s="356" t="s">
        <v>164</v>
      </c>
      <c r="T118" s="356" t="s">
        <v>166</v>
      </c>
      <c r="U118" s="370" t="s">
        <v>246</v>
      </c>
      <c r="V118" s="370"/>
      <c r="W118" s="370"/>
      <c r="X118" s="370"/>
      <c r="Y118" s="370"/>
      <c r="Z118" s="356" t="s">
        <v>165</v>
      </c>
      <c r="AA118" s="356"/>
      <c r="AB118" s="356"/>
      <c r="AC118" s="358"/>
      <c r="AD118" s="358"/>
      <c r="AE118" s="358"/>
      <c r="AF118" s="358"/>
      <c r="AG118" s="358"/>
      <c r="AH118" s="358"/>
      <c r="AI118" s="358"/>
      <c r="AJ118" s="358"/>
      <c r="AK118" s="358"/>
      <c r="AL118" s="358"/>
      <c r="AM118" s="358"/>
      <c r="AN118" s="358"/>
      <c r="AO118" s="405"/>
      <c r="AP118" s="358"/>
      <c r="AQ118" s="358"/>
      <c r="AR118" s="358"/>
      <c r="AS118" s="358"/>
      <c r="AT118" s="358"/>
      <c r="AU118" s="358"/>
      <c r="AV118" s="358"/>
      <c r="AW118" s="358"/>
      <c r="AX118" s="358"/>
      <c r="AY118" s="358"/>
      <c r="AZ118" s="358"/>
      <c r="BA118" s="358"/>
      <c r="BB118" s="358"/>
      <c r="BC118" s="358"/>
      <c r="BD118" s="358"/>
      <c r="BE118" s="358"/>
      <c r="BF118" s="356"/>
      <c r="BG118" s="356"/>
      <c r="BH118" s="356"/>
      <c r="BI118" s="356"/>
      <c r="BJ118" s="356"/>
      <c r="BK118" s="356"/>
      <c r="BL118" s="356"/>
      <c r="BM118" s="356"/>
      <c r="BN118" s="356"/>
      <c r="BO118" s="356"/>
      <c r="BP118" s="356"/>
      <c r="BQ118" s="356"/>
      <c r="BR118" s="400">
        <f t="shared" si="420"/>
        <v>0</v>
      </c>
    </row>
    <row r="119" spans="1:70" ht="14.45" customHeight="1">
      <c r="A119" s="245" t="s">
        <v>192</v>
      </c>
      <c r="B119" s="245"/>
      <c r="C119" s="356"/>
      <c r="D119" s="358"/>
      <c r="E119" s="356"/>
      <c r="F119" s="356"/>
      <c r="G119" s="356"/>
      <c r="H119" s="356"/>
      <c r="I119" s="357"/>
      <c r="J119" s="357"/>
      <c r="K119" s="357"/>
      <c r="L119" s="357"/>
      <c r="M119" s="357"/>
      <c r="N119" s="357"/>
      <c r="O119" s="357"/>
      <c r="P119" s="357"/>
      <c r="Q119" s="356"/>
      <c r="R119" s="356"/>
      <c r="S119" s="356"/>
      <c r="T119" s="356"/>
      <c r="U119" s="356"/>
      <c r="V119" s="356"/>
      <c r="W119" s="356"/>
      <c r="X119" s="356"/>
      <c r="Y119" s="356"/>
      <c r="Z119" s="356"/>
      <c r="AA119" s="356"/>
      <c r="AB119" s="356"/>
      <c r="AC119" s="358"/>
      <c r="AD119" s="358"/>
      <c r="AE119" s="358"/>
      <c r="AF119" s="358"/>
      <c r="AG119" s="358"/>
      <c r="AH119" s="358"/>
      <c r="AI119" s="358"/>
      <c r="AJ119" s="358"/>
      <c r="AK119" s="358"/>
      <c r="AL119" s="358"/>
      <c r="AM119" s="358"/>
      <c r="AN119" s="358"/>
      <c r="AO119" s="405"/>
      <c r="AP119" s="358"/>
      <c r="AQ119" s="358"/>
      <c r="AR119" s="358"/>
      <c r="AS119" s="358"/>
      <c r="AT119" s="358"/>
      <c r="AU119" s="358"/>
      <c r="AV119" s="358"/>
      <c r="AW119" s="358"/>
      <c r="AX119" s="358" t="s">
        <v>148</v>
      </c>
      <c r="AY119" s="358" t="s">
        <v>152</v>
      </c>
      <c r="AZ119" s="358" t="s">
        <v>153</v>
      </c>
      <c r="BA119" s="358" t="s">
        <v>154</v>
      </c>
      <c r="BB119" s="358" t="s">
        <v>148</v>
      </c>
      <c r="BC119" s="358" t="s">
        <v>152</v>
      </c>
      <c r="BD119" s="358" t="s">
        <v>153</v>
      </c>
      <c r="BE119" s="358" t="s">
        <v>154</v>
      </c>
      <c r="BF119" s="356" t="s">
        <v>148</v>
      </c>
      <c r="BG119" s="356" t="s">
        <v>152</v>
      </c>
      <c r="BH119" s="356" t="s">
        <v>153</v>
      </c>
      <c r="BI119" s="356" t="s">
        <v>154</v>
      </c>
      <c r="BJ119" s="356" t="s">
        <v>148</v>
      </c>
      <c r="BK119" s="356" t="s">
        <v>152</v>
      </c>
      <c r="BL119" s="356" t="s">
        <v>153</v>
      </c>
      <c r="BM119" s="356" t="s">
        <v>154</v>
      </c>
      <c r="BN119" s="356"/>
      <c r="BO119" s="356"/>
      <c r="BP119" s="356"/>
      <c r="BQ119" s="356"/>
      <c r="BR119" s="400">
        <f t="shared" si="420"/>
        <v>0</v>
      </c>
    </row>
    <row r="120" spans="1:70" s="295" customFormat="1" ht="14.45" customHeight="1">
      <c r="A120" s="448" t="s">
        <v>134</v>
      </c>
      <c r="B120" s="448"/>
      <c r="C120" s="449"/>
      <c r="D120" s="398">
        <v>198.71</v>
      </c>
      <c r="E120" s="449" t="s">
        <v>221</v>
      </c>
      <c r="F120" s="450"/>
      <c r="G120" s="450"/>
      <c r="H120" s="450"/>
      <c r="I120" s="456"/>
      <c r="J120" s="456">
        <v>0</v>
      </c>
      <c r="K120" s="456">
        <v>0</v>
      </c>
      <c r="L120" s="456">
        <v>0</v>
      </c>
      <c r="M120" s="456">
        <v>1</v>
      </c>
      <c r="N120" s="456"/>
      <c r="O120" s="456"/>
      <c r="P120" s="456"/>
      <c r="Q120" s="450"/>
      <c r="R120" s="450"/>
      <c r="S120" s="450"/>
      <c r="T120" s="456"/>
      <c r="U120" s="456"/>
      <c r="V120" s="456"/>
      <c r="W120" s="456"/>
      <c r="X120" s="456"/>
      <c r="Y120" s="456"/>
      <c r="Z120" s="453">
        <f aca="true" t="shared" si="812" ref="Z120">SUM(F120:U120)</f>
        <v>1</v>
      </c>
      <c r="AA120" s="449"/>
      <c r="AB120" s="449"/>
      <c r="AC120" s="454">
        <f aca="true" t="shared" si="813" ref="AC120">F120*$D120</f>
        <v>0</v>
      </c>
      <c r="AD120" s="398">
        <f aca="true" t="shared" si="814" ref="AD120">G120*$D120</f>
        <v>0</v>
      </c>
      <c r="AE120" s="398">
        <f aca="true" t="shared" si="815" ref="AE120">H120*$D120</f>
        <v>0</v>
      </c>
      <c r="AF120" s="398">
        <f aca="true" t="shared" si="816" ref="AF120">I120*$D120</f>
        <v>0</v>
      </c>
      <c r="AG120" s="398">
        <f aca="true" t="shared" si="817" ref="AG120">J120*$D120</f>
        <v>0</v>
      </c>
      <c r="AH120" s="398">
        <f aca="true" t="shared" si="818" ref="AH120">K120*$D120</f>
        <v>0</v>
      </c>
      <c r="AI120" s="398">
        <f aca="true" t="shared" si="819" ref="AI120">L120*$D120</f>
        <v>0</v>
      </c>
      <c r="AJ120" s="398">
        <f aca="true" t="shared" si="820" ref="AJ120">M120*$D120</f>
        <v>198.71</v>
      </c>
      <c r="AK120" s="398">
        <f aca="true" t="shared" si="821" ref="AK120">N120*$D120</f>
        <v>0</v>
      </c>
      <c r="AL120" s="454">
        <f aca="true" t="shared" si="822" ref="AL120">O120*$D120</f>
        <v>0</v>
      </c>
      <c r="AM120" s="454">
        <f aca="true" t="shared" si="823" ref="AM120">P120*$D120</f>
        <v>0</v>
      </c>
      <c r="AN120" s="454">
        <f aca="true" t="shared" si="824" ref="AN120">Q120*$D120</f>
        <v>0</v>
      </c>
      <c r="AO120" s="454">
        <f aca="true" t="shared" si="825" ref="AO120">R120*$D120</f>
        <v>0</v>
      </c>
      <c r="AP120" s="454">
        <f aca="true" t="shared" si="826" ref="AP120">S120*$D120</f>
        <v>0</v>
      </c>
      <c r="AQ120" s="454">
        <f aca="true" t="shared" si="827" ref="AQ120">T120*$D120</f>
        <v>0</v>
      </c>
      <c r="AR120" s="454">
        <f aca="true" t="shared" si="828" ref="AR120">U120*$D120</f>
        <v>0</v>
      </c>
      <c r="AS120" s="454">
        <f aca="true" t="shared" si="829" ref="AS120">V120*$D120</f>
        <v>0</v>
      </c>
      <c r="AT120" s="454">
        <f aca="true" t="shared" si="830" ref="AT120">W120*$D120</f>
        <v>0</v>
      </c>
      <c r="AU120" s="454">
        <f aca="true" t="shared" si="831" ref="AU120">X120*$D120</f>
        <v>0</v>
      </c>
      <c r="AV120" s="454"/>
      <c r="AW120" s="454"/>
      <c r="AX120" s="454">
        <f aca="true" t="shared" si="832" ref="AX120:BM121">IF(AX$3=$E120,$D120,0)</f>
        <v>0</v>
      </c>
      <c r="AY120" s="399">
        <f t="shared" si="832"/>
        <v>0</v>
      </c>
      <c r="AZ120" s="399">
        <f t="shared" si="832"/>
        <v>0</v>
      </c>
      <c r="BA120" s="399">
        <f t="shared" si="832"/>
        <v>0</v>
      </c>
      <c r="BB120" s="399">
        <v>0</v>
      </c>
      <c r="BC120" s="399">
        <v>0</v>
      </c>
      <c r="BD120" s="399">
        <f t="shared" si="832"/>
        <v>0</v>
      </c>
      <c r="BE120" s="399">
        <f t="shared" si="832"/>
        <v>198.71</v>
      </c>
      <c r="BF120" s="399">
        <f t="shared" si="832"/>
        <v>0</v>
      </c>
      <c r="BG120" s="399">
        <f t="shared" si="832"/>
        <v>0</v>
      </c>
      <c r="BH120" s="399">
        <f t="shared" si="832"/>
        <v>0</v>
      </c>
      <c r="BI120" s="454">
        <f t="shared" si="832"/>
        <v>0</v>
      </c>
      <c r="BJ120" s="454">
        <f t="shared" si="832"/>
        <v>0</v>
      </c>
      <c r="BK120" s="454">
        <f t="shared" si="832"/>
        <v>0</v>
      </c>
      <c r="BL120" s="454">
        <f t="shared" si="832"/>
        <v>0</v>
      </c>
      <c r="BM120" s="454">
        <f t="shared" si="832"/>
        <v>0</v>
      </c>
      <c r="BN120" s="454">
        <f aca="true" t="shared" si="833" ref="BN120:BQ123">IF(BN$3=$E120,$D120,0)</f>
        <v>0</v>
      </c>
      <c r="BO120" s="454">
        <f t="shared" si="833"/>
        <v>0</v>
      </c>
      <c r="BP120" s="454">
        <f t="shared" si="833"/>
        <v>0</v>
      </c>
      <c r="BQ120" s="454">
        <f t="shared" si="833"/>
        <v>0</v>
      </c>
      <c r="BR120" s="455">
        <f t="shared" si="420"/>
        <v>0</v>
      </c>
    </row>
    <row r="121" spans="1:70" s="295" customFormat="1" ht="14.45" customHeight="1">
      <c r="A121" s="448" t="s">
        <v>134</v>
      </c>
      <c r="B121" s="448"/>
      <c r="C121" s="449"/>
      <c r="D121" s="398">
        <v>136.99</v>
      </c>
      <c r="E121" s="449" t="s">
        <v>244</v>
      </c>
      <c r="F121" s="450"/>
      <c r="G121" s="450"/>
      <c r="H121" s="450"/>
      <c r="I121" s="456"/>
      <c r="J121" s="456">
        <v>0</v>
      </c>
      <c r="K121" s="456">
        <v>0</v>
      </c>
      <c r="L121" s="456">
        <v>0</v>
      </c>
      <c r="M121" s="456">
        <v>0</v>
      </c>
      <c r="N121" s="456">
        <v>1</v>
      </c>
      <c r="O121" s="456"/>
      <c r="P121" s="456"/>
      <c r="Q121" s="450"/>
      <c r="R121" s="450"/>
      <c r="S121" s="450"/>
      <c r="T121" s="456"/>
      <c r="U121" s="456"/>
      <c r="V121" s="456"/>
      <c r="W121" s="456"/>
      <c r="X121" s="456"/>
      <c r="Y121" s="456"/>
      <c r="Z121" s="453">
        <f aca="true" t="shared" si="834" ref="Z121">SUM(F121:U121)</f>
        <v>1</v>
      </c>
      <c r="AA121" s="449"/>
      <c r="AB121" s="449"/>
      <c r="AC121" s="454">
        <f aca="true" t="shared" si="835" ref="AC121">F121*$D121</f>
        <v>0</v>
      </c>
      <c r="AD121" s="398">
        <f aca="true" t="shared" si="836" ref="AD121">G121*$D121</f>
        <v>0</v>
      </c>
      <c r="AE121" s="398">
        <f aca="true" t="shared" si="837" ref="AE121">H121*$D121</f>
        <v>0</v>
      </c>
      <c r="AF121" s="398">
        <f aca="true" t="shared" si="838" ref="AF121">I121*$D121</f>
        <v>0</v>
      </c>
      <c r="AG121" s="398">
        <f aca="true" t="shared" si="839" ref="AG121">J121*$D121</f>
        <v>0</v>
      </c>
      <c r="AH121" s="398">
        <f aca="true" t="shared" si="840" ref="AH121">K121*$D121</f>
        <v>0</v>
      </c>
      <c r="AI121" s="398">
        <f aca="true" t="shared" si="841" ref="AI121">L121*$D121</f>
        <v>0</v>
      </c>
      <c r="AJ121" s="398">
        <f aca="true" t="shared" si="842" ref="AJ121">M121*$D121</f>
        <v>0</v>
      </c>
      <c r="AK121" s="398">
        <f aca="true" t="shared" si="843" ref="AK121">N121*$D121</f>
        <v>136.99</v>
      </c>
      <c r="AL121" s="454">
        <f aca="true" t="shared" si="844" ref="AL121">O121*$D121</f>
        <v>0</v>
      </c>
      <c r="AM121" s="454">
        <f aca="true" t="shared" si="845" ref="AM121">P121*$D121</f>
        <v>0</v>
      </c>
      <c r="AN121" s="454">
        <f aca="true" t="shared" si="846" ref="AN121">Q121*$D121</f>
        <v>0</v>
      </c>
      <c r="AO121" s="454">
        <f aca="true" t="shared" si="847" ref="AO121">R121*$D121</f>
        <v>0</v>
      </c>
      <c r="AP121" s="454">
        <f aca="true" t="shared" si="848" ref="AP121">S121*$D121</f>
        <v>0</v>
      </c>
      <c r="AQ121" s="454">
        <f aca="true" t="shared" si="849" ref="AQ121">T121*$D121</f>
        <v>0</v>
      </c>
      <c r="AR121" s="454">
        <f aca="true" t="shared" si="850" ref="AR121">U121*$D121</f>
        <v>0</v>
      </c>
      <c r="AS121" s="454">
        <f aca="true" t="shared" si="851" ref="AS121">V121*$D121</f>
        <v>0</v>
      </c>
      <c r="AT121" s="454">
        <f aca="true" t="shared" si="852" ref="AT121">W121*$D121</f>
        <v>0</v>
      </c>
      <c r="AU121" s="454">
        <f aca="true" t="shared" si="853" ref="AU121">X121*$D121</f>
        <v>0</v>
      </c>
      <c r="AV121" s="454"/>
      <c r="AW121" s="454"/>
      <c r="AX121" s="454">
        <f t="shared" si="832"/>
        <v>0</v>
      </c>
      <c r="AY121" s="399">
        <f t="shared" si="832"/>
        <v>0</v>
      </c>
      <c r="AZ121" s="399">
        <f t="shared" si="832"/>
        <v>0</v>
      </c>
      <c r="BA121" s="399">
        <f t="shared" si="832"/>
        <v>0</v>
      </c>
      <c r="BB121" s="399">
        <v>0</v>
      </c>
      <c r="BC121" s="399">
        <v>0</v>
      </c>
      <c r="BD121" s="399">
        <f t="shared" si="832"/>
        <v>0</v>
      </c>
      <c r="BE121" s="399">
        <f t="shared" si="832"/>
        <v>0</v>
      </c>
      <c r="BF121" s="399">
        <f t="shared" si="832"/>
        <v>136.99</v>
      </c>
      <c r="BG121" s="399">
        <f t="shared" si="832"/>
        <v>0</v>
      </c>
      <c r="BH121" s="399">
        <f t="shared" si="832"/>
        <v>0</v>
      </c>
      <c r="BI121" s="454">
        <f t="shared" si="832"/>
        <v>0</v>
      </c>
      <c r="BJ121" s="454">
        <f t="shared" si="832"/>
        <v>0</v>
      </c>
      <c r="BK121" s="454">
        <f t="shared" si="832"/>
        <v>0</v>
      </c>
      <c r="BL121" s="454">
        <f t="shared" si="832"/>
        <v>0</v>
      </c>
      <c r="BM121" s="454">
        <f t="shared" si="832"/>
        <v>0</v>
      </c>
      <c r="BN121" s="454">
        <f t="shared" si="833"/>
        <v>0</v>
      </c>
      <c r="BO121" s="454">
        <f t="shared" si="833"/>
        <v>0</v>
      </c>
      <c r="BP121" s="454">
        <f t="shared" si="833"/>
        <v>0</v>
      </c>
      <c r="BQ121" s="454">
        <f t="shared" si="833"/>
        <v>0</v>
      </c>
      <c r="BR121" s="455">
        <f t="shared" si="420"/>
        <v>0</v>
      </c>
    </row>
    <row r="122" spans="1:71" ht="14.45" customHeight="1" outlineLevel="1">
      <c r="A122" s="448" t="s">
        <v>133</v>
      </c>
      <c r="B122" s="448"/>
      <c r="C122" s="449"/>
      <c r="D122" s="398">
        <f>SUM(F122:Y122)</f>
        <v>202682.725</v>
      </c>
      <c r="E122" s="457" t="s">
        <v>195</v>
      </c>
      <c r="F122" s="457"/>
      <c r="G122" s="458">
        <v>1400</v>
      </c>
      <c r="H122" s="458">
        <v>9000</v>
      </c>
      <c r="I122" s="458">
        <v>9000</v>
      </c>
      <c r="J122" s="458">
        <v>10232.64</v>
      </c>
      <c r="K122" s="458">
        <v>11130.24</v>
      </c>
      <c r="L122" s="458">
        <f>10771.2-403.92</f>
        <v>10367.28</v>
      </c>
      <c r="M122" s="458">
        <f>11500+403.92-751.24</f>
        <v>11152.68</v>
      </c>
      <c r="N122" s="458">
        <v>11848.32</v>
      </c>
      <c r="O122" s="458">
        <f>11130.24-897.6</f>
        <v>10232.64</v>
      </c>
      <c r="P122" s="458">
        <v>10985.279999999999</v>
      </c>
      <c r="Q122" s="458">
        <v>11945.12</v>
      </c>
      <c r="R122" s="458">
        <v>12241.279999999999</v>
      </c>
      <c r="S122" s="458">
        <f>11732.34+1000</f>
        <v>12732.34</v>
      </c>
      <c r="T122" s="458">
        <f>12734.53-1000</f>
        <v>11734.53</v>
      </c>
      <c r="U122" s="458">
        <v>13235.625</v>
      </c>
      <c r="V122" s="458">
        <v>13235.625</v>
      </c>
      <c r="W122" s="458">
        <v>13235.625</v>
      </c>
      <c r="X122" s="458">
        <v>14119.625</v>
      </c>
      <c r="Y122" s="458">
        <v>4853.875</v>
      </c>
      <c r="Z122" s="399">
        <f>SUM(F122:Y122)</f>
        <v>202682.725</v>
      </c>
      <c r="AA122" s="449"/>
      <c r="AB122" s="449"/>
      <c r="AC122" s="399">
        <f aca="true" t="shared" si="854" ref="AC122:AC128">F122</f>
        <v>0</v>
      </c>
      <c r="AD122" s="399">
        <f aca="true" t="shared" si="855" ref="AD122:AM124">G122</f>
        <v>1400</v>
      </c>
      <c r="AE122" s="399">
        <f t="shared" si="855"/>
        <v>9000</v>
      </c>
      <c r="AF122" s="399">
        <f t="shared" si="855"/>
        <v>9000</v>
      </c>
      <c r="AG122" s="399">
        <f t="shared" si="855"/>
        <v>10232.64</v>
      </c>
      <c r="AH122" s="399">
        <f t="shared" si="855"/>
        <v>11130.24</v>
      </c>
      <c r="AI122" s="399">
        <f t="shared" si="855"/>
        <v>10367.28</v>
      </c>
      <c r="AJ122" s="399">
        <f t="shared" si="855"/>
        <v>11152.68</v>
      </c>
      <c r="AK122" s="399">
        <f t="shared" si="855"/>
        <v>11848.32</v>
      </c>
      <c r="AL122" s="399">
        <f t="shared" si="855"/>
        <v>10232.64</v>
      </c>
      <c r="AM122" s="399">
        <f t="shared" si="855"/>
        <v>10985.279999999999</v>
      </c>
      <c r="AN122" s="399">
        <f aca="true" t="shared" si="856" ref="AN122:AV125">Q122</f>
        <v>11945.12</v>
      </c>
      <c r="AO122" s="399">
        <f t="shared" si="856"/>
        <v>12241.279999999999</v>
      </c>
      <c r="AP122" s="399">
        <f t="shared" si="856"/>
        <v>12732.34</v>
      </c>
      <c r="AQ122" s="399">
        <f t="shared" si="856"/>
        <v>11734.53</v>
      </c>
      <c r="AR122" s="399">
        <f t="shared" si="856"/>
        <v>13235.625</v>
      </c>
      <c r="AS122" s="399">
        <f t="shared" si="856"/>
        <v>13235.625</v>
      </c>
      <c r="AT122" s="399">
        <f t="shared" si="856"/>
        <v>13235.625</v>
      </c>
      <c r="AU122" s="399">
        <f t="shared" si="856"/>
        <v>14119.625</v>
      </c>
      <c r="AV122" s="399">
        <f t="shared" si="856"/>
        <v>4853.875</v>
      </c>
      <c r="AW122" s="454"/>
      <c r="AX122" s="399">
        <f>IF(AX$119=$E122,SUM(AC122:AF122),0)</f>
        <v>0</v>
      </c>
      <c r="AY122" s="399">
        <v>43635.2</v>
      </c>
      <c r="AZ122" s="399">
        <f>IF(AZ$119=$E122,SUM(AE122:AH122),0)</f>
        <v>0</v>
      </c>
      <c r="BA122" s="399">
        <f>IF(BA$119=$E122,SUM(AF122:AI122),0)</f>
        <v>0</v>
      </c>
      <c r="BB122" s="399">
        <f>IF(BB$119=$E122,SUM(AG122:AJ122),0)</f>
        <v>0</v>
      </c>
      <c r="BC122" s="399">
        <v>0</v>
      </c>
      <c r="BD122" s="399">
        <f>43421.4</f>
        <v>43421.4</v>
      </c>
      <c r="BE122" s="399">
        <f>IF(BE$119=$E122,SUM(AJ122:AM122),0)</f>
        <v>0</v>
      </c>
      <c r="BF122" s="399">
        <f>IF(BF$119=$E122,SUM(AK122:AN122),0)</f>
        <v>0</v>
      </c>
      <c r="BG122" s="399">
        <v>0</v>
      </c>
      <c r="BH122" s="399">
        <v>48122</v>
      </c>
      <c r="BI122" s="454">
        <f>IF(BI$119=$E122,SUM(AN122:AQ122),0)</f>
        <v>0</v>
      </c>
      <c r="BJ122" s="454">
        <f>IF(BJ$119=$E122,SUM(AO122:$AQ122),0)</f>
        <v>0</v>
      </c>
      <c r="BK122" s="454">
        <v>0</v>
      </c>
      <c r="BL122" s="454">
        <v>52942.5</v>
      </c>
      <c r="BM122" s="454">
        <v>0</v>
      </c>
      <c r="BN122" s="454">
        <f t="shared" si="833"/>
        <v>0</v>
      </c>
      <c r="BO122" s="454">
        <f t="shared" si="833"/>
        <v>0</v>
      </c>
      <c r="BP122" s="454">
        <v>14561.625</v>
      </c>
      <c r="BQ122" s="454">
        <v>0</v>
      </c>
      <c r="BR122" s="455">
        <f t="shared" si="420"/>
        <v>0</v>
      </c>
      <c r="BS122" s="251"/>
    </row>
    <row r="123" spans="1:71" ht="14.45" customHeight="1" outlineLevel="1">
      <c r="A123" s="448" t="s">
        <v>133</v>
      </c>
      <c r="B123" s="448"/>
      <c r="C123" s="449"/>
      <c r="D123" s="398">
        <f>SUM(F123:Y123)</f>
        <v>102315.13</v>
      </c>
      <c r="E123" s="457" t="s">
        <v>169</v>
      </c>
      <c r="F123" s="457"/>
      <c r="G123" s="458"/>
      <c r="H123" s="458"/>
      <c r="I123" s="458" t="s">
        <v>104</v>
      </c>
      <c r="J123" s="458">
        <v>0</v>
      </c>
      <c r="K123" s="458">
        <v>2358.88</v>
      </c>
      <c r="L123" s="458">
        <f>6461.28-205.12</f>
        <v>6256.16</v>
      </c>
      <c r="M123" s="458">
        <f>6500+205.12-346.4+51.28</f>
        <v>6410</v>
      </c>
      <c r="N123" s="458">
        <f>6000+346.4+140.52</f>
        <v>6486.92</v>
      </c>
      <c r="O123" s="458">
        <v>6193.92</v>
      </c>
      <c r="P123" s="458">
        <v>7382.4</v>
      </c>
      <c r="Q123" s="458">
        <v>7505.44</v>
      </c>
      <c r="R123" s="458">
        <v>7628.4800000000005</v>
      </c>
      <c r="S123" s="458">
        <v>7868.76</v>
      </c>
      <c r="T123" s="458">
        <v>7935.4800000000005</v>
      </c>
      <c r="U123" s="458">
        <v>8248.5</v>
      </c>
      <c r="V123" s="458">
        <v>8248.5</v>
      </c>
      <c r="W123" s="458">
        <v>8248.5</v>
      </c>
      <c r="X123" s="458">
        <v>8518.740000000002</v>
      </c>
      <c r="Y123" s="458">
        <v>3024.4500000000003</v>
      </c>
      <c r="Z123" s="399">
        <f>SUM(F123:Y123)</f>
        <v>102315.13</v>
      </c>
      <c r="AA123" s="449"/>
      <c r="AB123" s="449"/>
      <c r="AC123" s="399">
        <f t="shared" si="854"/>
        <v>0</v>
      </c>
      <c r="AD123" s="399">
        <f t="shared" si="855"/>
        <v>0</v>
      </c>
      <c r="AE123" s="399">
        <f t="shared" si="855"/>
        <v>0</v>
      </c>
      <c r="AF123" s="399" t="str">
        <f t="shared" si="855"/>
        <v xml:space="preserve"> </v>
      </c>
      <c r="AG123" s="399">
        <f t="shared" si="855"/>
        <v>0</v>
      </c>
      <c r="AH123" s="399">
        <f t="shared" si="855"/>
        <v>2358.88</v>
      </c>
      <c r="AI123" s="399">
        <f t="shared" si="855"/>
        <v>6256.16</v>
      </c>
      <c r="AJ123" s="399">
        <f t="shared" si="855"/>
        <v>6410</v>
      </c>
      <c r="AK123" s="399">
        <f t="shared" si="855"/>
        <v>6486.92</v>
      </c>
      <c r="AL123" s="399">
        <f t="shared" si="855"/>
        <v>6193.92</v>
      </c>
      <c r="AM123" s="399">
        <f t="shared" si="855"/>
        <v>7382.4</v>
      </c>
      <c r="AN123" s="399">
        <f t="shared" si="856"/>
        <v>7505.44</v>
      </c>
      <c r="AO123" s="399">
        <f t="shared" si="856"/>
        <v>7628.4800000000005</v>
      </c>
      <c r="AP123" s="399">
        <f t="shared" si="856"/>
        <v>7868.76</v>
      </c>
      <c r="AQ123" s="399">
        <f t="shared" si="856"/>
        <v>7935.4800000000005</v>
      </c>
      <c r="AR123" s="399">
        <f t="shared" si="856"/>
        <v>8248.5</v>
      </c>
      <c r="AS123" s="399">
        <f t="shared" si="856"/>
        <v>8248.5</v>
      </c>
      <c r="AT123" s="399">
        <f t="shared" si="856"/>
        <v>8248.5</v>
      </c>
      <c r="AU123" s="399">
        <f t="shared" si="856"/>
        <v>8518.740000000002</v>
      </c>
      <c r="AV123" s="399">
        <f t="shared" si="856"/>
        <v>3024.4500000000003</v>
      </c>
      <c r="AW123" s="454"/>
      <c r="AX123" s="399">
        <f>IF(AX$119=$E123,SUM(AC123:AF123),0)</f>
        <v>0</v>
      </c>
      <c r="AY123" s="399">
        <f>IF(AY$119=$E123,SUM(AD123:AG123),0)</f>
        <v>0</v>
      </c>
      <c r="AZ123" s="399">
        <f>IF(AZ$119=$E123,SUM(AE123:AH123),0)</f>
        <v>0</v>
      </c>
      <c r="BA123" s="399">
        <f>IF(BA$119=$E123,SUM(AF123:AI123),0)</f>
        <v>0</v>
      </c>
      <c r="BB123" s="399">
        <f aca="true" t="shared" si="857" ref="BB123">IF(BB$3=$E123,$D123,0)</f>
        <v>0</v>
      </c>
      <c r="BC123" s="399">
        <v>25000</v>
      </c>
      <c r="BD123" s="399">
        <f>IF(BD$119=$E123,SUM(AI123:AL123),0)</f>
        <v>0</v>
      </c>
      <c r="BE123" s="399">
        <f>IF(BE$119=$E123,SUM(AJ123:AM123),0)</f>
        <v>0</v>
      </c>
      <c r="BF123" s="399">
        <f>IF(BF$119=$E123,SUM(AK123:AN123),0)</f>
        <v>0</v>
      </c>
      <c r="BG123" s="399">
        <v>29991</v>
      </c>
      <c r="BH123" s="399">
        <f>IF(BH$119=$E123,SUM(AM123:AP123),0)</f>
        <v>0</v>
      </c>
      <c r="BI123" s="454">
        <v>-1</v>
      </c>
      <c r="BJ123" s="454">
        <f>IF(BJ$119=$E123,SUM(AO123:$AQ123),0)</f>
        <v>0</v>
      </c>
      <c r="BK123" s="399">
        <v>5415.4</v>
      </c>
      <c r="BL123" s="454">
        <v>32994</v>
      </c>
      <c r="BM123" s="454">
        <v>0</v>
      </c>
      <c r="BN123" s="454">
        <f t="shared" si="833"/>
        <v>0</v>
      </c>
      <c r="BO123" s="454">
        <v>0</v>
      </c>
      <c r="BP123" s="454">
        <v>8915.73</v>
      </c>
      <c r="BQ123" s="454">
        <f t="shared" si="833"/>
        <v>0</v>
      </c>
      <c r="BR123" s="459">
        <f t="shared" si="420"/>
        <v>0</v>
      </c>
      <c r="BS123" s="299"/>
    </row>
    <row r="124" spans="1:70" s="295" customFormat="1" ht="14.45" customHeight="1" outlineLevel="1">
      <c r="A124" s="460" t="s">
        <v>135</v>
      </c>
      <c r="B124" s="460"/>
      <c r="C124" s="462"/>
      <c r="D124" s="463">
        <v>5000</v>
      </c>
      <c r="E124" s="465" t="s">
        <v>233</v>
      </c>
      <c r="F124" s="471">
        <v>0</v>
      </c>
      <c r="G124" s="471">
        <v>0</v>
      </c>
      <c r="H124" s="471">
        <v>0</v>
      </c>
      <c r="I124" s="471">
        <v>0</v>
      </c>
      <c r="J124" s="471">
        <v>0</v>
      </c>
      <c r="K124" s="471">
        <v>0</v>
      </c>
      <c r="L124" s="471">
        <v>0</v>
      </c>
      <c r="M124" s="471">
        <v>0</v>
      </c>
      <c r="N124" s="471">
        <v>0</v>
      </c>
      <c r="O124" s="471">
        <v>0</v>
      </c>
      <c r="P124" s="471">
        <v>0</v>
      </c>
      <c r="Q124" s="471">
        <v>1369.14</v>
      </c>
      <c r="R124" s="471">
        <v>0</v>
      </c>
      <c r="S124" s="471">
        <v>3630.86</v>
      </c>
      <c r="T124" s="471">
        <v>0</v>
      </c>
      <c r="U124" s="471">
        <v>0</v>
      </c>
      <c r="V124" s="471">
        <v>0</v>
      </c>
      <c r="W124" s="471">
        <v>0</v>
      </c>
      <c r="X124" s="471">
        <v>0</v>
      </c>
      <c r="Y124" s="471"/>
      <c r="Z124" s="467">
        <f aca="true" t="shared" si="858" ref="Z124">SUM(F124:X124)</f>
        <v>5000</v>
      </c>
      <c r="AA124" s="462"/>
      <c r="AB124" s="462"/>
      <c r="AC124" s="467">
        <f aca="true" t="shared" si="859" ref="AC124">F124</f>
        <v>0</v>
      </c>
      <c r="AD124" s="467">
        <f t="shared" si="855"/>
        <v>0</v>
      </c>
      <c r="AE124" s="467">
        <f t="shared" si="855"/>
        <v>0</v>
      </c>
      <c r="AF124" s="467">
        <f t="shared" si="855"/>
        <v>0</v>
      </c>
      <c r="AG124" s="467">
        <f t="shared" si="855"/>
        <v>0</v>
      </c>
      <c r="AH124" s="467">
        <f t="shared" si="855"/>
        <v>0</v>
      </c>
      <c r="AI124" s="463">
        <f t="shared" si="855"/>
        <v>0</v>
      </c>
      <c r="AJ124" s="463">
        <f t="shared" si="855"/>
        <v>0</v>
      </c>
      <c r="AK124" s="463">
        <f t="shared" si="855"/>
        <v>0</v>
      </c>
      <c r="AL124" s="463">
        <f t="shared" si="855"/>
        <v>0</v>
      </c>
      <c r="AM124" s="467">
        <f t="shared" si="855"/>
        <v>0</v>
      </c>
      <c r="AN124" s="468">
        <f t="shared" si="856"/>
        <v>1369.14</v>
      </c>
      <c r="AO124" s="467">
        <f t="shared" si="856"/>
        <v>0</v>
      </c>
      <c r="AP124" s="468">
        <v>3630.86</v>
      </c>
      <c r="AQ124" s="468">
        <f t="shared" si="856"/>
        <v>0</v>
      </c>
      <c r="AR124" s="467">
        <f t="shared" si="856"/>
        <v>0</v>
      </c>
      <c r="AS124" s="467">
        <f t="shared" si="856"/>
        <v>0</v>
      </c>
      <c r="AT124" s="467">
        <f t="shared" si="856"/>
        <v>0</v>
      </c>
      <c r="AU124" s="467">
        <f t="shared" si="856"/>
        <v>0</v>
      </c>
      <c r="AV124" s="467"/>
      <c r="AW124" s="467"/>
      <c r="AX124" s="467">
        <f aca="true" t="shared" si="860" ref="AX124:AX133">IF(AX$119=$E124,SUM(AC124:AF124),0)</f>
        <v>0</v>
      </c>
      <c r="AY124" s="467">
        <f aca="true" t="shared" si="861" ref="AY124">IF(AY$119=$E124,SUM(AD124:AG124),0)</f>
        <v>0</v>
      </c>
      <c r="AZ124" s="467">
        <f>IF(AZ$119=$E124,SUM(AE124:AH124),0)</f>
        <v>0</v>
      </c>
      <c r="BA124" s="467">
        <f>IF(BA$119=$E124,SUM(AF124:AI124),0)</f>
        <v>0</v>
      </c>
      <c r="BB124" s="467">
        <f aca="true" t="shared" si="862" ref="BB124">IF(BB$119=$E124,SUM(AG124:AJ124),0)</f>
        <v>0</v>
      </c>
      <c r="BC124" s="467">
        <f aca="true" t="shared" si="863" ref="BC124">IF(BC$119=$E124,SUM(AH124:AK124),0)</f>
        <v>0</v>
      </c>
      <c r="BD124" s="467">
        <f aca="true" t="shared" si="864" ref="BD124">IF(BD$119=$E124,SUM(AI124:AL124),0)</f>
        <v>0</v>
      </c>
      <c r="BE124" s="467">
        <f aca="true" t="shared" si="865" ref="BE124">IF(BE$119=$E124,SUM(AJ124:AM124),0)</f>
        <v>0</v>
      </c>
      <c r="BF124" s="467">
        <f aca="true" t="shared" si="866" ref="BF124">IF(BF$119=$E124,SUM(AK124:AN124),0)</f>
        <v>0</v>
      </c>
      <c r="BG124" s="467">
        <f aca="true" t="shared" si="867" ref="BG124">IF(BG$119=$E124,SUM(AL124:AO124),0)</f>
        <v>0</v>
      </c>
      <c r="BH124" s="467">
        <f>IF(BH$119=$E124,SUM(AM124:AP124),0)</f>
        <v>0</v>
      </c>
      <c r="BI124" s="467">
        <v>1369.14</v>
      </c>
      <c r="BJ124" s="467">
        <f aca="true" t="shared" si="868" ref="BJ124">IF(BJ$119=$E124,SUM(AO124:AR124),0)</f>
        <v>0</v>
      </c>
      <c r="BK124" s="468">
        <v>3630.86</v>
      </c>
      <c r="BL124" s="467">
        <f aca="true" t="shared" si="869" ref="BL124">IF(BL$119=$E124,SUM(AQ124:AT124),0)</f>
        <v>0</v>
      </c>
      <c r="BM124" s="467">
        <f aca="true" t="shared" si="870" ref="BM124">IF(BM$119=$E124,SUM(AR124:AU124),0)</f>
        <v>0</v>
      </c>
      <c r="BN124" s="467">
        <f aca="true" t="shared" si="871" ref="BN124">IF(BN$119=$E124,SUM(AS124:AW124),0)</f>
        <v>0</v>
      </c>
      <c r="BO124" s="467">
        <f aca="true" t="shared" si="872" ref="BO124">IF(BO$119=$E124,SUM(AT124:AX124),0)</f>
        <v>0</v>
      </c>
      <c r="BP124" s="467">
        <f aca="true" t="shared" si="873" ref="BP124:BQ124">IF(BP$119=$E124,SUM(AU124:AY124),0)</f>
        <v>0</v>
      </c>
      <c r="BQ124" s="467">
        <f t="shared" si="873"/>
        <v>0</v>
      </c>
      <c r="BR124" s="469">
        <f>SUM(AC124:AV124)-SUM(AX124:BQ124)</f>
        <v>0</v>
      </c>
    </row>
    <row r="125" spans="1:71" ht="14.45" customHeight="1" outlineLevel="1">
      <c r="A125" s="377" t="s">
        <v>143</v>
      </c>
      <c r="B125" s="518"/>
      <c r="C125" s="519"/>
      <c r="D125" s="379">
        <f>SUM(F125:Y125)</f>
        <v>181605.2725</v>
      </c>
      <c r="E125" s="384" t="s">
        <v>197</v>
      </c>
      <c r="F125" s="520">
        <v>10000</v>
      </c>
      <c r="G125" s="520">
        <v>12000</v>
      </c>
      <c r="H125" s="520">
        <v>11000</v>
      </c>
      <c r="I125" s="520">
        <v>12000</v>
      </c>
      <c r="J125" s="520">
        <v>4000</v>
      </c>
      <c r="K125" s="520">
        <v>0</v>
      </c>
      <c r="L125" s="520">
        <v>0</v>
      </c>
      <c r="M125" s="520">
        <v>0</v>
      </c>
      <c r="N125" s="520">
        <v>0</v>
      </c>
      <c r="O125" s="520">
        <v>12204.64</v>
      </c>
      <c r="P125" s="520">
        <v>11666.2</v>
      </c>
      <c r="Q125" s="520">
        <v>12486.68</v>
      </c>
      <c r="R125" s="523">
        <v>12512.320000000002</v>
      </c>
      <c r="S125" s="523">
        <v>13555.17</v>
      </c>
      <c r="T125" s="520">
        <v>13101.65</v>
      </c>
      <c r="U125" s="520">
        <v>12874.875</v>
      </c>
      <c r="V125" s="520">
        <v>12874.875</v>
      </c>
      <c r="W125" s="520">
        <v>12874.875</v>
      </c>
      <c r="X125" s="520">
        <v>13733.2</v>
      </c>
      <c r="Y125" s="520">
        <v>4720.7875</v>
      </c>
      <c r="Z125" s="379">
        <f>SUM(F125:Y125)</f>
        <v>181605.2725</v>
      </c>
      <c r="AA125" s="378"/>
      <c r="AB125" s="378"/>
      <c r="AC125" s="379">
        <f>F125</f>
        <v>10000</v>
      </c>
      <c r="AD125" s="379">
        <f>G125</f>
        <v>12000</v>
      </c>
      <c r="AE125" s="379">
        <f aca="true" t="shared" si="874" ref="AD125:AQ128">H125</f>
        <v>11000</v>
      </c>
      <c r="AF125" s="379">
        <f t="shared" si="874"/>
        <v>12000</v>
      </c>
      <c r="AG125" s="379">
        <f t="shared" si="874"/>
        <v>4000</v>
      </c>
      <c r="AH125" s="379">
        <f t="shared" si="874"/>
        <v>0</v>
      </c>
      <c r="AI125" s="430">
        <f t="shared" si="874"/>
        <v>0</v>
      </c>
      <c r="AJ125" s="430">
        <f t="shared" si="874"/>
        <v>0</v>
      </c>
      <c r="AK125" s="430">
        <f t="shared" si="874"/>
        <v>0</v>
      </c>
      <c r="AL125" s="430">
        <f t="shared" si="874"/>
        <v>12204.64</v>
      </c>
      <c r="AM125" s="379">
        <f t="shared" si="874"/>
        <v>11666.2</v>
      </c>
      <c r="AN125" s="431">
        <f t="shared" si="874"/>
        <v>12486.68</v>
      </c>
      <c r="AO125" s="431">
        <f t="shared" si="856"/>
        <v>12512.320000000002</v>
      </c>
      <c r="AP125" s="431">
        <f aca="true" t="shared" si="875" ref="AP125">S125</f>
        <v>13555.17</v>
      </c>
      <c r="AQ125" s="431">
        <f t="shared" si="856"/>
        <v>13101.65</v>
      </c>
      <c r="AR125" s="431">
        <f t="shared" si="856"/>
        <v>12874.875</v>
      </c>
      <c r="AS125" s="431">
        <f t="shared" si="856"/>
        <v>12874.875</v>
      </c>
      <c r="AT125" s="431">
        <f t="shared" si="856"/>
        <v>12874.875</v>
      </c>
      <c r="AU125" s="431">
        <f t="shared" si="856"/>
        <v>13733.2</v>
      </c>
      <c r="AV125" s="431">
        <f aca="true" t="shared" si="876" ref="AV125">Y125</f>
        <v>4720.7875</v>
      </c>
      <c r="AW125" s="379"/>
      <c r="AX125" s="379">
        <f t="shared" si="860"/>
        <v>45000</v>
      </c>
      <c r="AY125" s="379">
        <f aca="true" t="shared" si="877" ref="AY125">IF(AY$119=$E125,SUM(AD125:AG125),0)</f>
        <v>0</v>
      </c>
      <c r="AZ125" s="379">
        <f aca="true" t="shared" si="878" ref="AZ125">IF(AZ$119=$E125,SUM(AE125:AH125),0)</f>
        <v>0</v>
      </c>
      <c r="BA125" s="379">
        <f aca="true" t="shared" si="879" ref="BA125">IF(BA$119=$E125,SUM(AF125:AI125),0)</f>
        <v>0</v>
      </c>
      <c r="BB125" s="379">
        <f aca="true" t="shared" si="880" ref="BB125">IF(BB$119=$E125,SUM(AG125:AJ125),0)</f>
        <v>4000</v>
      </c>
      <c r="BC125" s="379">
        <f aca="true" t="shared" si="881" ref="BC125">IF(BC$119=$E125,SUM(AH125:AK125),0)</f>
        <v>0</v>
      </c>
      <c r="BD125" s="379">
        <f aca="true" t="shared" si="882" ref="BD125">IF(BD$119=$E125,SUM(AI125:AL125),0)</f>
        <v>0</v>
      </c>
      <c r="BE125" s="379">
        <f aca="true" t="shared" si="883" ref="BE125">IF(BE$119=$E125,SUM(AJ125:AM125),0)</f>
        <v>0</v>
      </c>
      <c r="BF125" s="379">
        <v>49998</v>
      </c>
      <c r="BG125" s="379">
        <f aca="true" t="shared" si="884" ref="BG125">IF(BG$119=$E125,SUM(AL125:AO125),0)</f>
        <v>0</v>
      </c>
      <c r="BH125" s="379">
        <f aca="true" t="shared" si="885" ref="BH125">IF(BH$119=$E125,SUM(AM125:AP125),0)</f>
        <v>0</v>
      </c>
      <c r="BI125" s="379">
        <f aca="true" t="shared" si="886" ref="BI125">IF(BI$119=$E125,SUM(AN125:AQ125),0)</f>
        <v>0</v>
      </c>
      <c r="BJ125" s="379">
        <v>17113.68</v>
      </c>
      <c r="BK125" s="379">
        <f aca="true" t="shared" si="887" ref="BK125">IF(BK$119=$E125,SUM(AP125:AS125),0)</f>
        <v>0</v>
      </c>
      <c r="BL125" s="379">
        <v>51499.5</v>
      </c>
      <c r="BM125" s="379">
        <f aca="true" t="shared" si="888" ref="BM125">IF(BM$119=$E125,SUM(AR125:AU125),0)</f>
        <v>0</v>
      </c>
      <c r="BN125" s="379">
        <v>0</v>
      </c>
      <c r="BO125" s="379">
        <f aca="true" t="shared" si="889" ref="BO125">IF(BO$119=$E125,SUM(AT125:AX125),0)</f>
        <v>0</v>
      </c>
      <c r="BP125" s="379">
        <v>13994.092500000012</v>
      </c>
      <c r="BQ125" s="379">
        <f aca="true" t="shared" si="890" ref="BQ125">IF(BQ$119=$E125,SUM(AV125:AZ125),0)</f>
        <v>0</v>
      </c>
      <c r="BR125" s="380">
        <f t="shared" si="420"/>
        <v>0</v>
      </c>
      <c r="BS125" s="299"/>
    </row>
    <row r="126" spans="1:70" ht="14.45" customHeight="1" outlineLevel="1">
      <c r="A126" s="493" t="s">
        <v>143</v>
      </c>
      <c r="B126" s="509"/>
      <c r="C126" s="495"/>
      <c r="D126" s="496">
        <f>SUM(F126:Y126)</f>
        <v>181874.76</v>
      </c>
      <c r="E126" s="497" t="s">
        <v>195</v>
      </c>
      <c r="F126" s="506"/>
      <c r="G126" s="506">
        <v>6666.67</v>
      </c>
      <c r="H126" s="506">
        <v>10500</v>
      </c>
      <c r="I126" s="506">
        <v>10500</v>
      </c>
      <c r="J126" s="506">
        <v>11489.28</v>
      </c>
      <c r="K126" s="506">
        <v>11130.24</v>
      </c>
      <c r="L126" s="506">
        <v>6103.68</v>
      </c>
      <c r="M126" s="506">
        <v>0</v>
      </c>
      <c r="N126" s="506">
        <v>10053.119999999999</v>
      </c>
      <c r="O126" s="506">
        <v>11489.28</v>
      </c>
      <c r="P126" s="506">
        <v>9469.68</v>
      </c>
      <c r="Q126" s="506">
        <v>10950.720000000001</v>
      </c>
      <c r="R126" s="523">
        <v>11506.88</v>
      </c>
      <c r="S126" s="524">
        <v>10079.369999999999</v>
      </c>
      <c r="T126" s="507">
        <v>11016.79</v>
      </c>
      <c r="U126" s="507">
        <v>11485.5</v>
      </c>
      <c r="V126" s="507">
        <v>11485.5</v>
      </c>
      <c r="W126" s="507">
        <v>11485.5</v>
      </c>
      <c r="X126" s="507">
        <v>12251.199999999999</v>
      </c>
      <c r="Y126" s="507">
        <v>4211.349999999999</v>
      </c>
      <c r="Z126" s="496">
        <f>SUM(F126:Y126)</f>
        <v>181874.76</v>
      </c>
      <c r="AA126" s="495"/>
      <c r="AB126" s="495"/>
      <c r="AC126" s="496">
        <f t="shared" si="854"/>
        <v>0</v>
      </c>
      <c r="AD126" s="496">
        <f t="shared" si="874"/>
        <v>6666.67</v>
      </c>
      <c r="AE126" s="496">
        <f t="shared" si="874"/>
        <v>10500</v>
      </c>
      <c r="AF126" s="496">
        <f t="shared" si="874"/>
        <v>10500</v>
      </c>
      <c r="AG126" s="496">
        <f t="shared" si="874"/>
        <v>11489.28</v>
      </c>
      <c r="AH126" s="496">
        <f t="shared" si="874"/>
        <v>11130.24</v>
      </c>
      <c r="AI126" s="496">
        <f t="shared" si="874"/>
        <v>6103.68</v>
      </c>
      <c r="AJ126" s="496">
        <f t="shared" si="874"/>
        <v>0</v>
      </c>
      <c r="AK126" s="502">
        <f t="shared" si="874"/>
        <v>10053.119999999999</v>
      </c>
      <c r="AL126" s="496">
        <f t="shared" si="874"/>
        <v>11489.28</v>
      </c>
      <c r="AM126" s="496">
        <f t="shared" si="874"/>
        <v>9469.68</v>
      </c>
      <c r="AN126" s="503">
        <f t="shared" si="874"/>
        <v>10950.720000000001</v>
      </c>
      <c r="AO126" s="503">
        <f t="shared" si="874"/>
        <v>11506.88</v>
      </c>
      <c r="AP126" s="496">
        <f t="shared" si="874"/>
        <v>10079.369999999999</v>
      </c>
      <c r="AQ126" s="496">
        <f t="shared" si="874"/>
        <v>11016.79</v>
      </c>
      <c r="AR126" s="496">
        <f aca="true" t="shared" si="891" ref="AR126:AR127">U126</f>
        <v>11485.5</v>
      </c>
      <c r="AS126" s="496">
        <f aca="true" t="shared" si="892" ref="AS126:AS128">V126</f>
        <v>11485.5</v>
      </c>
      <c r="AT126" s="496">
        <f aca="true" t="shared" si="893" ref="AT126:AT128">W126</f>
        <v>11485.5</v>
      </c>
      <c r="AU126" s="496">
        <f aca="true" t="shared" si="894" ref="AU126:AV128">X126</f>
        <v>12251.199999999999</v>
      </c>
      <c r="AV126" s="496">
        <f t="shared" si="894"/>
        <v>4211.349999999999</v>
      </c>
      <c r="AW126" s="496"/>
      <c r="AX126" s="496">
        <f t="shared" si="860"/>
        <v>0</v>
      </c>
      <c r="AY126" s="496">
        <v>42000</v>
      </c>
      <c r="AZ126" s="496">
        <f>IF(AZ$119=$E126,SUM(AE126:AH126),0)</f>
        <v>0</v>
      </c>
      <c r="BA126" s="496">
        <v>7000</v>
      </c>
      <c r="BB126" s="496">
        <f>IF(BB$119=$E126,SUM(AG126:AJ126),0)</f>
        <v>0</v>
      </c>
      <c r="BC126" s="496">
        <v>3440.43</v>
      </c>
      <c r="BD126" s="496">
        <v>3949.44</v>
      </c>
      <c r="BE126" s="496">
        <v>0</v>
      </c>
      <c r="BF126" s="496">
        <v>43758</v>
      </c>
      <c r="BG126" s="496">
        <v>0</v>
      </c>
      <c r="BH126" s="496">
        <v>0</v>
      </c>
      <c r="BI126" s="503">
        <v>1615.68</v>
      </c>
      <c r="BJ126" s="496">
        <v>22971</v>
      </c>
      <c r="BK126" s="496">
        <v>0</v>
      </c>
      <c r="BL126" s="496">
        <v>45942</v>
      </c>
      <c r="BM126" s="496">
        <v>0</v>
      </c>
      <c r="BN126" s="496">
        <v>0</v>
      </c>
      <c r="BO126" s="496">
        <v>0</v>
      </c>
      <c r="BP126" s="496">
        <f>12634.05-1615.68+179.84</f>
        <v>11198.21</v>
      </c>
      <c r="BQ126" s="496">
        <v>0</v>
      </c>
      <c r="BR126" s="527">
        <f t="shared" si="420"/>
        <v>0</v>
      </c>
    </row>
    <row r="127" spans="1:71" ht="14.45" customHeight="1" outlineLevel="1">
      <c r="A127" s="493" t="s">
        <v>143</v>
      </c>
      <c r="B127" s="509"/>
      <c r="C127" s="495"/>
      <c r="D127" s="496">
        <f>SUM(F127:Y127)</f>
        <v>133936.60500000004</v>
      </c>
      <c r="E127" s="497" t="s">
        <v>195</v>
      </c>
      <c r="F127" s="506"/>
      <c r="G127" s="506">
        <v>1760</v>
      </c>
      <c r="H127" s="506">
        <v>4400</v>
      </c>
      <c r="I127" s="506">
        <v>0</v>
      </c>
      <c r="J127" s="506">
        <v>8981.92</v>
      </c>
      <c r="K127" s="506">
        <v>7628.48</v>
      </c>
      <c r="L127" s="506">
        <v>7136.32</v>
      </c>
      <c r="M127" s="506">
        <v>7351.64</v>
      </c>
      <c r="N127" s="506">
        <v>8059.12</v>
      </c>
      <c r="O127" s="506">
        <v>7382.4</v>
      </c>
      <c r="P127" s="506">
        <v>7653.76</v>
      </c>
      <c r="Q127" s="506">
        <v>8392.32</v>
      </c>
      <c r="R127" s="523">
        <v>7850.880000000001</v>
      </c>
      <c r="S127" s="524">
        <v>8299.26</v>
      </c>
      <c r="T127" s="506">
        <v>8815.32</v>
      </c>
      <c r="U127" s="506">
        <v>9073.35</v>
      </c>
      <c r="V127" s="506">
        <v>9073.35</v>
      </c>
      <c r="W127" s="506">
        <v>9073.35</v>
      </c>
      <c r="X127" s="506">
        <v>9678.240000000002</v>
      </c>
      <c r="Y127" s="506">
        <v>3326.8950000000004</v>
      </c>
      <c r="Z127" s="496">
        <f>SUM(F127:Y164)</f>
        <v>1117796.0724999988</v>
      </c>
      <c r="AA127" s="495"/>
      <c r="AB127" s="495"/>
      <c r="AC127" s="502">
        <f t="shared" si="854"/>
        <v>0</v>
      </c>
      <c r="AD127" s="502">
        <f t="shared" si="874"/>
        <v>1760</v>
      </c>
      <c r="AE127" s="502">
        <f t="shared" si="874"/>
        <v>4400</v>
      </c>
      <c r="AF127" s="502">
        <f t="shared" si="874"/>
        <v>0</v>
      </c>
      <c r="AG127" s="502">
        <f t="shared" si="874"/>
        <v>8981.92</v>
      </c>
      <c r="AH127" s="502">
        <f t="shared" si="874"/>
        <v>7628.48</v>
      </c>
      <c r="AI127" s="502">
        <f t="shared" si="874"/>
        <v>7136.32</v>
      </c>
      <c r="AJ127" s="502">
        <f t="shared" si="874"/>
        <v>7351.64</v>
      </c>
      <c r="AK127" s="502">
        <f t="shared" si="874"/>
        <v>8059.12</v>
      </c>
      <c r="AL127" s="502">
        <f t="shared" si="874"/>
        <v>7382.4</v>
      </c>
      <c r="AM127" s="496">
        <f t="shared" si="874"/>
        <v>7653.76</v>
      </c>
      <c r="AN127" s="503">
        <f t="shared" si="874"/>
        <v>8392.32</v>
      </c>
      <c r="AO127" s="503">
        <f t="shared" si="874"/>
        <v>7850.880000000001</v>
      </c>
      <c r="AP127" s="503">
        <f t="shared" si="874"/>
        <v>8299.26</v>
      </c>
      <c r="AQ127" s="503">
        <f t="shared" si="874"/>
        <v>8815.32</v>
      </c>
      <c r="AR127" s="503">
        <f t="shared" si="891"/>
        <v>9073.35</v>
      </c>
      <c r="AS127" s="503">
        <f t="shared" si="892"/>
        <v>9073.35</v>
      </c>
      <c r="AT127" s="503">
        <f t="shared" si="893"/>
        <v>9073.35</v>
      </c>
      <c r="AU127" s="503">
        <f t="shared" si="894"/>
        <v>9678.240000000002</v>
      </c>
      <c r="AV127" s="503">
        <f t="shared" si="894"/>
        <v>3326.8950000000004</v>
      </c>
      <c r="AW127" s="496"/>
      <c r="AX127" s="496">
        <f t="shared" si="860"/>
        <v>0</v>
      </c>
      <c r="AY127" s="496">
        <v>6160</v>
      </c>
      <c r="AZ127" s="496">
        <f>IF(AZ$119=$E127,SUM(AE127:AH127),0)</f>
        <v>0</v>
      </c>
      <c r="BA127" s="496">
        <v>29991</v>
      </c>
      <c r="BB127" s="496">
        <f>IF(BB$119=$E127,SUM(AG127:AJ127),0)</f>
        <v>0</v>
      </c>
      <c r="BC127" s="496">
        <v>0</v>
      </c>
      <c r="BD127" s="496">
        <f>IF(BD$119=$E127,SUM(AI127:AL127),0)</f>
        <v>0</v>
      </c>
      <c r="BE127" s="496">
        <f>29991-11473.48</f>
        <v>18517.52</v>
      </c>
      <c r="BF127" s="496">
        <f>IF(BF$119=$E127,SUM(AK127:AN127),0)</f>
        <v>0</v>
      </c>
      <c r="BG127" s="496">
        <v>0</v>
      </c>
      <c r="BH127" s="502">
        <v>32994</v>
      </c>
      <c r="BI127" s="503">
        <v>0</v>
      </c>
      <c r="BJ127" s="496">
        <v>0</v>
      </c>
      <c r="BK127" s="496">
        <v>0</v>
      </c>
      <c r="BL127" s="496">
        <v>36293.4</v>
      </c>
      <c r="BM127" s="496">
        <v>0</v>
      </c>
      <c r="BN127" s="496">
        <v>0</v>
      </c>
      <c r="BO127" s="496">
        <v>0</v>
      </c>
      <c r="BP127" s="496">
        <v>9980.685000000001</v>
      </c>
      <c r="BQ127" s="496">
        <v>0</v>
      </c>
      <c r="BR127" s="504">
        <f>SUM(AC127:AV127)-SUM(AX127:BQ127)</f>
        <v>0</v>
      </c>
      <c r="BS127" s="299"/>
    </row>
    <row r="128" spans="1:70" ht="14.45" customHeight="1" outlineLevel="1">
      <c r="A128" s="493" t="s">
        <v>143</v>
      </c>
      <c r="B128" s="509"/>
      <c r="C128" s="495"/>
      <c r="D128" s="496">
        <f>SUM(F128:Y128)</f>
        <v>141367.785</v>
      </c>
      <c r="E128" s="497" t="s">
        <v>195</v>
      </c>
      <c r="F128" s="506"/>
      <c r="G128" s="506">
        <v>1760</v>
      </c>
      <c r="H128" s="506">
        <f>2200*3</f>
        <v>6600</v>
      </c>
      <c r="I128" s="506">
        <f aca="true" t="shared" si="895" ref="I128">2200*3</f>
        <v>6600</v>
      </c>
      <c r="J128" s="506">
        <v>7874.56</v>
      </c>
      <c r="K128" s="506">
        <v>7628.48</v>
      </c>
      <c r="L128" s="506">
        <v>6767.2</v>
      </c>
      <c r="M128" s="506">
        <v>7520.82</v>
      </c>
      <c r="N128" s="506">
        <v>7997.6</v>
      </c>
      <c r="O128" s="506">
        <v>7505.44</v>
      </c>
      <c r="P128" s="506">
        <v>7395.36</v>
      </c>
      <c r="Q128" s="506">
        <v>8121.600000000001</v>
      </c>
      <c r="R128" s="523">
        <v>8256.960000000001</v>
      </c>
      <c r="S128" s="524">
        <v>8299.26</v>
      </c>
      <c r="T128" s="506">
        <v>8815.32</v>
      </c>
      <c r="U128" s="506">
        <v>9073.35</v>
      </c>
      <c r="V128" s="506">
        <v>9073.35</v>
      </c>
      <c r="W128" s="506">
        <v>9073.35</v>
      </c>
      <c r="X128" s="506">
        <v>9678.240000000002</v>
      </c>
      <c r="Y128" s="506">
        <v>3326.8950000000004</v>
      </c>
      <c r="Z128" s="503">
        <f>SUM(F128:Y128)</f>
        <v>141367.785</v>
      </c>
      <c r="AA128" s="495"/>
      <c r="AB128" s="495"/>
      <c r="AC128" s="496">
        <f t="shared" si="854"/>
        <v>0</v>
      </c>
      <c r="AD128" s="496">
        <f t="shared" si="874"/>
        <v>1760</v>
      </c>
      <c r="AE128" s="496">
        <f t="shared" si="874"/>
        <v>6600</v>
      </c>
      <c r="AF128" s="496">
        <f t="shared" si="874"/>
        <v>6600</v>
      </c>
      <c r="AG128" s="496">
        <f t="shared" si="874"/>
        <v>7874.56</v>
      </c>
      <c r="AH128" s="496">
        <f t="shared" si="874"/>
        <v>7628.48</v>
      </c>
      <c r="AI128" s="496">
        <f t="shared" si="874"/>
        <v>6767.2</v>
      </c>
      <c r="AJ128" s="502">
        <f t="shared" si="874"/>
        <v>7520.82</v>
      </c>
      <c r="AK128" s="502">
        <f t="shared" si="874"/>
        <v>7997.6</v>
      </c>
      <c r="AL128" s="496">
        <f t="shared" si="874"/>
        <v>7505.44</v>
      </c>
      <c r="AM128" s="496">
        <f t="shared" si="874"/>
        <v>7395.36</v>
      </c>
      <c r="AN128" s="503">
        <f t="shared" si="874"/>
        <v>8121.600000000001</v>
      </c>
      <c r="AO128" s="503">
        <f t="shared" si="874"/>
        <v>8256.960000000001</v>
      </c>
      <c r="AP128" s="503">
        <f t="shared" si="874"/>
        <v>8299.26</v>
      </c>
      <c r="AQ128" s="503">
        <f t="shared" si="874"/>
        <v>8815.32</v>
      </c>
      <c r="AR128" s="503">
        <f>U128</f>
        <v>9073.35</v>
      </c>
      <c r="AS128" s="503">
        <f t="shared" si="892"/>
        <v>9073.35</v>
      </c>
      <c r="AT128" s="503">
        <f t="shared" si="893"/>
        <v>9073.35</v>
      </c>
      <c r="AU128" s="503">
        <f t="shared" si="894"/>
        <v>9678.240000000002</v>
      </c>
      <c r="AV128" s="503">
        <f t="shared" si="894"/>
        <v>3326.8950000000004</v>
      </c>
      <c r="AW128" s="496"/>
      <c r="AX128" s="502">
        <f t="shared" si="860"/>
        <v>0</v>
      </c>
      <c r="AY128" s="502">
        <v>32185.6</v>
      </c>
      <c r="AZ128" s="502">
        <f>IF(AZ$119=$E128,SUM(AE128:AH128),0)</f>
        <v>0</v>
      </c>
      <c r="BA128" s="502">
        <f>IF(BA$119=$E128,SUM(AF128:AI128),0)</f>
        <v>0</v>
      </c>
      <c r="BB128" s="502">
        <f>IF(BB$119=$E128,SUM(AG128:AJ128),0)</f>
        <v>0</v>
      </c>
      <c r="BC128" s="502">
        <v>0</v>
      </c>
      <c r="BD128" s="502">
        <f>29991-76.9</f>
        <v>29914.1</v>
      </c>
      <c r="BE128" s="496">
        <f>IF(BE$119=$E128,SUM(AJ128:AM128),0)</f>
        <v>0</v>
      </c>
      <c r="BF128" s="496">
        <f>IF(BF$119=$E128,SUM(AK128:AN128),0)</f>
        <v>0</v>
      </c>
      <c r="BG128" s="496">
        <v>0</v>
      </c>
      <c r="BH128" s="502">
        <v>32994</v>
      </c>
      <c r="BI128" s="503">
        <f>IF(BI$119=$E128,SUM(AN128:AQ128),0)</f>
        <v>0</v>
      </c>
      <c r="BJ128" s="496">
        <f>IF(BJ$119=$E128,SUM(AO128:$AQ128),0)</f>
        <v>0</v>
      </c>
      <c r="BK128" s="496">
        <v>0</v>
      </c>
      <c r="BL128" s="496">
        <v>36293.4</v>
      </c>
      <c r="BM128" s="496">
        <v>0</v>
      </c>
      <c r="BN128" s="496">
        <v>0</v>
      </c>
      <c r="BO128" s="496">
        <v>0</v>
      </c>
      <c r="BP128" s="496">
        <v>9980.685000000001</v>
      </c>
      <c r="BQ128" s="496">
        <v>0</v>
      </c>
      <c r="BR128" s="504">
        <f t="shared" si="420"/>
        <v>0</v>
      </c>
    </row>
    <row r="129" spans="1:70" s="295" customFormat="1" ht="14.45" customHeight="1">
      <c r="A129" s="493" t="s">
        <v>146</v>
      </c>
      <c r="B129" s="509"/>
      <c r="C129" s="495"/>
      <c r="D129" s="496">
        <v>6802.75</v>
      </c>
      <c r="E129" s="495" t="s">
        <v>243</v>
      </c>
      <c r="F129" s="500"/>
      <c r="G129" s="500">
        <v>0</v>
      </c>
      <c r="H129" s="500">
        <v>0</v>
      </c>
      <c r="I129" s="500">
        <v>0</v>
      </c>
      <c r="J129" s="497"/>
      <c r="K129" s="497"/>
      <c r="L129" s="497">
        <v>0</v>
      </c>
      <c r="M129" s="497">
        <v>0</v>
      </c>
      <c r="N129" s="497">
        <v>0</v>
      </c>
      <c r="O129" s="498">
        <v>1</v>
      </c>
      <c r="P129" s="497"/>
      <c r="Q129" s="497"/>
      <c r="R129" s="497"/>
      <c r="S129" s="497"/>
      <c r="T129" s="497"/>
      <c r="U129" s="497"/>
      <c r="V129" s="497"/>
      <c r="W129" s="497"/>
      <c r="X129" s="497"/>
      <c r="Y129" s="497"/>
      <c r="Z129" s="501">
        <f>SUM(F129:Y129)</f>
        <v>1</v>
      </c>
      <c r="AA129" s="495"/>
      <c r="AB129" s="495"/>
      <c r="AC129" s="496">
        <f aca="true" t="shared" si="896" ref="AC129:AU129">F129*$D129</f>
        <v>0</v>
      </c>
      <c r="AD129" s="496">
        <f t="shared" si="896"/>
        <v>0</v>
      </c>
      <c r="AE129" s="496">
        <f t="shared" si="896"/>
        <v>0</v>
      </c>
      <c r="AF129" s="496">
        <f t="shared" si="896"/>
        <v>0</v>
      </c>
      <c r="AG129" s="496">
        <f t="shared" si="896"/>
        <v>0</v>
      </c>
      <c r="AH129" s="496">
        <f t="shared" si="896"/>
        <v>0</v>
      </c>
      <c r="AI129" s="496">
        <f t="shared" si="896"/>
        <v>0</v>
      </c>
      <c r="AJ129" s="496">
        <f t="shared" si="896"/>
        <v>0</v>
      </c>
      <c r="AK129" s="502">
        <f t="shared" si="896"/>
        <v>0</v>
      </c>
      <c r="AL129" s="496">
        <f t="shared" si="896"/>
        <v>6802.75</v>
      </c>
      <c r="AM129" s="496">
        <f t="shared" si="896"/>
        <v>0</v>
      </c>
      <c r="AN129" s="503">
        <f t="shared" si="896"/>
        <v>0</v>
      </c>
      <c r="AO129" s="496">
        <f t="shared" si="896"/>
        <v>0</v>
      </c>
      <c r="AP129" s="496">
        <f t="shared" si="896"/>
        <v>0</v>
      </c>
      <c r="AQ129" s="496">
        <f t="shared" si="896"/>
        <v>0</v>
      </c>
      <c r="AR129" s="496">
        <f t="shared" si="896"/>
        <v>0</v>
      </c>
      <c r="AS129" s="496">
        <f t="shared" si="896"/>
        <v>0</v>
      </c>
      <c r="AT129" s="496">
        <f t="shared" si="896"/>
        <v>0</v>
      </c>
      <c r="AU129" s="496">
        <f t="shared" si="896"/>
        <v>0</v>
      </c>
      <c r="AV129" s="496"/>
      <c r="AW129" s="496"/>
      <c r="AX129" s="496">
        <f aca="true" t="shared" si="897" ref="AX129:BQ129">IF(AX$3=$E129,$D129,0)</f>
        <v>0</v>
      </c>
      <c r="AY129" s="496">
        <f t="shared" si="897"/>
        <v>0</v>
      </c>
      <c r="AZ129" s="496">
        <f t="shared" si="897"/>
        <v>0</v>
      </c>
      <c r="BA129" s="496">
        <f t="shared" si="897"/>
        <v>0</v>
      </c>
      <c r="BB129" s="496">
        <f t="shared" si="897"/>
        <v>0</v>
      </c>
      <c r="BC129" s="496">
        <f t="shared" si="897"/>
        <v>0</v>
      </c>
      <c r="BD129" s="496">
        <f t="shared" si="897"/>
        <v>0</v>
      </c>
      <c r="BE129" s="496">
        <f t="shared" si="897"/>
        <v>0</v>
      </c>
      <c r="BF129" s="496">
        <f t="shared" si="897"/>
        <v>0</v>
      </c>
      <c r="BG129" s="496">
        <f t="shared" si="897"/>
        <v>6802.75</v>
      </c>
      <c r="BH129" s="496">
        <f t="shared" si="897"/>
        <v>0</v>
      </c>
      <c r="BI129" s="496">
        <f t="shared" si="897"/>
        <v>0</v>
      </c>
      <c r="BJ129" s="496">
        <f t="shared" si="897"/>
        <v>0</v>
      </c>
      <c r="BK129" s="496">
        <f t="shared" si="897"/>
        <v>0</v>
      </c>
      <c r="BL129" s="496">
        <f t="shared" si="897"/>
        <v>0</v>
      </c>
      <c r="BM129" s="496">
        <f t="shared" si="897"/>
        <v>0</v>
      </c>
      <c r="BN129" s="496">
        <f t="shared" si="897"/>
        <v>0</v>
      </c>
      <c r="BO129" s="496">
        <f t="shared" si="897"/>
        <v>0</v>
      </c>
      <c r="BP129" s="496">
        <f t="shared" si="897"/>
        <v>0</v>
      </c>
      <c r="BQ129" s="496">
        <f t="shared" si="897"/>
        <v>0</v>
      </c>
      <c r="BR129" s="504">
        <f t="shared" si="420"/>
        <v>0</v>
      </c>
    </row>
    <row r="130" spans="1:71" s="295" customFormat="1" ht="14.45" customHeight="1" outlineLevel="1">
      <c r="A130" s="493" t="s">
        <v>143</v>
      </c>
      <c r="B130" s="509"/>
      <c r="C130" s="495"/>
      <c r="D130" s="496">
        <f>SUM(F130:Y130)</f>
        <v>38000</v>
      </c>
      <c r="E130" s="497" t="s">
        <v>263</v>
      </c>
      <c r="F130" s="506"/>
      <c r="G130" s="506"/>
      <c r="H130" s="506"/>
      <c r="I130" s="506">
        <v>0</v>
      </c>
      <c r="J130" s="506">
        <v>0</v>
      </c>
      <c r="K130" s="506">
        <v>0</v>
      </c>
      <c r="L130" s="506">
        <v>0</v>
      </c>
      <c r="M130" s="506">
        <v>0</v>
      </c>
      <c r="N130" s="506">
        <v>0</v>
      </c>
      <c r="O130" s="506">
        <v>0</v>
      </c>
      <c r="P130" s="506">
        <v>0</v>
      </c>
      <c r="Q130" s="506">
        <v>0</v>
      </c>
      <c r="R130" s="523">
        <v>0</v>
      </c>
      <c r="S130" s="524">
        <v>6000</v>
      </c>
      <c r="T130" s="507">
        <v>6000</v>
      </c>
      <c r="U130" s="507">
        <v>6000</v>
      </c>
      <c r="V130" s="507">
        <v>6000</v>
      </c>
      <c r="W130" s="507">
        <v>6000</v>
      </c>
      <c r="X130" s="507">
        <v>6000</v>
      </c>
      <c r="Y130" s="507">
        <v>2000</v>
      </c>
      <c r="Z130" s="496">
        <f>SUM(F130:Y130)</f>
        <v>38000</v>
      </c>
      <c r="AA130" s="495"/>
      <c r="AB130" s="495"/>
      <c r="AC130" s="496">
        <f aca="true" t="shared" si="898" ref="AC130">F130</f>
        <v>0</v>
      </c>
      <c r="AD130" s="496">
        <f aca="true" t="shared" si="899" ref="AD130">G130</f>
        <v>0</v>
      </c>
      <c r="AE130" s="496">
        <f aca="true" t="shared" si="900" ref="AE130">H130</f>
        <v>0</v>
      </c>
      <c r="AF130" s="496">
        <f aca="true" t="shared" si="901" ref="AF130">I130</f>
        <v>0</v>
      </c>
      <c r="AG130" s="496">
        <f aca="true" t="shared" si="902" ref="AG130">J130</f>
        <v>0</v>
      </c>
      <c r="AH130" s="496">
        <f aca="true" t="shared" si="903" ref="AH130">K130</f>
        <v>0</v>
      </c>
      <c r="AI130" s="496">
        <f aca="true" t="shared" si="904" ref="AI130">L130</f>
        <v>0</v>
      </c>
      <c r="AJ130" s="502">
        <f aca="true" t="shared" si="905" ref="AJ130">M130</f>
        <v>0</v>
      </c>
      <c r="AK130" s="502">
        <f aca="true" t="shared" si="906" ref="AK130">N130</f>
        <v>0</v>
      </c>
      <c r="AL130" s="496">
        <f aca="true" t="shared" si="907" ref="AL130">O130</f>
        <v>0</v>
      </c>
      <c r="AM130" s="496">
        <f aca="true" t="shared" si="908" ref="AM130">P130</f>
        <v>0</v>
      </c>
      <c r="AN130" s="503">
        <f aca="true" t="shared" si="909" ref="AN130">Q130</f>
        <v>0</v>
      </c>
      <c r="AO130" s="503">
        <f aca="true" t="shared" si="910" ref="AO130">R130</f>
        <v>0</v>
      </c>
      <c r="AP130" s="503">
        <f aca="true" t="shared" si="911" ref="AP130">S130</f>
        <v>6000</v>
      </c>
      <c r="AQ130" s="496">
        <f aca="true" t="shared" si="912" ref="AQ130">T130</f>
        <v>6000</v>
      </c>
      <c r="AR130" s="496">
        <f>U130</f>
        <v>6000</v>
      </c>
      <c r="AS130" s="496">
        <f aca="true" t="shared" si="913" ref="AS130">V130</f>
        <v>6000</v>
      </c>
      <c r="AT130" s="496">
        <f aca="true" t="shared" si="914" ref="AT130">W130</f>
        <v>6000</v>
      </c>
      <c r="AU130" s="496">
        <f aca="true" t="shared" si="915" ref="AU130">X130</f>
        <v>6000</v>
      </c>
      <c r="AV130" s="496">
        <f aca="true" t="shared" si="916" ref="AV130">Y130</f>
        <v>2000</v>
      </c>
      <c r="AW130" s="496"/>
      <c r="AX130" s="496">
        <f aca="true" t="shared" si="917" ref="AX130">IF(AX$119=$E130,SUM(AC130:AF130),0)</f>
        <v>0</v>
      </c>
      <c r="AY130" s="496">
        <f aca="true" t="shared" si="918" ref="AY130">IF(AY$119=$E130,SUM(AD130:AG130),0)</f>
        <v>0</v>
      </c>
      <c r="AZ130" s="496">
        <f aca="true" t="shared" si="919" ref="AZ130">IF(AZ$119=$E130,SUM(AE130:AH130),0)</f>
        <v>0</v>
      </c>
      <c r="BA130" s="496">
        <f aca="true" t="shared" si="920" ref="BA130">IF(BA$119=$E130,SUM(AF130:AI130),0)</f>
        <v>0</v>
      </c>
      <c r="BB130" s="496">
        <f aca="true" t="shared" si="921" ref="BB130">IF(BB$119=$E130,SUM(AG130:AJ130),0)</f>
        <v>0</v>
      </c>
      <c r="BC130" s="496">
        <f aca="true" t="shared" si="922" ref="BC130">IF(BC$119=$E130,SUM(AH130:AK130),0)</f>
        <v>0</v>
      </c>
      <c r="BD130" s="496">
        <f aca="true" t="shared" si="923" ref="BD130">IF(BD$119=$E130,SUM(AI130:AL130),0)</f>
        <v>0</v>
      </c>
      <c r="BE130" s="496">
        <f aca="true" t="shared" si="924" ref="BE130">IF(BE$119=$E130,SUM(AJ130:AM130),0)</f>
        <v>0</v>
      </c>
      <c r="BF130" s="496">
        <f aca="true" t="shared" si="925" ref="BF130">IF(BF$119=$E130,SUM(AK130:AN130),0)</f>
        <v>0</v>
      </c>
      <c r="BG130" s="496">
        <f aca="true" t="shared" si="926" ref="BG130">IF(BG$119=$E130,SUM(AL130:AO130),0)</f>
        <v>0</v>
      </c>
      <c r="BH130" s="496">
        <v>0</v>
      </c>
      <c r="BI130" s="496">
        <v>0</v>
      </c>
      <c r="BJ130" s="496">
        <v>0</v>
      </c>
      <c r="BK130" s="496">
        <v>8000</v>
      </c>
      <c r="BL130" s="496">
        <v>24000</v>
      </c>
      <c r="BM130" s="496">
        <v>0</v>
      </c>
      <c r="BN130" s="496">
        <v>0</v>
      </c>
      <c r="BO130" s="496">
        <v>0</v>
      </c>
      <c r="BP130" s="496">
        <v>6000</v>
      </c>
      <c r="BQ130" s="496">
        <v>0</v>
      </c>
      <c r="BR130" s="504">
        <f>SUM(AC130:AV130)-SUM(AX130:BQ130)</f>
        <v>0</v>
      </c>
      <c r="BS130" s="251"/>
    </row>
    <row r="131" spans="1:71" s="295" customFormat="1" ht="14.45" customHeight="1" outlineLevel="1">
      <c r="A131" s="493" t="s">
        <v>143</v>
      </c>
      <c r="B131" s="509"/>
      <c r="C131" s="495"/>
      <c r="D131" s="496">
        <f>SUM(F131:Y131)</f>
        <v>48260.92</v>
      </c>
      <c r="E131" s="497" t="s">
        <v>233</v>
      </c>
      <c r="F131" s="506"/>
      <c r="G131" s="506"/>
      <c r="H131" s="506"/>
      <c r="I131" s="506">
        <v>0</v>
      </c>
      <c r="J131" s="506">
        <v>0</v>
      </c>
      <c r="K131" s="506">
        <v>0</v>
      </c>
      <c r="L131" s="506">
        <v>0</v>
      </c>
      <c r="M131" s="506">
        <v>0</v>
      </c>
      <c r="N131" s="506">
        <v>0</v>
      </c>
      <c r="O131" s="506">
        <v>0</v>
      </c>
      <c r="P131" s="506">
        <v>0</v>
      </c>
      <c r="Q131" s="506">
        <v>3785.12</v>
      </c>
      <c r="R131" s="523">
        <v>5631.52</v>
      </c>
      <c r="S131" s="524">
        <v>5816.16</v>
      </c>
      <c r="T131" s="507">
        <v>5601.37</v>
      </c>
      <c r="U131" s="507">
        <v>6186.375</v>
      </c>
      <c r="V131" s="507">
        <v>6186.375</v>
      </c>
      <c r="W131" s="507">
        <v>6186.375</v>
      </c>
      <c r="X131" s="507">
        <v>6599.125</v>
      </c>
      <c r="Y131" s="507">
        <v>2268.5</v>
      </c>
      <c r="Z131" s="496">
        <f>SUM(F131:Y131)</f>
        <v>48260.92</v>
      </c>
      <c r="AA131" s="495"/>
      <c r="AB131" s="495"/>
      <c r="AC131" s="496">
        <f aca="true" t="shared" si="927" ref="AC131">F131</f>
        <v>0</v>
      </c>
      <c r="AD131" s="496">
        <f aca="true" t="shared" si="928" ref="AD131">G131</f>
        <v>0</v>
      </c>
      <c r="AE131" s="496">
        <f aca="true" t="shared" si="929" ref="AE131">H131</f>
        <v>0</v>
      </c>
      <c r="AF131" s="496">
        <f aca="true" t="shared" si="930" ref="AF131">I131</f>
        <v>0</v>
      </c>
      <c r="AG131" s="496">
        <f aca="true" t="shared" si="931" ref="AG131">J131</f>
        <v>0</v>
      </c>
      <c r="AH131" s="496">
        <f aca="true" t="shared" si="932" ref="AH131">K131</f>
        <v>0</v>
      </c>
      <c r="AI131" s="496">
        <f aca="true" t="shared" si="933" ref="AI131">L131</f>
        <v>0</v>
      </c>
      <c r="AJ131" s="502">
        <f aca="true" t="shared" si="934" ref="AJ131">M131</f>
        <v>0</v>
      </c>
      <c r="AK131" s="502">
        <f aca="true" t="shared" si="935" ref="AK131">N131</f>
        <v>0</v>
      </c>
      <c r="AL131" s="496">
        <f aca="true" t="shared" si="936" ref="AL131">O131</f>
        <v>0</v>
      </c>
      <c r="AM131" s="496">
        <f aca="true" t="shared" si="937" ref="AM131">P131</f>
        <v>0</v>
      </c>
      <c r="AN131" s="503">
        <f aca="true" t="shared" si="938" ref="AN131">Q131</f>
        <v>3785.12</v>
      </c>
      <c r="AO131" s="503">
        <f aca="true" t="shared" si="939" ref="AO131">R131</f>
        <v>5631.52</v>
      </c>
      <c r="AP131" s="496">
        <f aca="true" t="shared" si="940" ref="AP131">S131</f>
        <v>5816.16</v>
      </c>
      <c r="AQ131" s="496">
        <f aca="true" t="shared" si="941" ref="AQ131">T131</f>
        <v>5601.37</v>
      </c>
      <c r="AR131" s="496">
        <f>U131</f>
        <v>6186.375</v>
      </c>
      <c r="AS131" s="496">
        <f aca="true" t="shared" si="942" ref="AS131">V131</f>
        <v>6186.375</v>
      </c>
      <c r="AT131" s="496">
        <f aca="true" t="shared" si="943" ref="AT131">W131</f>
        <v>6186.375</v>
      </c>
      <c r="AU131" s="496">
        <f aca="true" t="shared" si="944" ref="AU131:AV131">X131</f>
        <v>6599.125</v>
      </c>
      <c r="AV131" s="496">
        <f t="shared" si="944"/>
        <v>2268.5</v>
      </c>
      <c r="AW131" s="496"/>
      <c r="AX131" s="496">
        <f aca="true" t="shared" si="945" ref="AX131">IF(AX$119=$E131,SUM(AC131:AF131),0)</f>
        <v>0</v>
      </c>
      <c r="AY131" s="496">
        <f aca="true" t="shared" si="946" ref="AY131">IF(AY$119=$E131,SUM(AD131:AG131),0)</f>
        <v>0</v>
      </c>
      <c r="AZ131" s="496">
        <f aca="true" t="shared" si="947" ref="AZ131:BG131">IF(AZ$119=$E131,SUM(AE131:AH131),0)</f>
        <v>0</v>
      </c>
      <c r="BA131" s="496">
        <f t="shared" si="947"/>
        <v>0</v>
      </c>
      <c r="BB131" s="496">
        <f t="shared" si="947"/>
        <v>0</v>
      </c>
      <c r="BC131" s="496">
        <f t="shared" si="947"/>
        <v>0</v>
      </c>
      <c r="BD131" s="496">
        <f t="shared" si="947"/>
        <v>0</v>
      </c>
      <c r="BE131" s="496">
        <f t="shared" si="947"/>
        <v>0</v>
      </c>
      <c r="BF131" s="496">
        <f t="shared" si="947"/>
        <v>0</v>
      </c>
      <c r="BG131" s="496">
        <f t="shared" si="947"/>
        <v>0</v>
      </c>
      <c r="BH131" s="496">
        <v>0</v>
      </c>
      <c r="BI131" s="503">
        <f>16877.25+5625.75</f>
        <v>22503</v>
      </c>
      <c r="BJ131" s="496">
        <v>0</v>
      </c>
      <c r="BK131" s="503">
        <v>-5839.240000000002</v>
      </c>
      <c r="BL131" s="496">
        <v>24745.5</v>
      </c>
      <c r="BM131" s="496">
        <v>0</v>
      </c>
      <c r="BN131" s="496">
        <f aca="true" t="shared" si="948" ref="BN131">IF(BN$119=$E131,SUM(AS131:AW131),0)</f>
        <v>0</v>
      </c>
      <c r="BO131" s="496">
        <f aca="true" t="shared" si="949" ref="BO131">IF(BO$119=$E131,SUM(AT131:AX131),0)</f>
        <v>0</v>
      </c>
      <c r="BP131" s="496">
        <f>6805.5+46.16</f>
        <v>6851.66</v>
      </c>
      <c r="BQ131" s="496">
        <v>0</v>
      </c>
      <c r="BR131" s="525">
        <f>SUM(AC131:AV131)-SUM(AX131:BQ131)</f>
        <v>0</v>
      </c>
      <c r="BS131" s="251"/>
    </row>
    <row r="132" spans="1:71" s="295" customFormat="1" ht="14.45" customHeight="1">
      <c r="A132" s="493" t="s">
        <v>146</v>
      </c>
      <c r="B132" s="509"/>
      <c r="C132" s="495"/>
      <c r="D132" s="502">
        <v>36750</v>
      </c>
      <c r="E132" s="495" t="s">
        <v>263</v>
      </c>
      <c r="F132" s="497"/>
      <c r="G132" s="497"/>
      <c r="H132" s="497"/>
      <c r="I132" s="500"/>
      <c r="J132" s="500">
        <v>0</v>
      </c>
      <c r="K132" s="500"/>
      <c r="L132" s="500"/>
      <c r="M132" s="500"/>
      <c r="N132" s="497"/>
      <c r="O132" s="497"/>
      <c r="P132" s="497">
        <v>0</v>
      </c>
      <c r="Q132" s="499">
        <v>0</v>
      </c>
      <c r="R132" s="499">
        <v>0.175</v>
      </c>
      <c r="S132" s="499">
        <v>0.25</v>
      </c>
      <c r="T132" s="499">
        <v>0.25</v>
      </c>
      <c r="U132" s="500">
        <f>1-(T132+S132+R132)</f>
        <v>0.32499999999999996</v>
      </c>
      <c r="V132" s="497"/>
      <c r="W132" s="497"/>
      <c r="X132" s="497"/>
      <c r="Y132" s="497"/>
      <c r="Z132" s="501">
        <f>SUM(F132:Y132)</f>
        <v>1</v>
      </c>
      <c r="AA132" s="495"/>
      <c r="AB132" s="495"/>
      <c r="AC132" s="502">
        <f aca="true" t="shared" si="950" ref="AC132">F132*$D132</f>
        <v>0</v>
      </c>
      <c r="AD132" s="502">
        <f aca="true" t="shared" si="951" ref="AD132">G132*$D132</f>
        <v>0</v>
      </c>
      <c r="AE132" s="502">
        <f aca="true" t="shared" si="952" ref="AE132">H132*$D132</f>
        <v>0</v>
      </c>
      <c r="AF132" s="502">
        <f aca="true" t="shared" si="953" ref="AF132">I132*$D132</f>
        <v>0</v>
      </c>
      <c r="AG132" s="502">
        <f aca="true" t="shared" si="954" ref="AG132">J132*$D132</f>
        <v>0</v>
      </c>
      <c r="AH132" s="502">
        <f aca="true" t="shared" si="955" ref="AH132">K132*$D132</f>
        <v>0</v>
      </c>
      <c r="AI132" s="502">
        <f aca="true" t="shared" si="956" ref="AI132">L132*$D132</f>
        <v>0</v>
      </c>
      <c r="AJ132" s="502">
        <f aca="true" t="shared" si="957" ref="AJ132">M132*$D132</f>
        <v>0</v>
      </c>
      <c r="AK132" s="502">
        <f aca="true" t="shared" si="958" ref="AK132">N132*$D132</f>
        <v>0</v>
      </c>
      <c r="AL132" s="502">
        <f aca="true" t="shared" si="959" ref="AL132">O132*$D132</f>
        <v>0</v>
      </c>
      <c r="AM132" s="508">
        <f aca="true" t="shared" si="960" ref="AM132">P132*$D132</f>
        <v>0</v>
      </c>
      <c r="AN132" s="503">
        <f aca="true" t="shared" si="961" ref="AN132">Q132*$D132</f>
        <v>0</v>
      </c>
      <c r="AO132" s="503">
        <f aca="true" t="shared" si="962" ref="AO132">R132*$D132</f>
        <v>6431.25</v>
      </c>
      <c r="AP132" s="503">
        <f aca="true" t="shared" si="963" ref="AP132">S132*$D132</f>
        <v>9187.5</v>
      </c>
      <c r="AQ132" s="503">
        <f aca="true" t="shared" si="964" ref="AQ132">T132*$D132</f>
        <v>9187.5</v>
      </c>
      <c r="AR132" s="503">
        <f aca="true" t="shared" si="965" ref="AR132">U132*$D132</f>
        <v>11943.749999999998</v>
      </c>
      <c r="AS132" s="496">
        <f aca="true" t="shared" si="966" ref="AS132">V132*$D132</f>
        <v>0</v>
      </c>
      <c r="AT132" s="496">
        <f aca="true" t="shared" si="967" ref="AT132">W132*$D132</f>
        <v>0</v>
      </c>
      <c r="AU132" s="496">
        <f aca="true" t="shared" si="968" ref="AU132">X132*$D132</f>
        <v>0</v>
      </c>
      <c r="AV132" s="496"/>
      <c r="AW132" s="496"/>
      <c r="AX132" s="496">
        <f aca="true" t="shared" si="969" ref="AX132:BQ132">IF(AX$3=$E132,$D132,0)</f>
        <v>0</v>
      </c>
      <c r="AY132" s="496">
        <f t="shared" si="969"/>
        <v>0</v>
      </c>
      <c r="AZ132" s="496">
        <f t="shared" si="969"/>
        <v>0</v>
      </c>
      <c r="BA132" s="496">
        <f t="shared" si="969"/>
        <v>0</v>
      </c>
      <c r="BB132" s="496">
        <f t="shared" si="969"/>
        <v>0</v>
      </c>
      <c r="BC132" s="496">
        <f t="shared" si="969"/>
        <v>0</v>
      </c>
      <c r="BD132" s="496">
        <f t="shared" si="969"/>
        <v>0</v>
      </c>
      <c r="BE132" s="496">
        <f t="shared" si="969"/>
        <v>0</v>
      </c>
      <c r="BF132" s="496">
        <f t="shared" si="969"/>
        <v>0</v>
      </c>
      <c r="BG132" s="496">
        <f t="shared" si="969"/>
        <v>0</v>
      </c>
      <c r="BH132" s="496">
        <f t="shared" si="969"/>
        <v>0</v>
      </c>
      <c r="BI132" s="496">
        <f t="shared" si="969"/>
        <v>0</v>
      </c>
      <c r="BJ132" s="496">
        <f t="shared" si="969"/>
        <v>36750</v>
      </c>
      <c r="BK132" s="496">
        <f t="shared" si="969"/>
        <v>0</v>
      </c>
      <c r="BL132" s="496">
        <f t="shared" si="969"/>
        <v>0</v>
      </c>
      <c r="BM132" s="496">
        <f t="shared" si="969"/>
        <v>0</v>
      </c>
      <c r="BN132" s="496">
        <f t="shared" si="969"/>
        <v>0</v>
      </c>
      <c r="BO132" s="496">
        <f t="shared" si="969"/>
        <v>0</v>
      </c>
      <c r="BP132" s="496">
        <f t="shared" si="969"/>
        <v>0</v>
      </c>
      <c r="BQ132" s="496">
        <f t="shared" si="969"/>
        <v>0</v>
      </c>
      <c r="BR132" s="504">
        <f t="shared" si="420"/>
        <v>0</v>
      </c>
      <c r="BS132" s="251"/>
    </row>
    <row r="133" spans="1:70" s="295" customFormat="1" ht="14.45" customHeight="1">
      <c r="A133" s="377" t="s">
        <v>131</v>
      </c>
      <c r="B133" s="377"/>
      <c r="C133" s="378"/>
      <c r="D133" s="430">
        <v>318.43</v>
      </c>
      <c r="E133" s="381" t="s">
        <v>221</v>
      </c>
      <c r="F133" s="384"/>
      <c r="G133" s="384"/>
      <c r="H133" s="384"/>
      <c r="I133" s="384"/>
      <c r="J133" s="384"/>
      <c r="K133" s="382">
        <v>0</v>
      </c>
      <c r="L133" s="382">
        <v>0</v>
      </c>
      <c r="M133" s="382">
        <v>1</v>
      </c>
      <c r="N133" s="382">
        <v>0</v>
      </c>
      <c r="O133" s="382">
        <v>0</v>
      </c>
      <c r="P133" s="382">
        <v>0</v>
      </c>
      <c r="Q133" s="382">
        <v>0</v>
      </c>
      <c r="R133" s="382">
        <v>0</v>
      </c>
      <c r="S133" s="382">
        <v>0</v>
      </c>
      <c r="T133" s="382">
        <v>0</v>
      </c>
      <c r="U133" s="382">
        <v>0</v>
      </c>
      <c r="V133" s="382"/>
      <c r="W133" s="382"/>
      <c r="X133" s="382"/>
      <c r="Y133" s="382"/>
      <c r="Z133" s="383">
        <f aca="true" t="shared" si="970" ref="Z133">SUM(F133:U133)</f>
        <v>1</v>
      </c>
      <c r="AA133" s="378"/>
      <c r="AB133" s="378"/>
      <c r="AC133" s="431">
        <f aca="true" t="shared" si="971" ref="AC133">F133*$D133</f>
        <v>0</v>
      </c>
      <c r="AD133" s="431">
        <f aca="true" t="shared" si="972" ref="AD133">G133*$D133</f>
        <v>0</v>
      </c>
      <c r="AE133" s="431">
        <f aca="true" t="shared" si="973" ref="AE133">H133*$D133</f>
        <v>0</v>
      </c>
      <c r="AF133" s="431">
        <f aca="true" t="shared" si="974" ref="AF133">I133*$D133</f>
        <v>0</v>
      </c>
      <c r="AG133" s="431">
        <f>J133*$D133</f>
        <v>0</v>
      </c>
      <c r="AH133" s="431">
        <f>K133*$D133</f>
        <v>0</v>
      </c>
      <c r="AI133" s="431">
        <f aca="true" t="shared" si="975" ref="AI133">L133*$D133</f>
        <v>0</v>
      </c>
      <c r="AJ133" s="431">
        <f aca="true" t="shared" si="976" ref="AJ133">M133*$D133</f>
        <v>318.43</v>
      </c>
      <c r="AK133" s="431">
        <f aca="true" t="shared" si="977" ref="AK133">N133*$D133</f>
        <v>0</v>
      </c>
      <c r="AL133" s="431">
        <f aca="true" t="shared" si="978" ref="AL133">O133*$D133</f>
        <v>0</v>
      </c>
      <c r="AM133" s="431">
        <f aca="true" t="shared" si="979" ref="AM133">P133*$D133</f>
        <v>0</v>
      </c>
      <c r="AN133" s="431">
        <f aca="true" t="shared" si="980" ref="AN133">Q133*$D133</f>
        <v>0</v>
      </c>
      <c r="AO133" s="431">
        <f aca="true" t="shared" si="981" ref="AO133">R133*$D133</f>
        <v>0</v>
      </c>
      <c r="AP133" s="431">
        <f aca="true" t="shared" si="982" ref="AP133">S133*$D133</f>
        <v>0</v>
      </c>
      <c r="AQ133" s="431">
        <f aca="true" t="shared" si="983" ref="AQ133">T133*$D133</f>
        <v>0</v>
      </c>
      <c r="AR133" s="431">
        <f aca="true" t="shared" si="984" ref="AR133:AT134">U133*$D133</f>
        <v>0</v>
      </c>
      <c r="AS133" s="431">
        <f t="shared" si="984"/>
        <v>0</v>
      </c>
      <c r="AT133" s="431">
        <f t="shared" si="984"/>
        <v>0</v>
      </c>
      <c r="AU133" s="431">
        <f aca="true" t="shared" si="985" ref="AU133:AU134">X133*$D133</f>
        <v>0</v>
      </c>
      <c r="AV133" s="430"/>
      <c r="AW133" s="379"/>
      <c r="AX133" s="379">
        <f t="shared" si="860"/>
        <v>0</v>
      </c>
      <c r="AY133" s="379">
        <f aca="true" t="shared" si="986" ref="AY133:AY134">IF(AY$119=$E133,SUM(AD133:AG133),0)</f>
        <v>0</v>
      </c>
      <c r="AZ133" s="379">
        <f aca="true" t="shared" si="987" ref="AZ133:BO134">IF(AZ$3=$E133,$D133,0)</f>
        <v>0</v>
      </c>
      <c r="BA133" s="379">
        <f t="shared" si="987"/>
        <v>0</v>
      </c>
      <c r="BB133" s="379">
        <f t="shared" si="987"/>
        <v>0</v>
      </c>
      <c r="BC133" s="379">
        <f t="shared" si="987"/>
        <v>0</v>
      </c>
      <c r="BD133" s="379">
        <f t="shared" si="987"/>
        <v>0</v>
      </c>
      <c r="BE133" s="430">
        <f t="shared" si="987"/>
        <v>318.43</v>
      </c>
      <c r="BF133" s="379">
        <f t="shared" si="987"/>
        <v>0</v>
      </c>
      <c r="BG133" s="379">
        <f t="shared" si="987"/>
        <v>0</v>
      </c>
      <c r="BH133" s="379">
        <f t="shared" si="987"/>
        <v>0</v>
      </c>
      <c r="BI133" s="379">
        <f t="shared" si="987"/>
        <v>0</v>
      </c>
      <c r="BJ133" s="379">
        <f t="shared" si="987"/>
        <v>0</v>
      </c>
      <c r="BK133" s="379">
        <f t="shared" si="987"/>
        <v>0</v>
      </c>
      <c r="BL133" s="379">
        <f t="shared" si="987"/>
        <v>0</v>
      </c>
      <c r="BM133" s="379">
        <f t="shared" si="987"/>
        <v>0</v>
      </c>
      <c r="BN133" s="379">
        <f t="shared" si="987"/>
        <v>0</v>
      </c>
      <c r="BO133" s="379">
        <f t="shared" si="987"/>
        <v>0</v>
      </c>
      <c r="BP133" s="379">
        <f aca="true" t="shared" si="988" ref="BP133:BQ134">IF(BP$3=$E133,$D133,0)</f>
        <v>0</v>
      </c>
      <c r="BQ133" s="379">
        <f t="shared" si="988"/>
        <v>0</v>
      </c>
      <c r="BR133" s="380">
        <f t="shared" si="420"/>
        <v>0</v>
      </c>
    </row>
    <row r="134" spans="1:70" s="295" customFormat="1" ht="14.45" customHeight="1">
      <c r="A134" s="377" t="s">
        <v>131</v>
      </c>
      <c r="B134" s="377"/>
      <c r="C134" s="378"/>
      <c r="D134" s="430">
        <v>884.24</v>
      </c>
      <c r="E134" s="381" t="s">
        <v>221</v>
      </c>
      <c r="F134" s="384"/>
      <c r="G134" s="384"/>
      <c r="H134" s="384"/>
      <c r="I134" s="384"/>
      <c r="J134" s="384"/>
      <c r="K134" s="382">
        <v>0</v>
      </c>
      <c r="L134" s="382">
        <v>0</v>
      </c>
      <c r="M134" s="382">
        <v>1</v>
      </c>
      <c r="N134" s="382">
        <v>0</v>
      </c>
      <c r="O134" s="382">
        <v>0</v>
      </c>
      <c r="P134" s="382">
        <v>0</v>
      </c>
      <c r="Q134" s="382">
        <v>0</v>
      </c>
      <c r="R134" s="382">
        <v>0</v>
      </c>
      <c r="S134" s="382">
        <v>0</v>
      </c>
      <c r="T134" s="382">
        <v>0</v>
      </c>
      <c r="U134" s="382">
        <v>0</v>
      </c>
      <c r="V134" s="382"/>
      <c r="W134" s="382"/>
      <c r="X134" s="382"/>
      <c r="Y134" s="382"/>
      <c r="Z134" s="383">
        <f aca="true" t="shared" si="989" ref="Z134">SUM(F134:U134)</f>
        <v>1</v>
      </c>
      <c r="AA134" s="378"/>
      <c r="AB134" s="378"/>
      <c r="AC134" s="431">
        <f aca="true" t="shared" si="990" ref="AC134">F134*$D134</f>
        <v>0</v>
      </c>
      <c r="AD134" s="431">
        <f aca="true" t="shared" si="991" ref="AD134">G134*$D134</f>
        <v>0</v>
      </c>
      <c r="AE134" s="431">
        <f aca="true" t="shared" si="992" ref="AE134">H134*$D134</f>
        <v>0</v>
      </c>
      <c r="AF134" s="431">
        <f aca="true" t="shared" si="993" ref="AF134">I134*$D134</f>
        <v>0</v>
      </c>
      <c r="AG134" s="431">
        <f aca="true" t="shared" si="994" ref="AG134">J134*$D134</f>
        <v>0</v>
      </c>
      <c r="AH134" s="431">
        <f aca="true" t="shared" si="995" ref="AH134">K134*$D134</f>
        <v>0</v>
      </c>
      <c r="AI134" s="431">
        <f aca="true" t="shared" si="996" ref="AI134">L134*$D134</f>
        <v>0</v>
      </c>
      <c r="AJ134" s="431">
        <f aca="true" t="shared" si="997" ref="AJ134">M134*$D134</f>
        <v>884.24</v>
      </c>
      <c r="AK134" s="431">
        <f aca="true" t="shared" si="998" ref="AK134">N134*$D134</f>
        <v>0</v>
      </c>
      <c r="AL134" s="431">
        <f aca="true" t="shared" si="999" ref="AL134">O134*$D134</f>
        <v>0</v>
      </c>
      <c r="AM134" s="431">
        <f aca="true" t="shared" si="1000" ref="AM134">P134*$D134</f>
        <v>0</v>
      </c>
      <c r="AN134" s="431">
        <f aca="true" t="shared" si="1001" ref="AN134">Q134*$D134</f>
        <v>0</v>
      </c>
      <c r="AO134" s="431">
        <f aca="true" t="shared" si="1002" ref="AO134">R134*$D134</f>
        <v>0</v>
      </c>
      <c r="AP134" s="431">
        <f aca="true" t="shared" si="1003" ref="AP134">S134*$D134</f>
        <v>0</v>
      </c>
      <c r="AQ134" s="431">
        <f aca="true" t="shared" si="1004" ref="AQ134">T134*$D134</f>
        <v>0</v>
      </c>
      <c r="AR134" s="431">
        <f t="shared" si="984"/>
        <v>0</v>
      </c>
      <c r="AS134" s="431">
        <f t="shared" si="984"/>
        <v>0</v>
      </c>
      <c r="AT134" s="431">
        <f t="shared" si="984"/>
        <v>0</v>
      </c>
      <c r="AU134" s="431">
        <f t="shared" si="985"/>
        <v>0</v>
      </c>
      <c r="AV134" s="430"/>
      <c r="AW134" s="379"/>
      <c r="AX134" s="379">
        <f aca="true" t="shared" si="1005" ref="AX134">IF(AX$119=$E134,SUM(AC134:AF134),0)</f>
        <v>0</v>
      </c>
      <c r="AY134" s="379">
        <f t="shared" si="986"/>
        <v>0</v>
      </c>
      <c r="AZ134" s="379">
        <f t="shared" si="987"/>
        <v>0</v>
      </c>
      <c r="BA134" s="379">
        <f t="shared" si="987"/>
        <v>0</v>
      </c>
      <c r="BB134" s="379">
        <f t="shared" si="987"/>
        <v>0</v>
      </c>
      <c r="BC134" s="379">
        <f t="shared" si="987"/>
        <v>0</v>
      </c>
      <c r="BD134" s="379">
        <f t="shared" si="987"/>
        <v>0</v>
      </c>
      <c r="BE134" s="379">
        <f t="shared" si="987"/>
        <v>884.24</v>
      </c>
      <c r="BF134" s="379">
        <f t="shared" si="987"/>
        <v>0</v>
      </c>
      <c r="BG134" s="379">
        <f t="shared" si="987"/>
        <v>0</v>
      </c>
      <c r="BH134" s="379">
        <f t="shared" si="987"/>
        <v>0</v>
      </c>
      <c r="BI134" s="379">
        <f t="shared" si="987"/>
        <v>0</v>
      </c>
      <c r="BJ134" s="379">
        <f t="shared" si="987"/>
        <v>0</v>
      </c>
      <c r="BK134" s="379">
        <f t="shared" si="987"/>
        <v>0</v>
      </c>
      <c r="BL134" s="379">
        <f t="shared" si="987"/>
        <v>0</v>
      </c>
      <c r="BM134" s="379">
        <f t="shared" si="987"/>
        <v>0</v>
      </c>
      <c r="BN134" s="379">
        <f t="shared" si="987"/>
        <v>0</v>
      </c>
      <c r="BO134" s="379">
        <f t="shared" si="987"/>
        <v>0</v>
      </c>
      <c r="BP134" s="379">
        <f t="shared" si="988"/>
        <v>0</v>
      </c>
      <c r="BQ134" s="379">
        <f t="shared" si="988"/>
        <v>0</v>
      </c>
      <c r="BR134" s="380">
        <f t="shared" si="420"/>
        <v>0</v>
      </c>
    </row>
    <row r="135" spans="1:70" s="343" customFormat="1" ht="14.45" customHeight="1" outlineLevel="1">
      <c r="A135" s="446" t="s">
        <v>131</v>
      </c>
      <c r="B135" s="446"/>
      <c r="C135" s="430"/>
      <c r="D135" s="430">
        <f>SUM(F135:Y135)</f>
        <v>136111.1625</v>
      </c>
      <c r="E135" s="447" t="s">
        <v>199</v>
      </c>
      <c r="F135" s="430"/>
      <c r="G135" s="430"/>
      <c r="H135" s="430"/>
      <c r="I135" s="430">
        <v>0</v>
      </c>
      <c r="J135" s="430">
        <v>8041.6</v>
      </c>
      <c r="K135" s="430">
        <v>8903.2</v>
      </c>
      <c r="L135" s="430">
        <v>8185.2</v>
      </c>
      <c r="M135" s="430">
        <v>8616</v>
      </c>
      <c r="N135" s="430">
        <v>9190.4</v>
      </c>
      <c r="O135" s="430">
        <v>8616</v>
      </c>
      <c r="P135" s="430">
        <v>8185.2</v>
      </c>
      <c r="Q135" s="430">
        <v>8400.6</v>
      </c>
      <c r="R135" s="430">
        <v>8918.400000000001</v>
      </c>
      <c r="S135" s="430">
        <v>9036.69</v>
      </c>
      <c r="T135" s="430">
        <v>9138.48</v>
      </c>
      <c r="U135" s="430">
        <v>9189.375</v>
      </c>
      <c r="V135" s="430">
        <v>9189.375</v>
      </c>
      <c r="W135" s="430">
        <v>9189.375</v>
      </c>
      <c r="X135" s="430">
        <v>9941.83</v>
      </c>
      <c r="Y135" s="430">
        <v>3369.4375</v>
      </c>
      <c r="Z135" s="430">
        <f>SUM(F135:Y135)</f>
        <v>136111.1625</v>
      </c>
      <c r="AA135" s="430"/>
      <c r="AB135" s="430"/>
      <c r="AC135" s="431">
        <f aca="true" t="shared" si="1006" ref="AC135:AV135">F135</f>
        <v>0</v>
      </c>
      <c r="AD135" s="431">
        <f t="shared" si="1006"/>
        <v>0</v>
      </c>
      <c r="AE135" s="431">
        <f t="shared" si="1006"/>
        <v>0</v>
      </c>
      <c r="AF135" s="431">
        <f t="shared" si="1006"/>
        <v>0</v>
      </c>
      <c r="AG135" s="431">
        <f t="shared" si="1006"/>
        <v>8041.6</v>
      </c>
      <c r="AH135" s="431">
        <f t="shared" si="1006"/>
        <v>8903.2</v>
      </c>
      <c r="AI135" s="431">
        <f t="shared" si="1006"/>
        <v>8185.2</v>
      </c>
      <c r="AJ135" s="431">
        <f t="shared" si="1006"/>
        <v>8616</v>
      </c>
      <c r="AK135" s="431">
        <f t="shared" si="1006"/>
        <v>9190.4</v>
      </c>
      <c r="AL135" s="431">
        <f t="shared" si="1006"/>
        <v>8616</v>
      </c>
      <c r="AM135" s="431">
        <f t="shared" si="1006"/>
        <v>8185.2</v>
      </c>
      <c r="AN135" s="431">
        <f t="shared" si="1006"/>
        <v>8400.6</v>
      </c>
      <c r="AO135" s="431">
        <f t="shared" si="1006"/>
        <v>8918.400000000001</v>
      </c>
      <c r="AP135" s="431">
        <f t="shared" si="1006"/>
        <v>9036.69</v>
      </c>
      <c r="AQ135" s="431">
        <f t="shared" si="1006"/>
        <v>9138.48</v>
      </c>
      <c r="AR135" s="431">
        <f t="shared" si="1006"/>
        <v>9189.375</v>
      </c>
      <c r="AS135" s="431">
        <f t="shared" si="1006"/>
        <v>9189.375</v>
      </c>
      <c r="AT135" s="431">
        <f t="shared" si="1006"/>
        <v>9189.375</v>
      </c>
      <c r="AU135" s="431">
        <f t="shared" si="1006"/>
        <v>9941.83</v>
      </c>
      <c r="AV135" s="430">
        <f t="shared" si="1006"/>
        <v>3369.4375</v>
      </c>
      <c r="AW135" s="430"/>
      <c r="AX135" s="430">
        <f>IF(AX$119=$E135,SUM(AC135:AF135),0)</f>
        <v>0</v>
      </c>
      <c r="AY135" s="430">
        <f>IF(AY$119=$E135,SUM(AD135:AG135),0)</f>
        <v>0</v>
      </c>
      <c r="AZ135" s="430">
        <f>IF(AZ$119=$E135,SUM(AE135:AH135),0)</f>
        <v>0</v>
      </c>
      <c r="BA135" s="430">
        <v>34607.6</v>
      </c>
      <c r="BB135" s="430">
        <f>IF(BB$119=$E135,SUM(AG135:AJ135),0)</f>
        <v>0</v>
      </c>
      <c r="BC135" s="430">
        <f>IF(BC$119=$E135,SUM(AH135:AK135),0)</f>
        <v>0</v>
      </c>
      <c r="BD135" s="430">
        <f>IF(BD$119=$E135,SUM(AI135:AL135),0)</f>
        <v>0</v>
      </c>
      <c r="BE135" s="430">
        <v>35002.5</v>
      </c>
      <c r="BF135" s="430">
        <v>0</v>
      </c>
      <c r="BG135" s="430">
        <f>IF(BG$119=$E135,SUM(AL135:AO135),0)</f>
        <v>0</v>
      </c>
      <c r="BH135" s="430">
        <f>IF(BH$119=$E135,SUM(AM135:AP135),0)</f>
        <v>0</v>
      </c>
      <c r="BI135" s="430">
        <v>1256.5</v>
      </c>
      <c r="BJ135" s="430">
        <v>18378.75</v>
      </c>
      <c r="BK135" s="430">
        <f>IF(BK$119=$E135,SUM(AP135:AS135),0)</f>
        <v>0</v>
      </c>
      <c r="BL135" s="430">
        <v>36757.5</v>
      </c>
      <c r="BM135" s="430">
        <v>0</v>
      </c>
      <c r="BN135" s="430">
        <f>IF(BN$119=$E135,SUM(AS135:AW135),0)</f>
        <v>0</v>
      </c>
      <c r="BO135" s="430">
        <f>IF(BO$119=$E135,SUM(AT135:AX135),0)</f>
        <v>0</v>
      </c>
      <c r="BP135" s="430">
        <v>10108.3125</v>
      </c>
      <c r="BQ135" s="430">
        <f>IF(BQ$119=$E135,SUM(AV135:AZ135),0)</f>
        <v>0</v>
      </c>
      <c r="BR135" s="380">
        <f t="shared" si="420"/>
        <v>0</v>
      </c>
    </row>
    <row r="136" spans="1:70" ht="14.45" customHeight="1">
      <c r="A136" s="245"/>
      <c r="B136" s="245"/>
      <c r="C136" s="318"/>
      <c r="D136" s="318"/>
      <c r="E136" s="318"/>
      <c r="F136" s="318"/>
      <c r="G136" s="338"/>
      <c r="H136" s="338"/>
      <c r="I136" s="338"/>
      <c r="J136" s="338"/>
      <c r="K136" s="338"/>
      <c r="L136" s="338"/>
      <c r="M136" s="338"/>
      <c r="N136" s="338"/>
      <c r="O136" s="338"/>
      <c r="P136" s="338"/>
      <c r="Q136" s="338"/>
      <c r="R136" s="338"/>
      <c r="S136" s="338"/>
      <c r="T136" s="338"/>
      <c r="U136" s="338"/>
      <c r="V136" s="338"/>
      <c r="W136" s="338"/>
      <c r="X136" s="338"/>
      <c r="Y136" s="338"/>
      <c r="Z136" s="338"/>
      <c r="AA136" s="318"/>
      <c r="AB136" s="318"/>
      <c r="AC136" s="359"/>
      <c r="AD136" s="359"/>
      <c r="AE136" s="359"/>
      <c r="AF136" s="359"/>
      <c r="AG136" s="359"/>
      <c r="AH136" s="359"/>
      <c r="AI136" s="359"/>
      <c r="AJ136" s="318"/>
      <c r="AK136" s="318"/>
      <c r="AL136" s="318"/>
      <c r="AM136" s="318"/>
      <c r="AN136" s="318"/>
      <c r="AO136" s="406"/>
      <c r="AP136" s="318"/>
      <c r="AQ136" s="318"/>
      <c r="AR136" s="318"/>
      <c r="AS136" s="318"/>
      <c r="AT136" s="318"/>
      <c r="AU136" s="318"/>
      <c r="AV136" s="318"/>
      <c r="AW136" s="318"/>
      <c r="AX136" s="359"/>
      <c r="AY136" s="359"/>
      <c r="AZ136" s="359"/>
      <c r="BA136" s="359"/>
      <c r="BB136" s="359"/>
      <c r="BC136" s="359"/>
      <c r="BD136" s="359"/>
      <c r="BE136" s="359"/>
      <c r="BF136" s="318"/>
      <c r="BG136" s="318"/>
      <c r="BH136" s="318"/>
      <c r="BI136" s="318"/>
      <c r="BJ136" s="318"/>
      <c r="BK136" s="318"/>
      <c r="BL136" s="318"/>
      <c r="BM136" s="318"/>
      <c r="BN136" s="318"/>
      <c r="BO136" s="318"/>
      <c r="BP136" s="318"/>
      <c r="BQ136" s="318"/>
      <c r="BR136" s="400">
        <f t="shared" si="420"/>
        <v>0</v>
      </c>
    </row>
    <row r="137" spans="1:70" ht="14.45" customHeight="1">
      <c r="A137" s="245" t="s">
        <v>191</v>
      </c>
      <c r="B137" s="245"/>
      <c r="C137" s="318"/>
      <c r="D137" s="318"/>
      <c r="E137" s="318"/>
      <c r="F137" s="318"/>
      <c r="G137" s="338"/>
      <c r="H137" s="338"/>
      <c r="I137" s="338"/>
      <c r="J137" s="338"/>
      <c r="K137" s="338"/>
      <c r="L137" s="338"/>
      <c r="M137" s="338"/>
      <c r="N137" s="338"/>
      <c r="O137" s="338"/>
      <c r="P137" s="338"/>
      <c r="Q137" s="338"/>
      <c r="R137" s="338"/>
      <c r="S137" s="338"/>
      <c r="T137" s="338"/>
      <c r="U137" s="338"/>
      <c r="V137" s="338"/>
      <c r="W137" s="338"/>
      <c r="X137" s="338"/>
      <c r="Y137" s="338"/>
      <c r="Z137" s="338"/>
      <c r="AA137" s="318"/>
      <c r="AB137" s="318"/>
      <c r="AC137" s="359"/>
      <c r="AD137" s="359"/>
      <c r="AE137" s="359"/>
      <c r="AF137" s="359"/>
      <c r="AG137" s="359"/>
      <c r="AH137" s="359"/>
      <c r="AI137" s="359"/>
      <c r="AJ137" s="318"/>
      <c r="AK137" s="318"/>
      <c r="AL137" s="318"/>
      <c r="AM137" s="318"/>
      <c r="AN137" s="318"/>
      <c r="AO137" s="406"/>
      <c r="AP137" s="318"/>
      <c r="AQ137" s="318"/>
      <c r="AR137" s="318"/>
      <c r="AS137" s="318"/>
      <c r="AT137" s="318"/>
      <c r="AU137" s="318"/>
      <c r="AV137" s="318"/>
      <c r="AW137" s="318"/>
      <c r="AX137" s="359"/>
      <c r="AY137" s="359"/>
      <c r="AZ137" s="359"/>
      <c r="BA137" s="359"/>
      <c r="BB137" s="359"/>
      <c r="BC137" s="359"/>
      <c r="BD137" s="359"/>
      <c r="BE137" s="359"/>
      <c r="BF137" s="318"/>
      <c r="BG137" s="318"/>
      <c r="BH137" s="318"/>
      <c r="BI137" s="318"/>
      <c r="BJ137" s="318"/>
      <c r="BK137" s="318"/>
      <c r="BL137" s="318"/>
      <c r="BM137" s="318"/>
      <c r="BN137" s="318"/>
      <c r="BO137" s="318"/>
      <c r="BP137" s="318"/>
      <c r="BQ137" s="318"/>
      <c r="BR137" s="400">
        <f t="shared" si="420"/>
        <v>0</v>
      </c>
    </row>
    <row r="138" spans="1:70" ht="14.45" customHeight="1">
      <c r="A138" s="493" t="s">
        <v>146</v>
      </c>
      <c r="B138" s="509"/>
      <c r="C138" s="495"/>
      <c r="D138" s="496">
        <v>10500</v>
      </c>
      <c r="E138" s="495"/>
      <c r="F138" s="502"/>
      <c r="G138" s="502">
        <v>1000</v>
      </c>
      <c r="H138" s="502">
        <v>0</v>
      </c>
      <c r="I138" s="502">
        <v>1672.1</v>
      </c>
      <c r="J138" s="502">
        <v>0</v>
      </c>
      <c r="K138" s="502">
        <v>0</v>
      </c>
      <c r="L138" s="502">
        <v>0</v>
      </c>
      <c r="M138" s="502">
        <v>0</v>
      </c>
      <c r="N138" s="502">
        <v>0</v>
      </c>
      <c r="O138" s="502">
        <v>0</v>
      </c>
      <c r="P138" s="502">
        <v>0</v>
      </c>
      <c r="Q138" s="502">
        <v>0</v>
      </c>
      <c r="R138" s="502">
        <v>2500</v>
      </c>
      <c r="S138" s="502">
        <v>2000</v>
      </c>
      <c r="T138" s="502">
        <f>2000</f>
        <v>2000</v>
      </c>
      <c r="U138" s="502">
        <f>3000-1672.1</f>
        <v>1327.9</v>
      </c>
      <c r="V138" s="502">
        <v>0</v>
      </c>
      <c r="W138" s="502">
        <v>0</v>
      </c>
      <c r="X138" s="502"/>
      <c r="Y138" s="502"/>
      <c r="Z138" s="502">
        <f>SUM(F138:Y138)</f>
        <v>10500</v>
      </c>
      <c r="AA138" s="495"/>
      <c r="AB138" s="495"/>
      <c r="AC138" s="496">
        <f aca="true" t="shared" si="1007" ref="AC138:AC140">F138</f>
        <v>0</v>
      </c>
      <c r="AD138" s="496">
        <f aca="true" t="shared" si="1008" ref="AD138:AD140">G138</f>
        <v>1000</v>
      </c>
      <c r="AE138" s="496">
        <f aca="true" t="shared" si="1009" ref="AE138:AE140">H138</f>
        <v>0</v>
      </c>
      <c r="AF138" s="496">
        <f aca="true" t="shared" si="1010" ref="AF138:AF140">I138</f>
        <v>1672.1</v>
      </c>
      <c r="AG138" s="496">
        <f aca="true" t="shared" si="1011" ref="AG138:AG140">J138</f>
        <v>0</v>
      </c>
      <c r="AH138" s="496">
        <f aca="true" t="shared" si="1012" ref="AH138:AH140">K138</f>
        <v>0</v>
      </c>
      <c r="AI138" s="496">
        <f aca="true" t="shared" si="1013" ref="AI138:AI140">L138</f>
        <v>0</v>
      </c>
      <c r="AJ138" s="502">
        <f aca="true" t="shared" si="1014" ref="AJ138:AJ140">M138</f>
        <v>0</v>
      </c>
      <c r="AK138" s="502">
        <f>N138</f>
        <v>0</v>
      </c>
      <c r="AL138" s="496">
        <f aca="true" t="shared" si="1015" ref="AL138">O138</f>
        <v>0</v>
      </c>
      <c r="AM138" s="496">
        <f aca="true" t="shared" si="1016" ref="AM138:AM140">P138</f>
        <v>0</v>
      </c>
      <c r="AN138" s="510">
        <f aca="true" t="shared" si="1017" ref="AN138:AN140">Q138</f>
        <v>0</v>
      </c>
      <c r="AO138" s="496">
        <f aca="true" t="shared" si="1018" ref="AO138:AO140">R138</f>
        <v>2500</v>
      </c>
      <c r="AP138" s="496">
        <f aca="true" t="shared" si="1019" ref="AP138:AP140">S138</f>
        <v>2000</v>
      </c>
      <c r="AQ138" s="496">
        <f aca="true" t="shared" si="1020" ref="AQ138:AQ140">T138</f>
        <v>2000</v>
      </c>
      <c r="AR138" s="496">
        <f>U138</f>
        <v>1327.9</v>
      </c>
      <c r="AS138" s="496">
        <f aca="true" t="shared" si="1021" ref="AS138:AS140">V138</f>
        <v>0</v>
      </c>
      <c r="AT138" s="496">
        <f aca="true" t="shared" si="1022" ref="AT138:AT140">W138</f>
        <v>0</v>
      </c>
      <c r="AU138" s="496">
        <f aca="true" t="shared" si="1023" ref="AU138:AU140">X138</f>
        <v>0</v>
      </c>
      <c r="AV138" s="496"/>
      <c r="AW138" s="496"/>
      <c r="AX138" s="496">
        <f aca="true" t="shared" si="1024" ref="AX138:BL140">AC138</f>
        <v>0</v>
      </c>
      <c r="AY138" s="496">
        <f t="shared" si="1024"/>
        <v>1000</v>
      </c>
      <c r="AZ138" s="496">
        <f t="shared" si="1024"/>
        <v>0</v>
      </c>
      <c r="BA138" s="496">
        <f t="shared" si="1024"/>
        <v>1672.1</v>
      </c>
      <c r="BB138" s="496">
        <f t="shared" si="1024"/>
        <v>0</v>
      </c>
      <c r="BC138" s="496">
        <f t="shared" si="1024"/>
        <v>0</v>
      </c>
      <c r="BD138" s="496">
        <f t="shared" si="1024"/>
        <v>0</v>
      </c>
      <c r="BE138" s="496">
        <f t="shared" si="1024"/>
        <v>0</v>
      </c>
      <c r="BF138" s="496">
        <f t="shared" si="1024"/>
        <v>0</v>
      </c>
      <c r="BG138" s="496">
        <f t="shared" si="1024"/>
        <v>0</v>
      </c>
      <c r="BH138" s="496">
        <f t="shared" si="1024"/>
        <v>0</v>
      </c>
      <c r="BI138" s="496">
        <f t="shared" si="1024"/>
        <v>0</v>
      </c>
      <c r="BJ138" s="496">
        <f t="shared" si="1024"/>
        <v>2500</v>
      </c>
      <c r="BK138" s="496">
        <f t="shared" si="1024"/>
        <v>2000</v>
      </c>
      <c r="BL138" s="496">
        <f t="shared" si="1024"/>
        <v>2000</v>
      </c>
      <c r="BM138" s="496">
        <f aca="true" t="shared" si="1025" ref="BM138:BM140">AR138</f>
        <v>1327.9</v>
      </c>
      <c r="BN138" s="496">
        <f aca="true" t="shared" si="1026" ref="BN138:BN140">AS138</f>
        <v>0</v>
      </c>
      <c r="BO138" s="496">
        <f aca="true" t="shared" si="1027" ref="BO138:BO140">AT138</f>
        <v>0</v>
      </c>
      <c r="BP138" s="496">
        <f aca="true" t="shared" si="1028" ref="BP138:BQ140">AU138</f>
        <v>0</v>
      </c>
      <c r="BQ138" s="496">
        <f t="shared" si="1028"/>
        <v>0</v>
      </c>
      <c r="BR138" s="504">
        <f t="shared" si="420"/>
        <v>0</v>
      </c>
    </row>
    <row r="139" spans="1:70" s="295" customFormat="1" ht="14.45" customHeight="1">
      <c r="A139" s="493" t="s">
        <v>146</v>
      </c>
      <c r="B139" s="509"/>
      <c r="C139" s="495"/>
      <c r="D139" s="496">
        <v>3200</v>
      </c>
      <c r="E139" s="495" t="s">
        <v>263</v>
      </c>
      <c r="F139" s="500"/>
      <c r="G139" s="500">
        <v>0</v>
      </c>
      <c r="H139" s="500">
        <v>0</v>
      </c>
      <c r="I139" s="500">
        <v>0</v>
      </c>
      <c r="J139" s="497"/>
      <c r="K139" s="497"/>
      <c r="L139" s="497">
        <v>0</v>
      </c>
      <c r="M139" s="497">
        <v>0</v>
      </c>
      <c r="N139" s="497">
        <v>0</v>
      </c>
      <c r="O139" s="498">
        <v>0</v>
      </c>
      <c r="P139" s="497"/>
      <c r="Q139" s="497"/>
      <c r="R139" s="497"/>
      <c r="S139" s="499">
        <v>1</v>
      </c>
      <c r="T139" s="497"/>
      <c r="U139" s="497"/>
      <c r="V139" s="497"/>
      <c r="W139" s="497"/>
      <c r="X139" s="497"/>
      <c r="Y139" s="497"/>
      <c r="Z139" s="501">
        <f>SUM(F139:Y139)</f>
        <v>1</v>
      </c>
      <c r="AA139" s="495"/>
      <c r="AB139" s="495"/>
      <c r="AC139" s="496">
        <f aca="true" t="shared" si="1029" ref="AC139">F139*$D139</f>
        <v>0</v>
      </c>
      <c r="AD139" s="496">
        <f aca="true" t="shared" si="1030" ref="AD139">G139*$D139</f>
        <v>0</v>
      </c>
      <c r="AE139" s="496">
        <f aca="true" t="shared" si="1031" ref="AE139">H139*$D139</f>
        <v>0</v>
      </c>
      <c r="AF139" s="496">
        <f aca="true" t="shared" si="1032" ref="AF139">I139*$D139</f>
        <v>0</v>
      </c>
      <c r="AG139" s="496">
        <f aca="true" t="shared" si="1033" ref="AG139">J139*$D139</f>
        <v>0</v>
      </c>
      <c r="AH139" s="496">
        <f aca="true" t="shared" si="1034" ref="AH139">K139*$D139</f>
        <v>0</v>
      </c>
      <c r="AI139" s="496">
        <f aca="true" t="shared" si="1035" ref="AI139">L139*$D139</f>
        <v>0</v>
      </c>
      <c r="AJ139" s="496">
        <f aca="true" t="shared" si="1036" ref="AJ139">M139*$D139</f>
        <v>0</v>
      </c>
      <c r="AK139" s="502">
        <f aca="true" t="shared" si="1037" ref="AK139">N139*$D139</f>
        <v>0</v>
      </c>
      <c r="AL139" s="496">
        <f aca="true" t="shared" si="1038" ref="AL139">O139*$D139</f>
        <v>0</v>
      </c>
      <c r="AM139" s="496">
        <f aca="true" t="shared" si="1039" ref="AM139">P139*$D139</f>
        <v>0</v>
      </c>
      <c r="AN139" s="503">
        <f aca="true" t="shared" si="1040" ref="AN139">Q139*$D139</f>
        <v>0</v>
      </c>
      <c r="AO139" s="496">
        <f aca="true" t="shared" si="1041" ref="AO139">R139*$D139</f>
        <v>0</v>
      </c>
      <c r="AP139" s="496">
        <f aca="true" t="shared" si="1042" ref="AP139">S139*$D139</f>
        <v>3200</v>
      </c>
      <c r="AQ139" s="496">
        <f aca="true" t="shared" si="1043" ref="AQ139">T139*$D139</f>
        <v>0</v>
      </c>
      <c r="AR139" s="496">
        <f aca="true" t="shared" si="1044" ref="AR139">U139*$D139</f>
        <v>0</v>
      </c>
      <c r="AS139" s="496">
        <f aca="true" t="shared" si="1045" ref="AS139">V139*$D139</f>
        <v>0</v>
      </c>
      <c r="AT139" s="496">
        <f aca="true" t="shared" si="1046" ref="AT139">W139*$D139</f>
        <v>0</v>
      </c>
      <c r="AU139" s="496">
        <f aca="true" t="shared" si="1047" ref="AU139">X139*$D139</f>
        <v>0</v>
      </c>
      <c r="AV139" s="496"/>
      <c r="AW139" s="496"/>
      <c r="AX139" s="496">
        <f aca="true" t="shared" si="1048" ref="AX139:BQ139">IF(AX$3=$E139,$D139,0)</f>
        <v>0</v>
      </c>
      <c r="AY139" s="496">
        <f t="shared" si="1048"/>
        <v>0</v>
      </c>
      <c r="AZ139" s="496">
        <f t="shared" si="1048"/>
        <v>0</v>
      </c>
      <c r="BA139" s="496">
        <f t="shared" si="1048"/>
        <v>0</v>
      </c>
      <c r="BB139" s="496">
        <f t="shared" si="1048"/>
        <v>0</v>
      </c>
      <c r="BC139" s="496">
        <f t="shared" si="1048"/>
        <v>0</v>
      </c>
      <c r="BD139" s="496">
        <f t="shared" si="1048"/>
        <v>0</v>
      </c>
      <c r="BE139" s="496">
        <f t="shared" si="1048"/>
        <v>0</v>
      </c>
      <c r="BF139" s="496">
        <f t="shared" si="1048"/>
        <v>0</v>
      </c>
      <c r="BG139" s="496">
        <f t="shared" si="1048"/>
        <v>0</v>
      </c>
      <c r="BH139" s="496">
        <f t="shared" si="1048"/>
        <v>0</v>
      </c>
      <c r="BI139" s="496">
        <f t="shared" si="1048"/>
        <v>0</v>
      </c>
      <c r="BJ139" s="496">
        <f t="shared" si="1048"/>
        <v>3200</v>
      </c>
      <c r="BK139" s="496">
        <f t="shared" si="1048"/>
        <v>0</v>
      </c>
      <c r="BL139" s="496">
        <f t="shared" si="1048"/>
        <v>0</v>
      </c>
      <c r="BM139" s="496">
        <f t="shared" si="1048"/>
        <v>0</v>
      </c>
      <c r="BN139" s="496">
        <f t="shared" si="1048"/>
        <v>0</v>
      </c>
      <c r="BO139" s="496">
        <f t="shared" si="1048"/>
        <v>0</v>
      </c>
      <c r="BP139" s="496">
        <f t="shared" si="1048"/>
        <v>0</v>
      </c>
      <c r="BQ139" s="496">
        <f t="shared" si="1048"/>
        <v>0</v>
      </c>
      <c r="BR139" s="504">
        <f aca="true" t="shared" si="1049" ref="BR139">SUM(AC139:AV139)-SUM(AX139:BQ139)</f>
        <v>0</v>
      </c>
    </row>
    <row r="140" spans="1:70" ht="14.45" customHeight="1">
      <c r="A140" s="493" t="s">
        <v>144</v>
      </c>
      <c r="B140" s="509"/>
      <c r="C140" s="495"/>
      <c r="D140" s="502">
        <v>38000</v>
      </c>
      <c r="E140" s="511"/>
      <c r="F140" s="512"/>
      <c r="G140" s="512">
        <v>0</v>
      </c>
      <c r="H140" s="512">
        <v>0</v>
      </c>
      <c r="I140" s="512">
        <f>3399.77+118.74</f>
        <v>3518.5099999999998</v>
      </c>
      <c r="J140" s="512">
        <v>0</v>
      </c>
      <c r="K140" s="512">
        <v>276.14</v>
      </c>
      <c r="L140" s="512">
        <v>0</v>
      </c>
      <c r="M140" s="512">
        <f>15956.99</f>
        <v>15956.99</v>
      </c>
      <c r="N140" s="512">
        <v>4226.4</v>
      </c>
      <c r="O140" s="512">
        <v>3646.67</v>
      </c>
      <c r="P140" s="502">
        <f>134.66+27.22</f>
        <v>161.88</v>
      </c>
      <c r="Q140" s="502">
        <v>632.48</v>
      </c>
      <c r="R140" s="502">
        <v>3189.2</v>
      </c>
      <c r="S140" s="502">
        <v>12500</v>
      </c>
      <c r="T140" s="496">
        <v>1000</v>
      </c>
      <c r="U140" s="502">
        <v>391.7299999999959</v>
      </c>
      <c r="V140" s="496"/>
      <c r="W140" s="496"/>
      <c r="X140" s="496"/>
      <c r="Y140" s="496"/>
      <c r="Z140" s="502">
        <f>SUM(F140:U140)</f>
        <v>45500</v>
      </c>
      <c r="AA140" s="495"/>
      <c r="AB140" s="495"/>
      <c r="AC140" s="513">
        <f t="shared" si="1007"/>
        <v>0</v>
      </c>
      <c r="AD140" s="513">
        <f t="shared" si="1008"/>
        <v>0</v>
      </c>
      <c r="AE140" s="513">
        <f t="shared" si="1009"/>
        <v>0</v>
      </c>
      <c r="AF140" s="513">
        <f t="shared" si="1010"/>
        <v>3518.5099999999998</v>
      </c>
      <c r="AG140" s="513">
        <f t="shared" si="1011"/>
        <v>0</v>
      </c>
      <c r="AH140" s="513">
        <f t="shared" si="1012"/>
        <v>276.14</v>
      </c>
      <c r="AI140" s="513">
        <f t="shared" si="1013"/>
        <v>0</v>
      </c>
      <c r="AJ140" s="512">
        <f t="shared" si="1014"/>
        <v>15956.99</v>
      </c>
      <c r="AK140" s="512">
        <f>N140</f>
        <v>4226.4</v>
      </c>
      <c r="AL140" s="512">
        <f>O140</f>
        <v>3646.67</v>
      </c>
      <c r="AM140" s="503">
        <f t="shared" si="1016"/>
        <v>161.88</v>
      </c>
      <c r="AN140" s="510">
        <f t="shared" si="1017"/>
        <v>632.48</v>
      </c>
      <c r="AO140" s="496">
        <f t="shared" si="1018"/>
        <v>3189.2</v>
      </c>
      <c r="AP140" s="496">
        <f t="shared" si="1019"/>
        <v>12500</v>
      </c>
      <c r="AQ140" s="496">
        <f t="shared" si="1020"/>
        <v>1000</v>
      </c>
      <c r="AR140" s="496">
        <f>U140</f>
        <v>391.7299999999959</v>
      </c>
      <c r="AS140" s="496">
        <f t="shared" si="1021"/>
        <v>0</v>
      </c>
      <c r="AT140" s="496">
        <f t="shared" si="1022"/>
        <v>0</v>
      </c>
      <c r="AU140" s="496">
        <f t="shared" si="1023"/>
        <v>0</v>
      </c>
      <c r="AV140" s="496"/>
      <c r="AW140" s="496"/>
      <c r="AX140" s="503">
        <f t="shared" si="1024"/>
        <v>0</v>
      </c>
      <c r="AY140" s="510">
        <f t="shared" si="1024"/>
        <v>0</v>
      </c>
      <c r="AZ140" s="510">
        <f t="shared" si="1024"/>
        <v>0</v>
      </c>
      <c r="BA140" s="510">
        <f t="shared" si="1024"/>
        <v>3518.5099999999998</v>
      </c>
      <c r="BB140" s="510">
        <f t="shared" si="1024"/>
        <v>0</v>
      </c>
      <c r="BC140" s="510">
        <f t="shared" si="1024"/>
        <v>276.14</v>
      </c>
      <c r="BD140" s="510">
        <f t="shared" si="1024"/>
        <v>0</v>
      </c>
      <c r="BE140" s="510">
        <f t="shared" si="1024"/>
        <v>15956.99</v>
      </c>
      <c r="BF140" s="510">
        <f t="shared" si="1024"/>
        <v>4226.4</v>
      </c>
      <c r="BG140" s="510">
        <f t="shared" si="1024"/>
        <v>3646.67</v>
      </c>
      <c r="BH140" s="503">
        <f t="shared" si="1024"/>
        <v>161.88</v>
      </c>
      <c r="BI140" s="496">
        <f t="shared" si="1024"/>
        <v>632.48</v>
      </c>
      <c r="BJ140" s="496">
        <f t="shared" si="1024"/>
        <v>3189.2</v>
      </c>
      <c r="BK140" s="496">
        <f t="shared" si="1024"/>
        <v>12500</v>
      </c>
      <c r="BL140" s="496">
        <f t="shared" si="1024"/>
        <v>1000</v>
      </c>
      <c r="BM140" s="496">
        <f t="shared" si="1025"/>
        <v>391.7299999999959</v>
      </c>
      <c r="BN140" s="496">
        <f t="shared" si="1026"/>
        <v>0</v>
      </c>
      <c r="BO140" s="496">
        <f t="shared" si="1027"/>
        <v>0</v>
      </c>
      <c r="BP140" s="496">
        <f t="shared" si="1028"/>
        <v>0</v>
      </c>
      <c r="BQ140" s="496">
        <f t="shared" si="1028"/>
        <v>0</v>
      </c>
      <c r="BR140" s="504">
        <f t="shared" si="420"/>
        <v>0</v>
      </c>
    </row>
    <row r="141" spans="1:70" s="245" customFormat="1" ht="14.45" customHeight="1">
      <c r="A141" s="246"/>
      <c r="D141" s="247"/>
      <c r="H141" s="318"/>
      <c r="Z141" s="248"/>
      <c r="AC141" s="242"/>
      <c r="AD141" s="242"/>
      <c r="AE141" s="242"/>
      <c r="AF141" s="242"/>
      <c r="AG141" s="242"/>
      <c r="AH141" s="242"/>
      <c r="AI141" s="242"/>
      <c r="AJ141" s="242"/>
      <c r="AK141" s="242"/>
      <c r="AL141" s="242"/>
      <c r="AM141" s="242"/>
      <c r="AN141" s="242"/>
      <c r="AO141" s="407"/>
      <c r="AP141" s="242"/>
      <c r="AQ141" s="242"/>
      <c r="AS141" s="242"/>
      <c r="AU141" s="242"/>
      <c r="AV141" s="242"/>
      <c r="BR141" s="400">
        <f t="shared" si="420"/>
        <v>0</v>
      </c>
    </row>
    <row r="142" spans="1:70" ht="14.45" customHeight="1">
      <c r="A142" s="245"/>
      <c r="B142" s="253"/>
      <c r="C142" s="245"/>
      <c r="D142" s="252">
        <f>SUM(D4:D140)</f>
        <v>25674975.240000006</v>
      </c>
      <c r="E142" s="253"/>
      <c r="F142" s="253"/>
      <c r="G142" s="253"/>
      <c r="H142" s="318"/>
      <c r="I142" s="253"/>
      <c r="J142" s="253"/>
      <c r="K142" s="253"/>
      <c r="L142" s="253"/>
      <c r="M142" s="253"/>
      <c r="N142" s="253"/>
      <c r="O142" s="253"/>
      <c r="P142" s="253"/>
      <c r="Q142" s="253"/>
      <c r="R142" s="253"/>
      <c r="S142" s="245"/>
      <c r="T142" s="253"/>
      <c r="U142" s="337"/>
      <c r="V142" s="337"/>
      <c r="W142" s="337"/>
      <c r="X142" s="337"/>
      <c r="Y142" s="337"/>
      <c r="Z142" s="253"/>
      <c r="AA142" s="245"/>
      <c r="AB142" s="245"/>
      <c r="AC142" s="242" t="s">
        <v>104</v>
      </c>
      <c r="AD142" s="245"/>
      <c r="AE142" s="245"/>
      <c r="AF142" s="245"/>
      <c r="AG142" s="245"/>
      <c r="AH142" s="245"/>
      <c r="AI142" s="245"/>
      <c r="AJ142" s="245"/>
      <c r="AK142" s="245"/>
      <c r="AL142" s="245"/>
      <c r="AM142" s="245"/>
      <c r="AN142" s="245"/>
      <c r="AO142" s="408"/>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400">
        <f t="shared" si="420"/>
        <v>0</v>
      </c>
    </row>
    <row r="143" spans="1:70" ht="14.45" customHeight="1">
      <c r="A143" s="245"/>
      <c r="B143" s="245"/>
      <c r="C143" s="245"/>
      <c r="D143" s="252"/>
      <c r="E143" s="253"/>
      <c r="F143" s="253"/>
      <c r="G143" s="253"/>
      <c r="H143" s="318"/>
      <c r="I143" s="253"/>
      <c r="J143" s="253"/>
      <c r="K143" s="253"/>
      <c r="L143" s="253"/>
      <c r="M143" s="253"/>
      <c r="N143" s="253"/>
      <c r="O143" s="253"/>
      <c r="P143" s="253"/>
      <c r="Q143" s="253"/>
      <c r="R143" s="253"/>
      <c r="S143" s="253"/>
      <c r="T143" s="253"/>
      <c r="U143" s="253"/>
      <c r="V143" s="253"/>
      <c r="W143" s="253"/>
      <c r="X143" s="253"/>
      <c r="Y143" s="253"/>
      <c r="Z143" s="253"/>
      <c r="AA143" s="245"/>
      <c r="AB143" s="245"/>
      <c r="AC143" s="242"/>
      <c r="AD143" s="245"/>
      <c r="AE143" s="245"/>
      <c r="AF143" s="245"/>
      <c r="AG143" s="245"/>
      <c r="AH143" s="245"/>
      <c r="AI143" s="245"/>
      <c r="AJ143" s="245"/>
      <c r="AK143" s="245"/>
      <c r="AL143" s="245"/>
      <c r="AM143" s="245"/>
      <c r="AN143" s="245"/>
      <c r="AO143" s="408"/>
      <c r="AP143" s="245"/>
      <c r="AQ143" s="245"/>
      <c r="AR143" s="245"/>
      <c r="AS143" s="245"/>
      <c r="AT143" s="245"/>
      <c r="AU143" s="245"/>
      <c r="AV143" s="245"/>
      <c r="AW143" s="245"/>
      <c r="AX143" s="245"/>
      <c r="AY143" s="245"/>
      <c r="AZ143" s="245"/>
      <c r="BA143" s="245"/>
      <c r="BB143" s="245"/>
      <c r="BC143" s="245"/>
      <c r="BD143" s="245"/>
      <c r="BE143" s="245"/>
      <c r="BF143" s="245"/>
      <c r="BG143" s="245"/>
      <c r="BH143" s="245"/>
      <c r="BI143" s="245"/>
      <c r="BJ143" s="245"/>
      <c r="BK143" s="245"/>
      <c r="BL143" s="245"/>
      <c r="BM143" s="245"/>
      <c r="BN143" s="245"/>
      <c r="BO143" s="245"/>
      <c r="BP143" s="245"/>
      <c r="BQ143" s="245"/>
      <c r="BR143" s="400">
        <f t="shared" si="420"/>
        <v>0</v>
      </c>
    </row>
    <row r="144" spans="1:70" ht="14.45" customHeight="1">
      <c r="A144" s="514" t="s">
        <v>128</v>
      </c>
      <c r="B144" s="562"/>
      <c r="C144" s="562"/>
      <c r="D144" s="515">
        <f>SUMIF($A$4:$A$141,"="&amp;A144,$D$4:$D$141)</f>
        <v>7593016.09</v>
      </c>
      <c r="E144" s="245"/>
      <c r="F144" s="245"/>
      <c r="G144" s="245"/>
      <c r="H144" s="318"/>
      <c r="I144" s="245"/>
      <c r="J144" s="245"/>
      <c r="K144" s="245"/>
      <c r="L144" s="245"/>
      <c r="M144" s="245"/>
      <c r="N144" s="245"/>
      <c r="O144" s="245"/>
      <c r="P144" s="245"/>
      <c r="Q144" s="245"/>
      <c r="R144" s="245"/>
      <c r="S144" s="242"/>
      <c r="T144" s="245"/>
      <c r="U144" s="245"/>
      <c r="V144" s="245"/>
      <c r="W144" s="245"/>
      <c r="X144" s="245"/>
      <c r="Y144" s="245"/>
      <c r="Z144" s="245"/>
      <c r="AA144" s="245"/>
      <c r="AB144" s="245"/>
      <c r="AC144" s="245"/>
      <c r="AD144" s="245"/>
      <c r="AE144" s="245"/>
      <c r="AF144" s="245"/>
      <c r="AG144" s="245"/>
      <c r="AH144" s="245"/>
      <c r="AI144" s="245"/>
      <c r="AJ144" s="245"/>
      <c r="AK144" s="245"/>
      <c r="AL144" s="245"/>
      <c r="AM144" s="245"/>
      <c r="AN144" s="245"/>
      <c r="AO144" s="408"/>
      <c r="AP144" s="245"/>
      <c r="AQ144" s="245"/>
      <c r="AR144" s="245"/>
      <c r="AS144" s="245"/>
      <c r="AT144" s="245"/>
      <c r="AU144" s="245"/>
      <c r="AV144" s="245"/>
      <c r="AW144" s="245"/>
      <c r="AX144" s="245"/>
      <c r="AY144" s="245"/>
      <c r="AZ144" s="245"/>
      <c r="BA144" s="245"/>
      <c r="BB144" s="245"/>
      <c r="BC144" s="245"/>
      <c r="BD144" s="245"/>
      <c r="BE144" s="245"/>
      <c r="BF144" s="245"/>
      <c r="BG144" s="245"/>
      <c r="BH144" s="245"/>
      <c r="BI144" s="245"/>
      <c r="BJ144" s="245"/>
      <c r="BK144" s="245"/>
      <c r="BL144" s="245"/>
      <c r="BM144" s="245"/>
      <c r="BN144" s="245"/>
      <c r="BO144" s="245"/>
      <c r="BP144" s="245"/>
      <c r="BQ144" s="245"/>
      <c r="BR144" s="400">
        <f t="shared" si="420"/>
        <v>0</v>
      </c>
    </row>
    <row r="145" spans="1:70" ht="14.45" customHeight="1">
      <c r="A145" s="514" t="s">
        <v>129</v>
      </c>
      <c r="B145" s="562"/>
      <c r="C145" s="562"/>
      <c r="D145" s="515">
        <f>SUMIF($A$4:$A$141,"="&amp;A145,$D$4:$D$141)</f>
        <v>4390617.65</v>
      </c>
      <c r="E145" s="245"/>
      <c r="F145" s="245"/>
      <c r="G145" s="245"/>
      <c r="H145" s="318"/>
      <c r="I145" s="245"/>
      <c r="J145" s="245"/>
      <c r="K145" s="245"/>
      <c r="L145" s="245"/>
      <c r="M145" s="245"/>
      <c r="N145" s="245"/>
      <c r="O145" s="245"/>
      <c r="P145" s="245"/>
      <c r="Q145" s="245"/>
      <c r="R145" s="245"/>
      <c r="S145" s="245"/>
      <c r="T145" s="245"/>
      <c r="U145" s="245"/>
      <c r="V145" s="245"/>
      <c r="W145" s="245"/>
      <c r="X145" s="245"/>
      <c r="Y145" s="245"/>
      <c r="Z145" s="245"/>
      <c r="AA145" s="245"/>
      <c r="AB145" s="245"/>
      <c r="AC145" s="245"/>
      <c r="AD145" s="245"/>
      <c r="AE145" s="245"/>
      <c r="AF145" s="245"/>
      <c r="AG145" s="245"/>
      <c r="AH145" s="245"/>
      <c r="AI145" s="245"/>
      <c r="AJ145" s="245"/>
      <c r="AK145" s="245"/>
      <c r="AL145" s="245"/>
      <c r="AM145" s="245"/>
      <c r="AN145" s="245"/>
      <c r="AO145" s="408"/>
      <c r="AP145" s="245"/>
      <c r="AQ145" s="245"/>
      <c r="AR145" s="245"/>
      <c r="AS145" s="245"/>
      <c r="AT145" s="245"/>
      <c r="AU145" s="245"/>
      <c r="AV145" s="245"/>
      <c r="AW145" s="245"/>
      <c r="AX145" s="245"/>
      <c r="AY145" s="245"/>
      <c r="AZ145" s="245"/>
      <c r="BA145" s="245"/>
      <c r="BB145" s="245"/>
      <c r="BC145" s="245"/>
      <c r="BD145" s="245"/>
      <c r="BE145" s="245"/>
      <c r="BF145" s="245"/>
      <c r="BG145" s="245"/>
      <c r="BH145" s="245"/>
      <c r="BI145" s="245"/>
      <c r="BJ145" s="245"/>
      <c r="BK145" s="245"/>
      <c r="BL145" s="245"/>
      <c r="BM145" s="245"/>
      <c r="BN145" s="245"/>
      <c r="BO145" s="245"/>
      <c r="BP145" s="245"/>
      <c r="BQ145" s="245"/>
      <c r="BR145" s="400">
        <f t="shared" si="420"/>
        <v>0</v>
      </c>
    </row>
    <row r="146" spans="1:70" ht="14.45" customHeight="1">
      <c r="A146" s="514" t="s">
        <v>131</v>
      </c>
      <c r="B146" s="562"/>
      <c r="C146" s="562"/>
      <c r="D146" s="515">
        <f>SUMIF($A$4:$A$141,"="&amp;A146,$D$4:$D$141)</f>
        <v>4280063.3525</v>
      </c>
      <c r="E146" s="245"/>
      <c r="F146" s="245"/>
      <c r="G146" s="245"/>
      <c r="H146" s="318"/>
      <c r="I146" s="245"/>
      <c r="J146" s="245"/>
      <c r="K146" s="245"/>
      <c r="L146" s="245"/>
      <c r="M146" s="245"/>
      <c r="N146" s="245"/>
      <c r="O146" s="245"/>
      <c r="P146" s="245"/>
      <c r="Q146" s="245"/>
      <c r="R146" s="245"/>
      <c r="S146" s="245"/>
      <c r="T146" s="242"/>
      <c r="U146" s="245"/>
      <c r="V146" s="245"/>
      <c r="W146" s="245"/>
      <c r="X146" s="245"/>
      <c r="Y146" s="245"/>
      <c r="Z146" s="245"/>
      <c r="AA146" s="245"/>
      <c r="AB146" s="245"/>
      <c r="AC146" s="372"/>
      <c r="AD146" s="372"/>
      <c r="AE146" s="372"/>
      <c r="AF146" s="372"/>
      <c r="AG146" s="372"/>
      <c r="AH146" s="372"/>
      <c r="AI146" s="372"/>
      <c r="AJ146" s="372"/>
      <c r="AK146" s="372"/>
      <c r="AL146" s="372"/>
      <c r="AM146" s="372"/>
      <c r="AN146" s="372"/>
      <c r="AO146" s="409"/>
      <c r="AP146" s="372"/>
      <c r="AQ146" s="372"/>
      <c r="AR146" s="372"/>
      <c r="AS146" s="372"/>
      <c r="AT146" s="372"/>
      <c r="AU146" s="372"/>
      <c r="AV146" s="245"/>
      <c r="AW146" s="245"/>
      <c r="AX146" s="245"/>
      <c r="AY146" s="245"/>
      <c r="AZ146" s="245"/>
      <c r="BA146" s="245"/>
      <c r="BB146" s="245"/>
      <c r="BC146" s="245"/>
      <c r="BD146" s="245"/>
      <c r="BE146" s="245"/>
      <c r="BF146" s="245"/>
      <c r="BG146" s="245"/>
      <c r="BH146" s="245"/>
      <c r="BI146" s="245"/>
      <c r="BJ146" s="245"/>
      <c r="BK146" s="245"/>
      <c r="BL146" s="245"/>
      <c r="BM146" s="245"/>
      <c r="BN146" s="245"/>
      <c r="BO146" s="245"/>
      <c r="BP146" s="245"/>
      <c r="BQ146" s="245"/>
      <c r="BR146" s="400">
        <f t="shared" si="420"/>
        <v>0</v>
      </c>
    </row>
    <row r="147" spans="1:70" ht="14.45" customHeight="1">
      <c r="A147" s="514" t="s">
        <v>132</v>
      </c>
      <c r="B147" s="562"/>
      <c r="C147" s="562"/>
      <c r="D147" s="515">
        <f>SUMIF($A$4:$A$141,"="&amp;A147,$D$4:$D$141)</f>
        <v>2772876.18</v>
      </c>
      <c r="E147" s="245"/>
      <c r="F147" s="245"/>
      <c r="G147" s="245"/>
      <c r="H147" s="318"/>
      <c r="I147" s="245"/>
      <c r="J147" s="245"/>
      <c r="K147" s="245"/>
      <c r="L147" s="245"/>
      <c r="M147" s="245"/>
      <c r="N147" s="245"/>
      <c r="O147" s="245"/>
      <c r="P147" s="245"/>
      <c r="Q147" s="245"/>
      <c r="R147" s="245"/>
      <c r="S147" s="245"/>
      <c r="T147" s="242"/>
      <c r="U147" s="245"/>
      <c r="V147" s="245"/>
      <c r="W147" s="245"/>
      <c r="X147" s="245"/>
      <c r="Y147" s="245"/>
      <c r="Z147" s="245"/>
      <c r="AA147" s="245"/>
      <c r="AB147" s="245"/>
      <c r="AC147" s="245"/>
      <c r="AD147" s="245"/>
      <c r="AE147" s="245"/>
      <c r="AF147" s="245"/>
      <c r="AG147" s="245"/>
      <c r="AH147" s="245"/>
      <c r="AI147" s="245"/>
      <c r="AJ147" s="245"/>
      <c r="AK147" s="245"/>
      <c r="AL147" s="245"/>
      <c r="AM147" s="245"/>
      <c r="AN147" s="245"/>
      <c r="AO147" s="408"/>
      <c r="AP147" s="245"/>
      <c r="AQ147" s="245"/>
      <c r="AR147" s="245"/>
      <c r="AS147" s="245"/>
      <c r="AT147" s="245"/>
      <c r="AU147" s="245"/>
      <c r="AV147" s="245"/>
      <c r="AW147" s="245"/>
      <c r="AX147" s="245"/>
      <c r="AY147" s="245"/>
      <c r="AZ147" s="245"/>
      <c r="BA147" s="245"/>
      <c r="BB147" s="245"/>
      <c r="BC147" s="245"/>
      <c r="BD147" s="245"/>
      <c r="BE147" s="245"/>
      <c r="BF147" s="245"/>
      <c r="BG147" s="245"/>
      <c r="BH147" s="245"/>
      <c r="BI147" s="245"/>
      <c r="BJ147" s="245"/>
      <c r="BK147" s="245"/>
      <c r="BL147" s="245"/>
      <c r="BM147" s="245"/>
      <c r="BN147" s="245"/>
      <c r="BO147" s="245"/>
      <c r="BP147" s="245"/>
      <c r="BQ147" s="245"/>
      <c r="BR147" s="400">
        <f t="shared" si="420"/>
        <v>0</v>
      </c>
    </row>
    <row r="148" spans="1:70" ht="14.45" customHeight="1">
      <c r="A148" s="514" t="s">
        <v>133</v>
      </c>
      <c r="B148" s="562"/>
      <c r="C148" s="562"/>
      <c r="D148" s="515">
        <f>SUMIF($A$4:$A$141,"="&amp;A148,$D$4:$D$141)</f>
        <v>304997.855</v>
      </c>
      <c r="E148" s="245"/>
      <c r="F148" s="245"/>
      <c r="G148" s="245"/>
      <c r="H148" s="318"/>
      <c r="I148" s="245"/>
      <c r="J148" s="245"/>
      <c r="K148" s="245"/>
      <c r="L148" s="245"/>
      <c r="M148" s="245"/>
      <c r="N148" s="245"/>
      <c r="O148" s="245"/>
      <c r="P148" s="245"/>
      <c r="Q148" s="245"/>
      <c r="R148" s="245"/>
      <c r="S148" s="245"/>
      <c r="T148" s="245"/>
      <c r="U148" s="245"/>
      <c r="V148" s="245"/>
      <c r="W148" s="245"/>
      <c r="X148" s="245"/>
      <c r="Y148" s="245"/>
      <c r="Z148" s="245"/>
      <c r="AA148" s="245"/>
      <c r="AB148" s="245"/>
      <c r="AC148" s="245"/>
      <c r="AD148" s="245"/>
      <c r="AE148" s="245"/>
      <c r="AF148" s="245"/>
      <c r="AG148" s="245"/>
      <c r="AH148" s="245"/>
      <c r="AI148" s="245"/>
      <c r="AJ148" s="245"/>
      <c r="AK148" s="245"/>
      <c r="AL148" s="245"/>
      <c r="AM148" s="245"/>
      <c r="AN148" s="245"/>
      <c r="AO148" s="408"/>
      <c r="AP148" s="245"/>
      <c r="AQ148" s="245"/>
      <c r="AR148" s="245"/>
      <c r="AS148" s="245"/>
      <c r="AT148" s="245"/>
      <c r="AU148" s="245"/>
      <c r="AV148" s="245"/>
      <c r="AW148" s="245"/>
      <c r="AX148" s="245"/>
      <c r="AY148" s="245"/>
      <c r="AZ148" s="245"/>
      <c r="BA148" s="245"/>
      <c r="BB148" s="245"/>
      <c r="BC148" s="245"/>
      <c r="BD148" s="245"/>
      <c r="BE148" s="245"/>
      <c r="BF148" s="245"/>
      <c r="BG148" s="245"/>
      <c r="BH148" s="245"/>
      <c r="BI148" s="245"/>
      <c r="BJ148" s="245"/>
      <c r="BK148" s="245"/>
      <c r="BL148" s="245"/>
      <c r="BM148" s="245"/>
      <c r="BN148" s="245"/>
      <c r="BO148" s="245"/>
      <c r="BP148" s="245"/>
      <c r="BQ148" s="245"/>
      <c r="BR148" s="400">
        <f t="shared" si="420"/>
        <v>0</v>
      </c>
    </row>
    <row r="149" spans="1:70" s="295" customFormat="1" ht="14.45" customHeight="1">
      <c r="A149" s="245"/>
      <c r="B149" s="401"/>
      <c r="C149" s="401"/>
      <c r="D149" s="402">
        <f>SUM(D144:D148)</f>
        <v>19341571.1275</v>
      </c>
      <c r="E149" s="332">
        <f>'QFR - B'!H14</f>
        <v>19346000</v>
      </c>
      <c r="F149" s="242">
        <f>E149-D149</f>
        <v>4428.872499998659</v>
      </c>
      <c r="G149" s="245"/>
      <c r="H149" s="318"/>
      <c r="I149" s="245"/>
      <c r="J149" s="245"/>
      <c r="K149" s="245"/>
      <c r="L149" s="245"/>
      <c r="M149" s="245"/>
      <c r="N149" s="245"/>
      <c r="O149" s="245"/>
      <c r="P149" s="245"/>
      <c r="Q149" s="245"/>
      <c r="R149" s="245"/>
      <c r="S149" s="245"/>
      <c r="T149" s="245"/>
      <c r="U149" s="245"/>
      <c r="V149" s="245"/>
      <c r="W149" s="245"/>
      <c r="X149" s="245"/>
      <c r="Y149" s="245"/>
      <c r="Z149" s="245"/>
      <c r="AA149" s="245"/>
      <c r="AB149" s="245"/>
      <c r="AC149" s="245"/>
      <c r="AD149" s="245"/>
      <c r="AE149" s="245"/>
      <c r="AF149" s="245"/>
      <c r="AG149" s="245"/>
      <c r="AH149" s="245"/>
      <c r="AI149" s="245"/>
      <c r="AJ149" s="245"/>
      <c r="AK149" s="245"/>
      <c r="AL149" s="245"/>
      <c r="AM149" s="245"/>
      <c r="AN149" s="245"/>
      <c r="AO149" s="408"/>
      <c r="AP149" s="245"/>
      <c r="AQ149" s="245"/>
      <c r="AR149" s="245"/>
      <c r="AS149" s="245"/>
      <c r="AT149" s="245"/>
      <c r="AU149" s="245"/>
      <c r="AV149" s="245"/>
      <c r="AW149" s="245"/>
      <c r="AX149" s="245"/>
      <c r="AY149" s="245"/>
      <c r="AZ149" s="245"/>
      <c r="BA149" s="245"/>
      <c r="BB149" s="245"/>
      <c r="BC149" s="245"/>
      <c r="BD149" s="245"/>
      <c r="BE149" s="245"/>
      <c r="BF149" s="245"/>
      <c r="BG149" s="245"/>
      <c r="BH149" s="245"/>
      <c r="BI149" s="245"/>
      <c r="BJ149" s="245"/>
      <c r="BK149" s="245"/>
      <c r="BL149" s="245"/>
      <c r="BM149" s="245"/>
      <c r="BN149" s="245"/>
      <c r="BO149" s="245"/>
      <c r="BP149" s="245"/>
      <c r="BQ149" s="245"/>
      <c r="BR149" s="400">
        <f t="shared" si="420"/>
        <v>0</v>
      </c>
    </row>
    <row r="150" spans="1:70" ht="15" customHeight="1">
      <c r="A150" s="514" t="s">
        <v>135</v>
      </c>
      <c r="B150" s="562"/>
      <c r="C150" s="562"/>
      <c r="D150" s="515">
        <f>SUMIF($A$4:$A$141,"="&amp;A150,$D$4:$D$141)</f>
        <v>744609.34</v>
      </c>
      <c r="E150" s="245"/>
      <c r="F150" s="245"/>
      <c r="G150" s="245"/>
      <c r="H150" s="318"/>
      <c r="I150" s="245"/>
      <c r="J150" s="245"/>
      <c r="K150" s="245"/>
      <c r="L150" s="245"/>
      <c r="M150" s="245"/>
      <c r="N150" s="245"/>
      <c r="O150" s="245"/>
      <c r="P150" s="245"/>
      <c r="Q150" s="245"/>
      <c r="R150" s="245"/>
      <c r="S150" s="245"/>
      <c r="T150" s="245"/>
      <c r="U150" s="245"/>
      <c r="V150" s="245"/>
      <c r="W150" s="245"/>
      <c r="X150" s="245"/>
      <c r="Y150" s="245"/>
      <c r="Z150" s="245"/>
      <c r="AA150" s="245"/>
      <c r="AB150" s="245"/>
      <c r="AC150" s="245"/>
      <c r="AD150" s="245"/>
      <c r="AE150" s="245"/>
      <c r="AF150" s="245"/>
      <c r="AG150" s="245"/>
      <c r="AH150" s="245"/>
      <c r="AI150" s="245"/>
      <c r="AJ150" s="245"/>
      <c r="AK150" s="245"/>
      <c r="AL150" s="245"/>
      <c r="AM150" s="245"/>
      <c r="AN150" s="245"/>
      <c r="AO150" s="408"/>
      <c r="AP150" s="245"/>
      <c r="AQ150" s="245"/>
      <c r="AR150" s="245"/>
      <c r="AS150" s="245"/>
      <c r="AT150" s="245"/>
      <c r="AU150" s="245"/>
      <c r="AV150" s="245"/>
      <c r="AW150" s="245"/>
      <c r="AX150" s="245"/>
      <c r="AY150" s="245"/>
      <c r="AZ150" s="245"/>
      <c r="BA150" s="245"/>
      <c r="BB150" s="245"/>
      <c r="BC150" s="245"/>
      <c r="BD150" s="245"/>
      <c r="BE150" s="245"/>
      <c r="BF150" s="245"/>
      <c r="BG150" s="245"/>
      <c r="BH150" s="245"/>
      <c r="BI150" s="245"/>
      <c r="BJ150" s="245"/>
      <c r="BK150" s="245"/>
      <c r="BL150" s="245"/>
      <c r="BM150" s="245"/>
      <c r="BN150" s="245"/>
      <c r="BO150" s="245"/>
      <c r="BP150" s="245"/>
      <c r="BQ150" s="245"/>
      <c r="BR150" s="400">
        <f aca="true" t="shared" si="1050" ref="BR150:BR166">SUM(AC150:AV150)-SUM(AX150:BQ150)</f>
        <v>0</v>
      </c>
    </row>
    <row r="151" spans="1:70" s="295" customFormat="1" ht="14.45" customHeight="1">
      <c r="A151" s="245"/>
      <c r="B151" s="401"/>
      <c r="C151" s="401"/>
      <c r="D151" s="403">
        <f>D150</f>
        <v>744609.34</v>
      </c>
      <c r="E151" s="332">
        <f>'QFR - B'!H20</f>
        <v>800000</v>
      </c>
      <c r="F151" s="242">
        <f>E151-D151</f>
        <v>55390.66000000003</v>
      </c>
      <c r="G151" s="245"/>
      <c r="H151" s="318"/>
      <c r="I151" s="245"/>
      <c r="J151" s="245"/>
      <c r="K151" s="245"/>
      <c r="L151" s="245"/>
      <c r="M151" s="245"/>
      <c r="N151" s="245"/>
      <c r="O151" s="245"/>
      <c r="P151" s="245"/>
      <c r="Q151" s="245"/>
      <c r="R151" s="245"/>
      <c r="S151" s="245"/>
      <c r="T151" s="245"/>
      <c r="U151" s="245"/>
      <c r="V151" s="245"/>
      <c r="W151" s="245"/>
      <c r="X151" s="245"/>
      <c r="Y151" s="245"/>
      <c r="Z151" s="245"/>
      <c r="AA151" s="245"/>
      <c r="AB151" s="245"/>
      <c r="AC151" s="245"/>
      <c r="AD151" s="245"/>
      <c r="AE151" s="245"/>
      <c r="AF151" s="245"/>
      <c r="AG151" s="245"/>
      <c r="AH151" s="245"/>
      <c r="AI151" s="245"/>
      <c r="AJ151" s="245"/>
      <c r="AK151" s="245"/>
      <c r="AL151" s="245"/>
      <c r="AM151" s="245"/>
      <c r="AN151" s="245"/>
      <c r="AO151" s="408"/>
      <c r="AP151" s="245"/>
      <c r="AQ151" s="245"/>
      <c r="AR151" s="245"/>
      <c r="AS151" s="245"/>
      <c r="AT151" s="245"/>
      <c r="AU151" s="245"/>
      <c r="AV151" s="245"/>
      <c r="AW151" s="245"/>
      <c r="AX151" s="245"/>
      <c r="AY151" s="245"/>
      <c r="AZ151" s="245"/>
      <c r="BA151" s="245"/>
      <c r="BB151" s="245"/>
      <c r="BC151" s="245"/>
      <c r="BD151" s="245"/>
      <c r="BE151" s="245"/>
      <c r="BF151" s="245"/>
      <c r="BG151" s="245"/>
      <c r="BH151" s="245"/>
      <c r="BI151" s="245"/>
      <c r="BJ151" s="245"/>
      <c r="BK151" s="245"/>
      <c r="BL151" s="245"/>
      <c r="BM151" s="245"/>
      <c r="BN151" s="245"/>
      <c r="BO151" s="245"/>
      <c r="BP151" s="245"/>
      <c r="BQ151" s="245"/>
      <c r="BR151" s="400">
        <f t="shared" si="1050"/>
        <v>0</v>
      </c>
    </row>
    <row r="152" spans="1:70" ht="14.45" customHeight="1">
      <c r="A152" s="514" t="s">
        <v>136</v>
      </c>
      <c r="B152" s="562"/>
      <c r="C152" s="562"/>
      <c r="D152" s="516">
        <f>SUMIF($A$4:$A$141,"="&amp;A152,$D$4:$D$141)</f>
        <v>699097.67</v>
      </c>
      <c r="E152" s="245"/>
      <c r="F152" s="245"/>
      <c r="G152" s="245"/>
      <c r="H152" s="318"/>
      <c r="I152" s="245"/>
      <c r="J152" s="245"/>
      <c r="K152" s="245"/>
      <c r="L152" s="245"/>
      <c r="M152" s="245"/>
      <c r="N152" s="245"/>
      <c r="O152" s="245"/>
      <c r="P152" s="245"/>
      <c r="Q152" s="245"/>
      <c r="R152" s="245"/>
      <c r="S152" s="245"/>
      <c r="T152" s="245"/>
      <c r="U152" s="245"/>
      <c r="V152" s="245"/>
      <c r="W152" s="245"/>
      <c r="X152" s="245"/>
      <c r="Y152" s="245"/>
      <c r="Z152" s="245"/>
      <c r="AA152" s="245"/>
      <c r="AB152" s="245"/>
      <c r="AC152" s="245"/>
      <c r="AD152" s="245"/>
      <c r="AE152" s="245"/>
      <c r="AF152" s="245"/>
      <c r="AG152" s="245"/>
      <c r="AH152" s="245"/>
      <c r="AI152" s="245"/>
      <c r="AJ152" s="245"/>
      <c r="AK152" s="245"/>
      <c r="AL152" s="372"/>
      <c r="AM152" s="245"/>
      <c r="AN152" s="245"/>
      <c r="AO152" s="408"/>
      <c r="AP152" s="245"/>
      <c r="AQ152" s="245"/>
      <c r="AR152" s="245"/>
      <c r="AS152" s="245"/>
      <c r="AT152" s="245"/>
      <c r="AU152" s="245"/>
      <c r="AV152" s="245"/>
      <c r="AW152" s="245"/>
      <c r="AX152" s="245"/>
      <c r="AY152" s="245"/>
      <c r="AZ152" s="245"/>
      <c r="BA152" s="245"/>
      <c r="BB152" s="245"/>
      <c r="BC152" s="245"/>
      <c r="BD152" s="245"/>
      <c r="BE152" s="245"/>
      <c r="BF152" s="245"/>
      <c r="BG152" s="245"/>
      <c r="BH152" s="245"/>
      <c r="BI152" s="245"/>
      <c r="BJ152" s="245"/>
      <c r="BK152" s="245"/>
      <c r="BL152" s="245"/>
      <c r="BM152" s="245"/>
      <c r="BN152" s="245"/>
      <c r="BO152" s="245"/>
      <c r="BP152" s="245"/>
      <c r="BQ152" s="245"/>
      <c r="BR152" s="400">
        <f t="shared" si="1050"/>
        <v>0</v>
      </c>
    </row>
    <row r="153" spans="1:70" ht="14.45" customHeight="1">
      <c r="A153" s="514" t="s">
        <v>137</v>
      </c>
      <c r="B153" s="562"/>
      <c r="C153" s="562"/>
      <c r="D153" s="516">
        <f>SUMIF($A$4:$A$141,"="&amp;A153,$D$4:$D$141)</f>
        <v>2330229</v>
      </c>
      <c r="E153" s="245"/>
      <c r="F153" s="245"/>
      <c r="G153" s="245"/>
      <c r="H153" s="318"/>
      <c r="I153" s="245"/>
      <c r="J153" s="245"/>
      <c r="K153" s="245"/>
      <c r="L153" s="245"/>
      <c r="M153" s="245"/>
      <c r="N153" s="245"/>
      <c r="O153" s="245"/>
      <c r="P153" s="245"/>
      <c r="Q153" s="245"/>
      <c r="R153" s="245"/>
      <c r="S153" s="245"/>
      <c r="T153" s="245"/>
      <c r="U153" s="245"/>
      <c r="V153" s="245"/>
      <c r="W153" s="245"/>
      <c r="X153" s="245"/>
      <c r="Y153" s="245"/>
      <c r="Z153" s="245"/>
      <c r="AA153" s="245"/>
      <c r="AB153" s="245"/>
      <c r="AC153" s="245"/>
      <c r="AD153" s="245"/>
      <c r="AE153" s="245"/>
      <c r="AF153" s="245"/>
      <c r="AG153" s="245"/>
      <c r="AH153" s="245"/>
      <c r="AI153" s="245"/>
      <c r="AJ153" s="245"/>
      <c r="AK153" s="245"/>
      <c r="AL153" s="245"/>
      <c r="AM153" s="245"/>
      <c r="AN153" s="245"/>
      <c r="AO153" s="408"/>
      <c r="AP153" s="245"/>
      <c r="AQ153" s="245"/>
      <c r="AR153" s="245"/>
      <c r="AS153" s="245"/>
      <c r="AT153" s="245"/>
      <c r="AU153" s="245"/>
      <c r="AV153" s="245"/>
      <c r="AW153" s="245"/>
      <c r="AX153" s="245"/>
      <c r="AY153" s="245"/>
      <c r="AZ153" s="245"/>
      <c r="BA153" s="245"/>
      <c r="BB153" s="245"/>
      <c r="BC153" s="245"/>
      <c r="BD153" s="245"/>
      <c r="BE153" s="245"/>
      <c r="BF153" s="245"/>
      <c r="BG153" s="245"/>
      <c r="BH153" s="245"/>
      <c r="BI153" s="245"/>
      <c r="BJ153" s="245"/>
      <c r="BK153" s="245"/>
      <c r="BL153" s="245"/>
      <c r="BM153" s="245"/>
      <c r="BN153" s="245"/>
      <c r="BO153" s="245"/>
      <c r="BP153" s="245"/>
      <c r="BQ153" s="245"/>
      <c r="BR153" s="400">
        <f t="shared" si="1050"/>
        <v>0</v>
      </c>
    </row>
    <row r="154" spans="1:70" s="295" customFormat="1" ht="14.45" customHeight="1">
      <c r="A154" s="245"/>
      <c r="B154" s="401"/>
      <c r="C154" s="401"/>
      <c r="D154" s="403">
        <f>SUM(D152:D153)</f>
        <v>3029326.67</v>
      </c>
      <c r="E154" s="332">
        <f>'QFR - B'!H21</f>
        <v>3560000</v>
      </c>
      <c r="F154" s="242">
        <f>E154-D154</f>
        <v>530673.3300000001</v>
      </c>
      <c r="G154" s="245"/>
      <c r="H154" s="318"/>
      <c r="I154" s="245"/>
      <c r="J154" s="245"/>
      <c r="K154" s="245"/>
      <c r="L154" s="245"/>
      <c r="M154" s="245"/>
      <c r="N154" s="245"/>
      <c r="O154" s="245"/>
      <c r="P154" s="245"/>
      <c r="Q154" s="245"/>
      <c r="R154" s="245"/>
      <c r="S154" s="245"/>
      <c r="T154" s="245"/>
      <c r="U154" s="245"/>
      <c r="V154" s="245"/>
      <c r="W154" s="245"/>
      <c r="X154" s="245"/>
      <c r="Y154" s="245"/>
      <c r="Z154" s="245"/>
      <c r="AA154" s="245"/>
      <c r="AB154" s="245"/>
      <c r="AC154" s="245"/>
      <c r="AD154" s="245"/>
      <c r="AE154" s="245"/>
      <c r="AF154" s="245"/>
      <c r="AG154" s="245"/>
      <c r="AH154" s="245"/>
      <c r="AI154" s="245"/>
      <c r="AJ154" s="245"/>
      <c r="AK154" s="245"/>
      <c r="AL154" s="245"/>
      <c r="AM154" s="245"/>
      <c r="AN154" s="245"/>
      <c r="AO154" s="408"/>
      <c r="AP154" s="245"/>
      <c r="AQ154" s="245"/>
      <c r="AR154" s="245"/>
      <c r="AS154" s="245"/>
      <c r="AT154" s="245"/>
      <c r="AU154" s="245"/>
      <c r="AV154" s="245"/>
      <c r="AW154" s="245"/>
      <c r="AX154" s="245"/>
      <c r="AY154" s="245"/>
      <c r="AZ154" s="245"/>
      <c r="BA154" s="245"/>
      <c r="BB154" s="245"/>
      <c r="BC154" s="245"/>
      <c r="BD154" s="245"/>
      <c r="BE154" s="245"/>
      <c r="BF154" s="245"/>
      <c r="BG154" s="245"/>
      <c r="BH154" s="245"/>
      <c r="BI154" s="245"/>
      <c r="BJ154" s="245"/>
      <c r="BK154" s="245"/>
      <c r="BL154" s="245"/>
      <c r="BM154" s="245"/>
      <c r="BN154" s="245"/>
      <c r="BO154" s="245"/>
      <c r="BP154" s="245"/>
      <c r="BQ154" s="245"/>
      <c r="BR154" s="400">
        <f t="shared" si="1050"/>
        <v>0</v>
      </c>
    </row>
    <row r="155" spans="1:70" ht="14.45" customHeight="1">
      <c r="A155" s="514" t="s">
        <v>139</v>
      </c>
      <c r="B155" s="562"/>
      <c r="C155" s="562"/>
      <c r="D155" s="516">
        <f>SUMIF($A$4:$A$141,"="&amp;A155,$D$4:$D$141)</f>
        <v>765449.7</v>
      </c>
      <c r="E155" s="245"/>
      <c r="F155" s="245"/>
      <c r="G155" s="245"/>
      <c r="H155" s="318"/>
      <c r="I155" s="245"/>
      <c r="J155" s="245"/>
      <c r="K155" s="245"/>
      <c r="L155" s="245"/>
      <c r="M155" s="245"/>
      <c r="N155" s="245"/>
      <c r="O155" s="245"/>
      <c r="P155" s="245"/>
      <c r="Q155" s="245"/>
      <c r="R155" s="245"/>
      <c r="S155" s="245"/>
      <c r="T155" s="245"/>
      <c r="U155" s="245"/>
      <c r="V155" s="245"/>
      <c r="W155" s="245"/>
      <c r="X155" s="245"/>
      <c r="Y155" s="245"/>
      <c r="Z155" s="245"/>
      <c r="AA155" s="245"/>
      <c r="AB155" s="245"/>
      <c r="AC155" s="245"/>
      <c r="AD155" s="245"/>
      <c r="AE155" s="245"/>
      <c r="AF155" s="245"/>
      <c r="AG155" s="245"/>
      <c r="AH155" s="372"/>
      <c r="AI155" s="245"/>
      <c r="AJ155" s="245"/>
      <c r="AK155" s="245"/>
      <c r="AL155" s="245"/>
      <c r="AM155" s="245"/>
      <c r="AN155" s="245"/>
      <c r="AO155" s="408"/>
      <c r="AP155" s="245"/>
      <c r="AQ155" s="245"/>
      <c r="AR155" s="245"/>
      <c r="AS155" s="245"/>
      <c r="AT155" s="245"/>
      <c r="AU155" s="245"/>
      <c r="AV155" s="245"/>
      <c r="AW155" s="245"/>
      <c r="AX155" s="245"/>
      <c r="AY155" s="245"/>
      <c r="AZ155" s="245"/>
      <c r="BA155" s="245"/>
      <c r="BB155" s="245"/>
      <c r="BC155" s="245"/>
      <c r="BD155" s="245"/>
      <c r="BE155" s="245"/>
      <c r="BF155" s="245"/>
      <c r="BG155" s="245"/>
      <c r="BH155" s="245"/>
      <c r="BI155" s="245"/>
      <c r="BJ155" s="245"/>
      <c r="BK155" s="245"/>
      <c r="BL155" s="245"/>
      <c r="BM155" s="245"/>
      <c r="BN155" s="245"/>
      <c r="BO155" s="245"/>
      <c r="BP155" s="245"/>
      <c r="BQ155" s="245"/>
      <c r="BR155" s="400">
        <f t="shared" si="1050"/>
        <v>0</v>
      </c>
    </row>
    <row r="156" spans="1:70" ht="14.45" customHeight="1">
      <c r="A156" s="514" t="s">
        <v>140</v>
      </c>
      <c r="B156" s="562"/>
      <c r="C156" s="562"/>
      <c r="D156" s="516">
        <f>SUMIF($A$4:$A$141,"="&amp;A156,$D$4:$D$141)</f>
        <v>0</v>
      </c>
      <c r="E156" s="245"/>
      <c r="F156" s="245"/>
      <c r="G156" s="245"/>
      <c r="H156" s="318"/>
      <c r="I156" s="245"/>
      <c r="J156" s="245"/>
      <c r="K156" s="245"/>
      <c r="L156" s="245"/>
      <c r="M156" s="245"/>
      <c r="N156" s="245"/>
      <c r="O156" s="245"/>
      <c r="P156" s="245"/>
      <c r="Q156" s="245"/>
      <c r="R156" s="245"/>
      <c r="S156" s="245"/>
      <c r="T156" s="245"/>
      <c r="U156" s="245"/>
      <c r="V156" s="245"/>
      <c r="W156" s="245"/>
      <c r="X156" s="245"/>
      <c r="Y156" s="245"/>
      <c r="Z156" s="245"/>
      <c r="AA156" s="245"/>
      <c r="AB156" s="245"/>
      <c r="AC156" s="245"/>
      <c r="AD156" s="245"/>
      <c r="AE156" s="245"/>
      <c r="AF156" s="245"/>
      <c r="AG156" s="245"/>
      <c r="AH156" s="245"/>
      <c r="AI156" s="245"/>
      <c r="AJ156" s="245"/>
      <c r="AK156" s="245"/>
      <c r="AL156" s="245"/>
      <c r="AM156" s="245"/>
      <c r="AN156" s="245"/>
      <c r="AO156" s="408"/>
      <c r="AP156" s="245"/>
      <c r="AQ156" s="245"/>
      <c r="AR156" s="245"/>
      <c r="AS156" s="245"/>
      <c r="AT156" s="245"/>
      <c r="AU156" s="245"/>
      <c r="AV156" s="245"/>
      <c r="AW156" s="245"/>
      <c r="AX156" s="245"/>
      <c r="AY156" s="245"/>
      <c r="AZ156" s="245"/>
      <c r="BA156" s="245"/>
      <c r="BB156" s="245"/>
      <c r="BC156" s="245"/>
      <c r="BD156" s="245"/>
      <c r="BE156" s="245"/>
      <c r="BF156" s="245"/>
      <c r="BG156" s="245"/>
      <c r="BH156" s="245"/>
      <c r="BI156" s="245"/>
      <c r="BJ156" s="245"/>
      <c r="BK156" s="245"/>
      <c r="BL156" s="245"/>
      <c r="BM156" s="245"/>
      <c r="BN156" s="245"/>
      <c r="BO156" s="245"/>
      <c r="BP156" s="245"/>
      <c r="BQ156" s="245"/>
      <c r="BR156" s="400">
        <f t="shared" si="1050"/>
        <v>0</v>
      </c>
    </row>
    <row r="157" spans="1:70" ht="14.45" customHeight="1">
      <c r="A157" s="514" t="s">
        <v>141</v>
      </c>
      <c r="B157" s="562"/>
      <c r="C157" s="562"/>
      <c r="D157" s="516">
        <f>SUMIF($A$4:$A$141,"="&amp;A157,$D$4:$D$141)</f>
        <v>0</v>
      </c>
      <c r="E157" s="245"/>
      <c r="F157" s="245"/>
      <c r="G157" s="245"/>
      <c r="H157" s="318"/>
      <c r="I157" s="245"/>
      <c r="J157" s="245"/>
      <c r="K157" s="245"/>
      <c r="L157" s="245"/>
      <c r="M157" s="245"/>
      <c r="N157" s="245"/>
      <c r="O157" s="245"/>
      <c r="P157" s="245"/>
      <c r="Q157" s="245"/>
      <c r="R157" s="245"/>
      <c r="S157" s="245"/>
      <c r="T157" s="245"/>
      <c r="U157" s="245"/>
      <c r="V157" s="245"/>
      <c r="W157" s="245"/>
      <c r="X157" s="245"/>
      <c r="Y157" s="245"/>
      <c r="Z157" s="245"/>
      <c r="AA157" s="245"/>
      <c r="AB157" s="245"/>
      <c r="AC157" s="245"/>
      <c r="AD157" s="245"/>
      <c r="AE157" s="245"/>
      <c r="AF157" s="245"/>
      <c r="AG157" s="245"/>
      <c r="AH157" s="245"/>
      <c r="AI157" s="245"/>
      <c r="AJ157" s="245"/>
      <c r="AK157" s="245"/>
      <c r="AL157" s="245"/>
      <c r="AM157" s="245"/>
      <c r="AN157" s="245"/>
      <c r="AO157" s="408"/>
      <c r="AP157" s="245"/>
      <c r="AQ157" s="245"/>
      <c r="AR157" s="245"/>
      <c r="AS157" s="245"/>
      <c r="AT157" s="245"/>
      <c r="AU157" s="245"/>
      <c r="AV157" s="245"/>
      <c r="AW157" s="245"/>
      <c r="AX157" s="245"/>
      <c r="AY157" s="245"/>
      <c r="AZ157" s="245"/>
      <c r="BA157" s="245"/>
      <c r="BB157" s="245"/>
      <c r="BC157" s="245"/>
      <c r="BD157" s="245"/>
      <c r="BE157" s="245"/>
      <c r="BF157" s="245"/>
      <c r="BG157" s="245"/>
      <c r="BH157" s="245"/>
      <c r="BI157" s="245"/>
      <c r="BJ157" s="245"/>
      <c r="BK157" s="245"/>
      <c r="BL157" s="245"/>
      <c r="BM157" s="245"/>
      <c r="BN157" s="245"/>
      <c r="BO157" s="245"/>
      <c r="BP157" s="245"/>
      <c r="BQ157" s="245"/>
      <c r="BR157" s="400">
        <f t="shared" si="1050"/>
        <v>0</v>
      </c>
    </row>
    <row r="158" spans="1:70" ht="14.45" customHeight="1">
      <c r="A158" s="514" t="s">
        <v>142</v>
      </c>
      <c r="B158" s="562"/>
      <c r="C158" s="562"/>
      <c r="D158" s="515">
        <f>SUMIF($A$4:$A$141,"="&amp;A158,$D$4:$D$141)</f>
        <v>607863.86</v>
      </c>
      <c r="E158" s="245"/>
      <c r="F158" s="245"/>
      <c r="G158" s="245"/>
      <c r="H158" s="318"/>
      <c r="I158" s="245"/>
      <c r="J158" s="245"/>
      <c r="K158" s="245"/>
      <c r="L158" s="245"/>
      <c r="M158" s="245"/>
      <c r="N158" s="245"/>
      <c r="O158" s="245"/>
      <c r="P158" s="245"/>
      <c r="Q158" s="245"/>
      <c r="R158" s="245"/>
      <c r="S158" s="245"/>
      <c r="T158" s="245"/>
      <c r="U158" s="245"/>
      <c r="V158" s="245"/>
      <c r="W158" s="245"/>
      <c r="X158" s="245"/>
      <c r="Y158" s="245"/>
      <c r="Z158" s="245"/>
      <c r="AA158" s="245"/>
      <c r="AB158" s="245"/>
      <c r="AC158" s="245"/>
      <c r="AD158" s="245"/>
      <c r="AE158" s="245"/>
      <c r="AF158" s="245"/>
      <c r="AG158" s="245"/>
      <c r="AH158" s="245"/>
      <c r="AI158" s="245"/>
      <c r="AJ158" s="245"/>
      <c r="AK158" s="245"/>
      <c r="AL158" s="245"/>
      <c r="AM158" s="245"/>
      <c r="AN158" s="245"/>
      <c r="AO158" s="408"/>
      <c r="AP158" s="245"/>
      <c r="AQ158" s="245"/>
      <c r="AR158" s="245"/>
      <c r="AS158" s="245"/>
      <c r="AT158" s="245"/>
      <c r="AU158" s="245"/>
      <c r="AV158" s="245"/>
      <c r="AW158" s="245"/>
      <c r="AX158" s="245"/>
      <c r="AY158" s="245"/>
      <c r="AZ158" s="245"/>
      <c r="BA158" s="245"/>
      <c r="BB158" s="245"/>
      <c r="BC158" s="245"/>
      <c r="BD158" s="245"/>
      <c r="BE158" s="245"/>
      <c r="BF158" s="245"/>
      <c r="BG158" s="245"/>
      <c r="BH158" s="245"/>
      <c r="BI158" s="245"/>
      <c r="BJ158" s="245"/>
      <c r="BK158" s="245"/>
      <c r="BL158" s="245"/>
      <c r="BM158" s="245"/>
      <c r="BN158" s="245"/>
      <c r="BO158" s="245"/>
      <c r="BP158" s="245"/>
      <c r="BQ158" s="245"/>
      <c r="BR158" s="400">
        <f t="shared" si="1050"/>
        <v>0</v>
      </c>
    </row>
    <row r="159" spans="1:70" s="295" customFormat="1" ht="14.45" customHeight="1">
      <c r="A159" s="245"/>
      <c r="B159" s="401"/>
      <c r="C159" s="401"/>
      <c r="D159" s="403">
        <f>SUM(D155:D158)</f>
        <v>1373313.56</v>
      </c>
      <c r="E159" s="332">
        <f>'QFR - B'!H24</f>
        <v>1431000</v>
      </c>
      <c r="F159" s="242">
        <f>E159-D159</f>
        <v>57686.439999999944</v>
      </c>
      <c r="G159" s="245"/>
      <c r="H159" s="318"/>
      <c r="I159" s="245"/>
      <c r="J159" s="245"/>
      <c r="K159" s="245"/>
      <c r="L159" s="245"/>
      <c r="M159" s="245"/>
      <c r="N159" s="245"/>
      <c r="O159" s="245"/>
      <c r="P159" s="245"/>
      <c r="Q159" s="245"/>
      <c r="R159" s="245"/>
      <c r="S159" s="245"/>
      <c r="T159" s="245"/>
      <c r="U159" s="245"/>
      <c r="V159" s="245"/>
      <c r="W159" s="245"/>
      <c r="X159" s="245"/>
      <c r="Y159" s="245"/>
      <c r="Z159" s="245"/>
      <c r="AA159" s="245"/>
      <c r="AB159" s="245"/>
      <c r="AC159" s="245"/>
      <c r="AD159" s="245"/>
      <c r="AE159" s="245"/>
      <c r="AF159" s="245"/>
      <c r="AG159" s="245"/>
      <c r="AH159" s="245"/>
      <c r="AI159" s="245"/>
      <c r="AJ159" s="245"/>
      <c r="AK159" s="245"/>
      <c r="AL159" s="245"/>
      <c r="AM159" s="245"/>
      <c r="AN159" s="245"/>
      <c r="AO159" s="408"/>
      <c r="AP159" s="245"/>
      <c r="AQ159" s="245"/>
      <c r="AR159" s="245"/>
      <c r="AS159" s="245"/>
      <c r="AT159" s="245"/>
      <c r="AU159" s="245"/>
      <c r="AV159" s="245"/>
      <c r="AW159" s="245"/>
      <c r="AX159" s="245"/>
      <c r="AY159" s="245"/>
      <c r="AZ159" s="245"/>
      <c r="BA159" s="245"/>
      <c r="BB159" s="245"/>
      <c r="BC159" s="245"/>
      <c r="BD159" s="245"/>
      <c r="BE159" s="245"/>
      <c r="BF159" s="245"/>
      <c r="BG159" s="245"/>
      <c r="BH159" s="245"/>
      <c r="BI159" s="245"/>
      <c r="BJ159" s="245"/>
      <c r="BK159" s="245"/>
      <c r="BL159" s="245"/>
      <c r="BM159" s="245"/>
      <c r="BN159" s="245"/>
      <c r="BO159" s="245"/>
      <c r="BP159" s="245"/>
      <c r="BQ159" s="245"/>
      <c r="BR159" s="400">
        <f t="shared" si="1050"/>
        <v>0</v>
      </c>
    </row>
    <row r="160" spans="1:70" ht="14.45" customHeight="1">
      <c r="A160" s="514" t="s">
        <v>143</v>
      </c>
      <c r="B160" s="562"/>
      <c r="C160" s="562"/>
      <c r="D160" s="516">
        <f>SUMIF($A$4:$A$141,"="&amp;A160,$D$4:$D$141)</f>
        <v>885512.2325000002</v>
      </c>
      <c r="E160" s="245"/>
      <c r="F160" s="245"/>
      <c r="G160" s="245"/>
      <c r="H160" s="318"/>
      <c r="I160" s="245"/>
      <c r="J160" s="245"/>
      <c r="K160" s="245"/>
      <c r="L160" s="245"/>
      <c r="M160" s="245"/>
      <c r="N160" s="245"/>
      <c r="O160" s="245"/>
      <c r="P160" s="245"/>
      <c r="Q160" s="245"/>
      <c r="R160" s="245"/>
      <c r="S160" s="245"/>
      <c r="T160" s="245"/>
      <c r="U160" s="245"/>
      <c r="V160" s="245"/>
      <c r="W160" s="245"/>
      <c r="X160" s="245"/>
      <c r="Y160" s="245"/>
      <c r="Z160" s="245"/>
      <c r="AA160" s="245"/>
      <c r="AB160" s="245"/>
      <c r="AC160" s="245"/>
      <c r="AD160" s="245"/>
      <c r="AE160" s="245"/>
      <c r="AF160" s="245"/>
      <c r="AG160" s="245"/>
      <c r="AH160" s="245"/>
      <c r="AI160" s="245"/>
      <c r="AJ160" s="245"/>
      <c r="AK160" s="245"/>
      <c r="AL160" s="245"/>
      <c r="AM160" s="245"/>
      <c r="AN160" s="245"/>
      <c r="AO160" s="408"/>
      <c r="AP160" s="245"/>
      <c r="AQ160" s="245"/>
      <c r="AR160" s="245"/>
      <c r="AS160" s="245"/>
      <c r="AT160" s="245"/>
      <c r="AU160" s="245"/>
      <c r="AV160" s="245"/>
      <c r="AW160" s="245"/>
      <c r="AX160" s="245"/>
      <c r="AY160" s="245"/>
      <c r="AZ160" s="245"/>
      <c r="BA160" s="245"/>
      <c r="BB160" s="245"/>
      <c r="BC160" s="245"/>
      <c r="BD160" s="245"/>
      <c r="BE160" s="372"/>
      <c r="BF160" s="245"/>
      <c r="BG160" s="245"/>
      <c r="BH160" s="245"/>
      <c r="BI160" s="245"/>
      <c r="BJ160" s="245"/>
      <c r="BK160" s="245"/>
      <c r="BL160" s="245"/>
      <c r="BM160" s="245"/>
      <c r="BN160" s="245"/>
      <c r="BO160" s="245"/>
      <c r="BP160" s="245"/>
      <c r="BQ160" s="245"/>
      <c r="BR160" s="400">
        <f t="shared" si="1050"/>
        <v>0</v>
      </c>
    </row>
    <row r="161" spans="1:70" ht="14.45" customHeight="1">
      <c r="A161" s="514" t="s">
        <v>144</v>
      </c>
      <c r="B161" s="562"/>
      <c r="C161" s="562"/>
      <c r="D161" s="516">
        <f>SUMIF($A$4:$A$141,"="&amp;A161,$D$4:$D$141)</f>
        <v>38000</v>
      </c>
      <c r="E161" s="245"/>
      <c r="F161" s="245"/>
      <c r="G161" s="245"/>
      <c r="H161" s="318"/>
      <c r="I161" s="245"/>
      <c r="J161" s="245"/>
      <c r="K161" s="245"/>
      <c r="L161" s="245"/>
      <c r="M161" s="245"/>
      <c r="N161" s="245"/>
      <c r="O161" s="245"/>
      <c r="P161" s="245"/>
      <c r="Q161" s="245"/>
      <c r="R161" s="245"/>
      <c r="S161" s="245"/>
      <c r="T161" s="245"/>
      <c r="U161" s="245"/>
      <c r="V161" s="245"/>
      <c r="W161" s="245"/>
      <c r="X161" s="245"/>
      <c r="Y161" s="245"/>
      <c r="Z161" s="245"/>
      <c r="AA161" s="245"/>
      <c r="AB161" s="245"/>
      <c r="AC161" s="245"/>
      <c r="AD161" s="245"/>
      <c r="AE161" s="245"/>
      <c r="AF161" s="245"/>
      <c r="AG161" s="245"/>
      <c r="AH161" s="245"/>
      <c r="AI161" s="245"/>
      <c r="AJ161" s="245"/>
      <c r="AK161" s="245"/>
      <c r="AL161" s="245"/>
      <c r="AM161" s="245"/>
      <c r="AN161" s="245"/>
      <c r="AO161" s="408"/>
      <c r="AP161" s="245"/>
      <c r="AQ161" s="245"/>
      <c r="AR161" s="245"/>
      <c r="AS161" s="245"/>
      <c r="AT161" s="245"/>
      <c r="AU161" s="245"/>
      <c r="AV161" s="245"/>
      <c r="AW161" s="245"/>
      <c r="AX161" s="245"/>
      <c r="AY161" s="245"/>
      <c r="AZ161" s="245"/>
      <c r="BA161" s="245"/>
      <c r="BB161" s="245"/>
      <c r="BC161" s="245"/>
      <c r="BD161" s="245"/>
      <c r="BE161" s="245"/>
      <c r="BF161" s="245"/>
      <c r="BG161" s="245"/>
      <c r="BH161" s="245"/>
      <c r="BI161" s="245"/>
      <c r="BJ161" s="245"/>
      <c r="BK161" s="245"/>
      <c r="BL161" s="245"/>
      <c r="BM161" s="245"/>
      <c r="BN161" s="245"/>
      <c r="BO161" s="245"/>
      <c r="BP161" s="245"/>
      <c r="BQ161" s="245"/>
      <c r="BR161" s="400">
        <f t="shared" si="1050"/>
        <v>0</v>
      </c>
    </row>
    <row r="162" spans="1:70" ht="14.45" customHeight="1">
      <c r="A162" s="514" t="s">
        <v>145</v>
      </c>
      <c r="B162" s="562"/>
      <c r="C162" s="562"/>
      <c r="D162" s="516">
        <f>SUMIF($A$4:$A$141,"="&amp;A162,$D$4:$D$141)</f>
        <v>120000</v>
      </c>
      <c r="E162" s="245"/>
      <c r="F162" s="245"/>
      <c r="G162" s="245"/>
      <c r="H162" s="318"/>
      <c r="I162" s="245"/>
      <c r="J162" s="245"/>
      <c r="K162" s="245"/>
      <c r="L162" s="245"/>
      <c r="M162" s="245"/>
      <c r="N162" s="245"/>
      <c r="O162" s="245"/>
      <c r="P162" s="245"/>
      <c r="Q162" s="245"/>
      <c r="R162" s="245"/>
      <c r="S162" s="245"/>
      <c r="T162" s="245"/>
      <c r="U162" s="245"/>
      <c r="V162" s="245"/>
      <c r="W162" s="245"/>
      <c r="X162" s="245"/>
      <c r="Y162" s="245"/>
      <c r="Z162" s="245"/>
      <c r="AA162" s="245"/>
      <c r="AB162" s="245"/>
      <c r="AC162" s="245"/>
      <c r="AD162" s="245"/>
      <c r="AE162" s="245"/>
      <c r="AF162" s="245"/>
      <c r="AG162" s="245"/>
      <c r="AH162" s="245"/>
      <c r="AI162" s="245"/>
      <c r="AJ162" s="245"/>
      <c r="AK162" s="245"/>
      <c r="AL162" s="404"/>
      <c r="AM162" s="245"/>
      <c r="AN162" s="245"/>
      <c r="AO162" s="408"/>
      <c r="AP162" s="245"/>
      <c r="AQ162" s="245"/>
      <c r="AR162" s="245"/>
      <c r="AS162" s="245"/>
      <c r="AT162" s="245"/>
      <c r="AU162" s="245"/>
      <c r="AV162" s="245"/>
      <c r="AW162" s="245"/>
      <c r="AX162" s="245"/>
      <c r="AY162" s="245"/>
      <c r="AZ162" s="245"/>
      <c r="BA162" s="245"/>
      <c r="BB162" s="245"/>
      <c r="BC162" s="245"/>
      <c r="BD162" s="245"/>
      <c r="BE162" s="245"/>
      <c r="BF162" s="245"/>
      <c r="BG162" s="245"/>
      <c r="BH162" s="245"/>
      <c r="BI162" s="245"/>
      <c r="BJ162" s="245"/>
      <c r="BK162" s="245"/>
      <c r="BL162" s="245"/>
      <c r="BM162" s="245"/>
      <c r="BN162" s="245"/>
      <c r="BO162" s="245"/>
      <c r="BP162" s="245"/>
      <c r="BQ162" s="245"/>
      <c r="BR162" s="400">
        <f t="shared" si="1050"/>
        <v>0</v>
      </c>
    </row>
    <row r="163" spans="1:70" ht="14.45" customHeight="1">
      <c r="A163" s="514" t="s">
        <v>146</v>
      </c>
      <c r="B163" s="562"/>
      <c r="C163" s="562"/>
      <c r="D163" s="516">
        <f>SUMIF($A$4:$A$141,"="&amp;A163,$D$4:$D$141)</f>
        <v>101052.47</v>
      </c>
      <c r="E163" s="245"/>
      <c r="F163" s="245"/>
      <c r="G163" s="245"/>
      <c r="H163" s="318"/>
      <c r="I163" s="245"/>
      <c r="J163" s="245"/>
      <c r="K163" s="245"/>
      <c r="L163" s="245"/>
      <c r="M163" s="245"/>
      <c r="N163" s="245"/>
      <c r="O163" s="245"/>
      <c r="P163" s="245"/>
      <c r="Q163" s="245"/>
      <c r="R163" s="245"/>
      <c r="S163" s="245"/>
      <c r="T163" s="245"/>
      <c r="U163" s="245"/>
      <c r="V163" s="245"/>
      <c r="W163" s="245"/>
      <c r="X163" s="245"/>
      <c r="Y163" s="245"/>
      <c r="Z163" s="245"/>
      <c r="AA163" s="245"/>
      <c r="AB163" s="245"/>
      <c r="AC163" s="245"/>
      <c r="AD163" s="245"/>
      <c r="AE163" s="245"/>
      <c r="AF163" s="245"/>
      <c r="AG163" s="245"/>
      <c r="AH163" s="245"/>
      <c r="AI163" s="245"/>
      <c r="AJ163" s="245"/>
      <c r="AK163" s="245"/>
      <c r="AL163" s="245"/>
      <c r="AM163" s="245"/>
      <c r="AN163" s="245"/>
      <c r="AO163" s="408"/>
      <c r="AP163" s="245"/>
      <c r="AQ163" s="245"/>
      <c r="AR163" s="245"/>
      <c r="AS163" s="245"/>
      <c r="AT163" s="245"/>
      <c r="AU163" s="245"/>
      <c r="AV163" s="245"/>
      <c r="AW163" s="245"/>
      <c r="AX163" s="245"/>
      <c r="AY163" s="245"/>
      <c r="AZ163" s="245"/>
      <c r="BA163" s="245"/>
      <c r="BB163" s="245"/>
      <c r="BC163" s="245"/>
      <c r="BD163" s="245"/>
      <c r="BE163" s="245"/>
      <c r="BF163" s="245"/>
      <c r="BG163" s="245"/>
      <c r="BH163" s="245"/>
      <c r="BI163" s="245"/>
      <c r="BJ163" s="245"/>
      <c r="BK163" s="245"/>
      <c r="BL163" s="245"/>
      <c r="BM163" s="245"/>
      <c r="BN163" s="245"/>
      <c r="BO163" s="245"/>
      <c r="BP163" s="245"/>
      <c r="BQ163" s="245"/>
      <c r="BR163" s="400">
        <f t="shared" si="1050"/>
        <v>0</v>
      </c>
    </row>
    <row r="164" spans="1:70" s="295" customFormat="1" ht="14.45" customHeight="1">
      <c r="A164" s="245"/>
      <c r="B164" s="401" t="s">
        <v>230</v>
      </c>
      <c r="C164" s="401"/>
      <c r="D164" s="403">
        <f>SUM(D160:D163)</f>
        <v>1144564.7025000001</v>
      </c>
      <c r="E164" s="332">
        <f>'QFR - B'!H27</f>
        <v>1060500</v>
      </c>
      <c r="F164" s="242">
        <f>E164-D164</f>
        <v>-84064.70250000013</v>
      </c>
      <c r="G164" s="245"/>
      <c r="H164" s="318"/>
      <c r="I164" s="245"/>
      <c r="J164" s="245"/>
      <c r="K164" s="245"/>
      <c r="L164" s="245"/>
      <c r="M164" s="245"/>
      <c r="N164" s="245"/>
      <c r="O164" s="245"/>
      <c r="P164" s="245"/>
      <c r="Q164" s="245"/>
      <c r="R164" s="245"/>
      <c r="S164" s="245"/>
      <c r="T164" s="245"/>
      <c r="U164" s="245"/>
      <c r="V164" s="245"/>
      <c r="W164" s="245"/>
      <c r="X164" s="245"/>
      <c r="Y164" s="245"/>
      <c r="Z164" s="245"/>
      <c r="AA164" s="245"/>
      <c r="AB164" s="245"/>
      <c r="AC164" s="245"/>
      <c r="AD164" s="245"/>
      <c r="AE164" s="245"/>
      <c r="AF164" s="245"/>
      <c r="AG164" s="245"/>
      <c r="AH164" s="245"/>
      <c r="AI164" s="245"/>
      <c r="AJ164" s="245"/>
      <c r="AK164" s="245"/>
      <c r="AL164" s="245"/>
      <c r="AM164" s="245"/>
      <c r="AN164" s="245"/>
      <c r="AO164" s="408"/>
      <c r="AP164" s="245"/>
      <c r="AQ164" s="245"/>
      <c r="AR164" s="245"/>
      <c r="AS164" s="245"/>
      <c r="AT164" s="245"/>
      <c r="AU164" s="245"/>
      <c r="AV164" s="245"/>
      <c r="AW164" s="245"/>
      <c r="AX164" s="245"/>
      <c r="AY164" s="245"/>
      <c r="AZ164" s="245"/>
      <c r="BA164" s="245"/>
      <c r="BB164" s="245"/>
      <c r="BC164" s="245"/>
      <c r="BD164" s="245"/>
      <c r="BE164" s="245"/>
      <c r="BF164" s="245"/>
      <c r="BG164" s="245"/>
      <c r="BH164" s="245"/>
      <c r="BI164" s="245"/>
      <c r="BJ164" s="245"/>
      <c r="BK164" s="245"/>
      <c r="BL164" s="245"/>
      <c r="BM164" s="245"/>
      <c r="BN164" s="245"/>
      <c r="BO164" s="245"/>
      <c r="BP164" s="245"/>
      <c r="BQ164" s="245"/>
      <c r="BR164" s="400">
        <f t="shared" si="1050"/>
        <v>0</v>
      </c>
    </row>
    <row r="165" spans="1:70" ht="8.25" customHeight="1">
      <c r="A165" s="245"/>
      <c r="B165" s="245"/>
      <c r="C165" s="245"/>
      <c r="D165" s="372"/>
      <c r="E165" s="245"/>
      <c r="F165" s="245"/>
      <c r="G165" s="245"/>
      <c r="H165" s="318"/>
      <c r="I165" s="245"/>
      <c r="J165" s="245"/>
      <c r="K165" s="245"/>
      <c r="L165" s="245"/>
      <c r="M165" s="245"/>
      <c r="N165" s="245"/>
      <c r="O165" s="245"/>
      <c r="P165" s="245"/>
      <c r="Q165" s="245"/>
      <c r="R165" s="245"/>
      <c r="S165" s="245"/>
      <c r="T165" s="245"/>
      <c r="U165" s="245"/>
      <c r="V165" s="245"/>
      <c r="W165" s="245"/>
      <c r="X165" s="245"/>
      <c r="Y165" s="245"/>
      <c r="Z165" s="245"/>
      <c r="AA165" s="245"/>
      <c r="AB165" s="245"/>
      <c r="AC165" s="245"/>
      <c r="AD165" s="245"/>
      <c r="AE165" s="245"/>
      <c r="AF165" s="245"/>
      <c r="AG165" s="245"/>
      <c r="AH165" s="245"/>
      <c r="AI165" s="245"/>
      <c r="AJ165" s="245"/>
      <c r="AK165" s="245"/>
      <c r="AL165" s="245"/>
      <c r="AM165" s="245"/>
      <c r="AN165" s="245"/>
      <c r="AO165" s="408"/>
      <c r="AP165" s="245"/>
      <c r="AQ165" s="245"/>
      <c r="AR165" s="245"/>
      <c r="AS165" s="245"/>
      <c r="AT165" s="245"/>
      <c r="AU165" s="245"/>
      <c r="AV165" s="245"/>
      <c r="AW165" s="245"/>
      <c r="AX165" s="245"/>
      <c r="AY165" s="245"/>
      <c r="AZ165" s="245"/>
      <c r="BA165" s="245"/>
      <c r="BB165" s="245"/>
      <c r="BC165" s="245"/>
      <c r="BD165" s="245"/>
      <c r="BE165" s="245"/>
      <c r="BF165" s="245"/>
      <c r="BG165" s="245"/>
      <c r="BH165" s="245"/>
      <c r="BI165" s="245"/>
      <c r="BJ165" s="245"/>
      <c r="BK165" s="245"/>
      <c r="BL165" s="245"/>
      <c r="BM165" s="245"/>
      <c r="BN165" s="245"/>
      <c r="BO165" s="245"/>
      <c r="BP165" s="245"/>
      <c r="BQ165" s="245"/>
      <c r="BR165" s="400">
        <f t="shared" si="1050"/>
        <v>0</v>
      </c>
    </row>
    <row r="166" spans="1:70" ht="15">
      <c r="A166" s="245"/>
      <c r="B166" s="245"/>
      <c r="C166" s="245"/>
      <c r="D166" s="372">
        <f aca="true" t="shared" si="1051" ref="D166:U166">SUBTOTAL(9,D4:D165)</f>
        <v>102616721.28000003</v>
      </c>
      <c r="E166" s="372">
        <f t="shared" si="1051"/>
        <v>26197500</v>
      </c>
      <c r="F166" s="372">
        <f t="shared" si="1051"/>
        <v>574114.5999999986</v>
      </c>
      <c r="G166" s="372">
        <f t="shared" si="1051"/>
        <v>24587.92</v>
      </c>
      <c r="H166" s="372">
        <f t="shared" si="1051"/>
        <v>41876.83181818182</v>
      </c>
      <c r="I166" s="372">
        <f t="shared" si="1051"/>
        <v>50463.81518772877</v>
      </c>
      <c r="J166" s="372">
        <f t="shared" si="1051"/>
        <v>60088.81046366829</v>
      </c>
      <c r="K166" s="372">
        <f t="shared" si="1051"/>
        <v>62773.399011781046</v>
      </c>
      <c r="L166" s="372">
        <f t="shared" si="1051"/>
        <v>58781.08112057682</v>
      </c>
      <c r="M166" s="372">
        <f t="shared" si="1051"/>
        <v>70677.819318496</v>
      </c>
      <c r="N166" s="372">
        <f t="shared" si="1051"/>
        <v>72917.14626347268</v>
      </c>
      <c r="O166" s="372">
        <f t="shared" si="1051"/>
        <v>85758.62687346812</v>
      </c>
      <c r="P166" s="372">
        <f t="shared" si="1051"/>
        <v>69900.34859990164</v>
      </c>
      <c r="Q166" s="372">
        <f t="shared" si="1051"/>
        <v>80823.8103107356</v>
      </c>
      <c r="R166" s="372">
        <f t="shared" si="1051"/>
        <v>87747.87716170763</v>
      </c>
      <c r="S166" s="372">
        <f t="shared" si="1051"/>
        <v>108191.00551880353</v>
      </c>
      <c r="T166" s="372">
        <f t="shared" si="1051"/>
        <v>94003.98453197342</v>
      </c>
      <c r="U166" s="372">
        <f t="shared" si="1051"/>
        <v>96166.64175088718</v>
      </c>
      <c r="V166" s="372"/>
      <c r="W166" s="372"/>
      <c r="X166" s="372"/>
      <c r="Y166" s="372"/>
      <c r="Z166" s="372">
        <f aca="true" t="shared" si="1052" ref="Z166:AV166">SUBTOTAL(9,Z4:Z165)</f>
        <v>2382145.8124995898</v>
      </c>
      <c r="AA166" s="372">
        <f t="shared" si="1052"/>
        <v>0</v>
      </c>
      <c r="AB166" s="372">
        <f t="shared" si="1052"/>
        <v>0</v>
      </c>
      <c r="AC166" s="372">
        <f t="shared" si="1052"/>
        <v>10000</v>
      </c>
      <c r="AD166" s="372">
        <f t="shared" si="1052"/>
        <v>32521.487500000003</v>
      </c>
      <c r="AE166" s="372">
        <f t="shared" si="1052"/>
        <v>70821.42113636364</v>
      </c>
      <c r="AF166" s="372">
        <f t="shared" si="1052"/>
        <v>188272.41255054547</v>
      </c>
      <c r="AG166" s="372">
        <f t="shared" si="1052"/>
        <v>897497.432146566</v>
      </c>
      <c r="AH166" s="372">
        <f t="shared" si="1052"/>
        <v>1112435.7850505246</v>
      </c>
      <c r="AI166" s="372">
        <f t="shared" si="1052"/>
        <v>1158632.731623609</v>
      </c>
      <c r="AJ166" s="372">
        <f t="shared" si="1052"/>
        <v>493105.2295923906</v>
      </c>
      <c r="AK166" s="372">
        <f t="shared" si="1052"/>
        <v>1507988.4098</v>
      </c>
      <c r="AL166" s="372">
        <f t="shared" si="1052"/>
        <v>2492850.45</v>
      </c>
      <c r="AM166" s="372">
        <f t="shared" si="1052"/>
        <v>1622558.2015999998</v>
      </c>
      <c r="AN166" s="372">
        <f t="shared" si="1052"/>
        <v>2810659.978900001</v>
      </c>
      <c r="AO166" s="409">
        <f t="shared" si="1052"/>
        <v>2095242.834374317</v>
      </c>
      <c r="AP166" s="372">
        <f t="shared" si="1052"/>
        <v>2154291.2350230943</v>
      </c>
      <c r="AQ166" s="372">
        <f t="shared" si="1052"/>
        <v>2754525.0922539723</v>
      </c>
      <c r="AR166" s="372">
        <f t="shared" si="1052"/>
        <v>2644724.2527041608</v>
      </c>
      <c r="AS166" s="372">
        <f t="shared" si="1052"/>
        <v>1116139.6787825185</v>
      </c>
      <c r="AT166" s="372">
        <f t="shared" si="1052"/>
        <v>2208870.3397872583</v>
      </c>
      <c r="AU166" s="372">
        <f t="shared" si="1052"/>
        <v>270235.68657467887</v>
      </c>
      <c r="AV166" s="372">
        <f t="shared" si="1052"/>
        <v>44429.08500000001</v>
      </c>
      <c r="AW166" s="372"/>
      <c r="AX166" s="372">
        <f aca="true" t="shared" si="1053" ref="AX166:BQ166">SUBTOTAL(9,AX4:AX165)</f>
        <v>45000</v>
      </c>
      <c r="AY166" s="372">
        <f t="shared" si="1053"/>
        <v>194969.19</v>
      </c>
      <c r="AZ166" s="372">
        <f t="shared" si="1053"/>
        <v>345873.72000000003</v>
      </c>
      <c r="BA166" s="372">
        <f t="shared" si="1053"/>
        <v>10605031.42</v>
      </c>
      <c r="BB166" s="372">
        <f t="shared" si="1053"/>
        <v>249524.27000000002</v>
      </c>
      <c r="BC166" s="372">
        <f t="shared" si="1053"/>
        <v>3435262.4100000006</v>
      </c>
      <c r="BD166" s="372">
        <f t="shared" si="1053"/>
        <v>348937.88</v>
      </c>
      <c r="BE166" s="372">
        <f t="shared" si="1053"/>
        <v>269214.61999999994</v>
      </c>
      <c r="BF166" s="372">
        <f t="shared" si="1053"/>
        <v>5528116.480000002</v>
      </c>
      <c r="BG166" s="372">
        <f t="shared" si="1053"/>
        <v>67982.79</v>
      </c>
      <c r="BH166" s="372">
        <f t="shared" si="1053"/>
        <v>416426.44</v>
      </c>
      <c r="BI166" s="372">
        <f t="shared" si="1053"/>
        <v>37474.50000000001</v>
      </c>
      <c r="BJ166" s="372">
        <f t="shared" si="1053"/>
        <v>797076.36</v>
      </c>
      <c r="BK166" s="372">
        <f t="shared" si="1053"/>
        <v>1508012.02</v>
      </c>
      <c r="BL166" s="372">
        <f t="shared" si="1053"/>
        <v>1091737.44</v>
      </c>
      <c r="BM166" s="372">
        <f t="shared" si="1053"/>
        <v>1719.629999999996</v>
      </c>
      <c r="BN166" s="372">
        <f t="shared" si="1053"/>
        <v>162500.02</v>
      </c>
      <c r="BO166" s="372">
        <f t="shared" si="1053"/>
        <v>419550</v>
      </c>
      <c r="BP166" s="372">
        <f t="shared" si="1053"/>
        <v>161392.64500000002</v>
      </c>
      <c r="BQ166" s="372">
        <f t="shared" si="1053"/>
        <v>0</v>
      </c>
      <c r="BR166" s="400">
        <f t="shared" si="1050"/>
        <v>-0.09059999510645866</v>
      </c>
    </row>
    <row r="167" spans="1:70" ht="15">
      <c r="A167" s="245"/>
      <c r="B167" s="245"/>
      <c r="C167" s="245"/>
      <c r="D167" s="245"/>
      <c r="E167" s="245"/>
      <c r="F167" s="245"/>
      <c r="G167" s="245"/>
      <c r="H167" s="318"/>
      <c r="I167" s="245"/>
      <c r="J167" s="245"/>
      <c r="K167" s="245"/>
      <c r="L167" s="245"/>
      <c r="M167" s="245"/>
      <c r="N167" s="245"/>
      <c r="O167" s="245"/>
      <c r="P167" s="245"/>
      <c r="Q167" s="245"/>
      <c r="R167" s="245"/>
      <c r="S167" s="245"/>
      <c r="T167" s="245"/>
      <c r="U167" s="245"/>
      <c r="V167" s="245"/>
      <c r="W167" s="245"/>
      <c r="X167" s="245"/>
      <c r="Y167" s="245"/>
      <c r="Z167" s="245"/>
      <c r="AA167" s="245"/>
      <c r="AB167" s="245"/>
      <c r="AC167" s="404">
        <f>+AC166</f>
        <v>10000</v>
      </c>
      <c r="AD167" s="376">
        <f>+AC167+AD166</f>
        <v>42521.4875</v>
      </c>
      <c r="AE167" s="376">
        <f>+AD167+AE166</f>
        <v>113342.90863636365</v>
      </c>
      <c r="AF167" s="376">
        <f>+AE167+AF166</f>
        <v>301615.3211869091</v>
      </c>
      <c r="AG167" s="376">
        <f aca="true" t="shared" si="1054" ref="AG167:AV167">+AF167+AG166</f>
        <v>1199112.753333475</v>
      </c>
      <c r="AH167" s="376">
        <f t="shared" si="1054"/>
        <v>2311548.538384</v>
      </c>
      <c r="AI167" s="376">
        <f t="shared" si="1054"/>
        <v>3470181.270007609</v>
      </c>
      <c r="AJ167" s="376">
        <f t="shared" si="1054"/>
        <v>3963286.4995999997</v>
      </c>
      <c r="AK167" s="376">
        <f t="shared" si="1054"/>
        <v>5471274.909399999</v>
      </c>
      <c r="AL167" s="376">
        <f t="shared" si="1054"/>
        <v>7964125.3593999995</v>
      </c>
      <c r="AM167" s="376">
        <f t="shared" si="1054"/>
        <v>9586683.560999999</v>
      </c>
      <c r="AN167" s="376">
        <f t="shared" si="1054"/>
        <v>12397343.5399</v>
      </c>
      <c r="AO167" s="410">
        <f t="shared" si="1054"/>
        <v>14492586.374274317</v>
      </c>
      <c r="AP167" s="376">
        <f t="shared" si="1054"/>
        <v>16646877.609297412</v>
      </c>
      <c r="AQ167" s="376">
        <f t="shared" si="1054"/>
        <v>19401402.701551385</v>
      </c>
      <c r="AR167" s="376">
        <f t="shared" si="1054"/>
        <v>22046126.954255547</v>
      </c>
      <c r="AS167" s="376">
        <f t="shared" si="1054"/>
        <v>23162266.633038066</v>
      </c>
      <c r="AT167" s="376">
        <f t="shared" si="1054"/>
        <v>25371136.972825326</v>
      </c>
      <c r="AU167" s="376">
        <f t="shared" si="1054"/>
        <v>25641372.659400005</v>
      </c>
      <c r="AV167" s="376">
        <f t="shared" si="1054"/>
        <v>25685801.744400006</v>
      </c>
      <c r="AW167" s="245"/>
      <c r="AX167" s="404">
        <f>+AX166</f>
        <v>45000</v>
      </c>
      <c r="AY167" s="376">
        <f>+AX167+AY166</f>
        <v>239969.19</v>
      </c>
      <c r="AZ167" s="376">
        <f>+AY167+AZ166</f>
        <v>585842.91</v>
      </c>
      <c r="BA167" s="376">
        <f>+AZ167+BA166</f>
        <v>11190874.33</v>
      </c>
      <c r="BB167" s="376">
        <f aca="true" t="shared" si="1055" ref="BB167:BQ167">+BA167+BB166</f>
        <v>11440398.6</v>
      </c>
      <c r="BC167" s="376">
        <f t="shared" si="1055"/>
        <v>14875661.01</v>
      </c>
      <c r="BD167" s="376">
        <f t="shared" si="1055"/>
        <v>15224598.89</v>
      </c>
      <c r="BE167" s="376">
        <f t="shared" si="1055"/>
        <v>15493813.51</v>
      </c>
      <c r="BF167" s="376">
        <f t="shared" si="1055"/>
        <v>21021929.990000002</v>
      </c>
      <c r="BG167" s="376">
        <f t="shared" si="1055"/>
        <v>21089912.78</v>
      </c>
      <c r="BH167" s="376">
        <f t="shared" si="1055"/>
        <v>21506339.220000003</v>
      </c>
      <c r="BI167" s="376">
        <f t="shared" si="1055"/>
        <v>21543813.720000003</v>
      </c>
      <c r="BJ167" s="376">
        <f t="shared" si="1055"/>
        <v>22340890.080000002</v>
      </c>
      <c r="BK167" s="376">
        <f t="shared" si="1055"/>
        <v>23848902.1</v>
      </c>
      <c r="BL167" s="376">
        <f t="shared" si="1055"/>
        <v>24940639.540000003</v>
      </c>
      <c r="BM167" s="376">
        <f t="shared" si="1055"/>
        <v>24942359.17</v>
      </c>
      <c r="BN167" s="376">
        <f t="shared" si="1055"/>
        <v>25104859.19</v>
      </c>
      <c r="BO167" s="376">
        <f t="shared" si="1055"/>
        <v>25524409.19</v>
      </c>
      <c r="BP167" s="376">
        <f t="shared" si="1055"/>
        <v>25685801.835</v>
      </c>
      <c r="BQ167" s="376">
        <f t="shared" si="1055"/>
        <v>25685801.835</v>
      </c>
      <c r="BR167" s="400"/>
    </row>
    <row r="168" spans="4:64" ht="21">
      <c r="D168" s="334">
        <f>+D56++D51</f>
        <v>232750</v>
      </c>
      <c r="N168" s="250"/>
      <c r="P168" s="298"/>
      <c r="V168" s="298"/>
      <c r="AJ168" s="251"/>
      <c r="AK168" s="251"/>
      <c r="BE168" s="251"/>
      <c r="BF168" s="251"/>
      <c r="BG168">
        <v>607629.2399999999</v>
      </c>
      <c r="BH168">
        <v>66149.88</v>
      </c>
      <c r="BI168" s="251">
        <v>698530.28</v>
      </c>
      <c r="BL168" s="299"/>
    </row>
    <row r="169" spans="19:61" ht="15">
      <c r="S169" s="251">
        <v>54411.93</v>
      </c>
      <c r="Z169" s="298"/>
      <c r="AF169" s="250"/>
      <c r="AI169" s="250"/>
      <c r="AJ169" s="251"/>
      <c r="AK169" s="251"/>
      <c r="AL169" s="251"/>
      <c r="AM169" s="250"/>
      <c r="AN169" s="251"/>
      <c r="AO169" s="251"/>
      <c r="BE169" s="251"/>
      <c r="BF169" s="251"/>
      <c r="BG169" s="251">
        <f>+BG168-BG167</f>
        <v>-20482283.540000003</v>
      </c>
      <c r="BH169" s="251">
        <f>+BH166-BH168</f>
        <v>350276.56</v>
      </c>
      <c r="BI169" s="251"/>
    </row>
  </sheetData>
  <autoFilter ref="A3:BR164"/>
  <mergeCells count="16">
    <mergeCell ref="B163:C163"/>
    <mergeCell ref="B144:C144"/>
    <mergeCell ref="B145:C145"/>
    <mergeCell ref="B146:C146"/>
    <mergeCell ref="B147:C147"/>
    <mergeCell ref="B148:C148"/>
    <mergeCell ref="B150:C150"/>
    <mergeCell ref="B152:C152"/>
    <mergeCell ref="B153:C153"/>
    <mergeCell ref="B155:C155"/>
    <mergeCell ref="B162:C162"/>
    <mergeCell ref="B156:C156"/>
    <mergeCell ref="B157:C157"/>
    <mergeCell ref="B158:C158"/>
    <mergeCell ref="B160:C160"/>
    <mergeCell ref="B161:C161"/>
  </mergeCells>
  <printOptions/>
  <pageMargins left="0.7" right="0.7" top="0.75" bottom="0.75" header="0.3" footer="0.3"/>
  <pageSetup fitToHeight="1" fitToWidth="1" horizontalDpi="600" verticalDpi="600" orientation="landscape" scale="12" r:id="rId3"/>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showGridLines="0" workbookViewId="0" topLeftCell="A14">
      <selection activeCell="E43" sqref="E43"/>
    </sheetView>
  </sheetViews>
  <sheetFormatPr defaultColWidth="8.8515625" defaultRowHeight="15"/>
  <cols>
    <col min="1" max="1" width="47.00390625" style="0" customWidth="1"/>
    <col min="2" max="2" width="7.00390625" style="0" customWidth="1"/>
    <col min="3" max="7" width="8.57421875" style="0" customWidth="1"/>
    <col min="8" max="9" width="13.28125" style="343" bestFit="1" customWidth="1"/>
    <col min="10" max="10" width="17.421875" style="343" bestFit="1" customWidth="1"/>
    <col min="11" max="11" width="13.57421875" style="343" bestFit="1" customWidth="1"/>
    <col min="12" max="12" width="13.140625" style="343" bestFit="1" customWidth="1"/>
    <col min="13" max="13" width="4.8515625" style="343" customWidth="1"/>
    <col min="14" max="17" width="4.8515625" style="295" customWidth="1"/>
  </cols>
  <sheetData>
    <row r="1" spans="8:13" s="295" customFormat="1" ht="15" hidden="1">
      <c r="H1" s="343"/>
      <c r="I1" s="343"/>
      <c r="J1" s="343"/>
      <c r="K1" s="343"/>
      <c r="L1" s="343"/>
      <c r="M1" s="343"/>
    </row>
    <row r="2" spans="8:13" s="295" customFormat="1" ht="15" hidden="1">
      <c r="H2" s="343"/>
      <c r="I2" s="343"/>
      <c r="J2" s="343"/>
      <c r="K2" s="343"/>
      <c r="L2" s="343"/>
      <c r="M2" s="343"/>
    </row>
    <row r="3" spans="8:13" s="295" customFormat="1" ht="15" hidden="1">
      <c r="H3" s="343"/>
      <c r="I3" s="343"/>
      <c r="J3" s="343"/>
      <c r="K3" s="343"/>
      <c r="L3" s="343"/>
      <c r="M3" s="343"/>
    </row>
    <row r="4" spans="8:13" s="295" customFormat="1" ht="15" hidden="1">
      <c r="H4" s="343"/>
      <c r="I4" s="343"/>
      <c r="J4" s="343"/>
      <c r="K4" s="343"/>
      <c r="L4" s="343"/>
      <c r="M4" s="343"/>
    </row>
    <row r="5" spans="8:13" s="295" customFormat="1" ht="15" hidden="1">
      <c r="H5" s="343"/>
      <c r="I5" s="343"/>
      <c r="J5" s="343"/>
      <c r="K5" s="343"/>
      <c r="L5" s="343"/>
      <c r="M5" s="343"/>
    </row>
    <row r="6" spans="8:13" s="295" customFormat="1" ht="15" hidden="1">
      <c r="H6" s="343"/>
      <c r="I6" s="343"/>
      <c r="J6" s="343"/>
      <c r="K6" s="343"/>
      <c r="L6" s="343"/>
      <c r="M6" s="343"/>
    </row>
    <row r="7" spans="8:13" s="295" customFormat="1" ht="15" hidden="1">
      <c r="H7" s="343"/>
      <c r="I7" s="343"/>
      <c r="J7" s="343"/>
      <c r="K7" s="343"/>
      <c r="L7" s="343"/>
      <c r="M7" s="343"/>
    </row>
    <row r="8" spans="8:13" s="295" customFormat="1" ht="15" hidden="1">
      <c r="H8" s="343"/>
      <c r="I8" s="343"/>
      <c r="J8" s="343"/>
      <c r="K8" s="343"/>
      <c r="L8" s="343"/>
      <c r="M8" s="343"/>
    </row>
    <row r="9" spans="8:13" s="295" customFormat="1" ht="15" hidden="1">
      <c r="H9" s="343"/>
      <c r="I9" s="343"/>
      <c r="J9" s="343"/>
      <c r="K9" s="343"/>
      <c r="L9" s="343"/>
      <c r="M9" s="343"/>
    </row>
    <row r="10" spans="8:13" s="295" customFormat="1" ht="15" hidden="1">
      <c r="H10" s="343"/>
      <c r="I10" s="343"/>
      <c r="J10" s="343"/>
      <c r="K10" s="343"/>
      <c r="L10" s="343"/>
      <c r="M10" s="343"/>
    </row>
    <row r="11" spans="8:13" s="295" customFormat="1" ht="15" hidden="1">
      <c r="H11" s="343"/>
      <c r="I11" s="343"/>
      <c r="J11" s="343"/>
      <c r="K11" s="343"/>
      <c r="L11" s="343"/>
      <c r="M11" s="343"/>
    </row>
    <row r="12" spans="8:13" s="295" customFormat="1" ht="15" hidden="1">
      <c r="H12" s="343"/>
      <c r="I12" s="343"/>
      <c r="J12" s="343"/>
      <c r="K12" s="343"/>
      <c r="L12" s="343"/>
      <c r="M12" s="343"/>
    </row>
    <row r="13" ht="15" hidden="1">
      <c r="A13" s="295"/>
    </row>
    <row r="14" ht="15">
      <c r="A14" s="188" t="s">
        <v>86</v>
      </c>
    </row>
    <row r="15" spans="1:13" s="362" customFormat="1" ht="15">
      <c r="A15" s="361"/>
      <c r="C15" s="367"/>
      <c r="D15" s="367"/>
      <c r="E15" s="563"/>
      <c r="F15" s="564"/>
      <c r="G15" s="565"/>
      <c r="H15" s="368"/>
      <c r="I15" s="368"/>
      <c r="J15" s="368"/>
      <c r="K15" s="368"/>
      <c r="L15" s="368"/>
      <c r="M15" s="363"/>
    </row>
    <row r="16" spans="1:12" ht="15">
      <c r="A16" s="44" t="s">
        <v>68</v>
      </c>
      <c r="C16" s="364"/>
      <c r="D16" s="365"/>
      <c r="E16" s="365"/>
      <c r="F16" s="365"/>
      <c r="G16" s="365"/>
      <c r="H16" s="366"/>
      <c r="I16" s="366"/>
      <c r="J16" s="366"/>
      <c r="K16" s="366"/>
      <c r="L16" s="366"/>
    </row>
    <row r="17" spans="1:12" ht="15">
      <c r="A17" s="49" t="s">
        <v>69</v>
      </c>
      <c r="B17" s="250">
        <f>IF('DFP-Com'!O15-'DFP-CASH'!O17=0,"ok",'DFP-Com'!O15-'DFP-CASH'!O17)</f>
        <v>-0.011200685054063797</v>
      </c>
      <c r="C17" s="365" t="str">
        <f>IF(SUM('DFP-CASH'!$C17:C17)&gt;SUM('DFP-Com'!$C15:D15),SUM('DFP-CASH'!$C17:C17)-SUM('DFP-Com'!$C15:D15),"ok")</f>
        <v>ok</v>
      </c>
      <c r="D17" s="365" t="str">
        <f>IF(SUM('DFP-CASH'!$C17:D17)&gt;SUM('DFP-Com'!$C15:E15),SUM('DFP-CASH'!$C17:D17)-SUM('DFP-Com'!$C15:E15),"ok")</f>
        <v>ok</v>
      </c>
      <c r="E17" s="365" t="str">
        <f>IF(SUM('DFP-CASH'!$C17:E17)&gt;SUM('DFP-Com'!$C15:F15),SUM('DFP-CASH'!$C17:E17)-SUM('DFP-Com'!$C15:F15),"ok")</f>
        <v>ok</v>
      </c>
      <c r="F17" s="365" t="str">
        <f>IF(SUM('DFP-CASH'!$C17:F17)&gt;SUM('DFP-Com'!$C15:G15),SUM('DFP-CASH'!$C17:F17)-SUM('DFP-Com'!$C15:G15),"ok")</f>
        <v>ok</v>
      </c>
      <c r="G17" s="365" t="str">
        <f>IF(SUM('DFP-CASH'!$C17:G17)&gt;SUM('DFP-Com'!$C15:G15),SUM('DFP-CASH'!$C17:G17)-SUM('DFP-Com'!$C15:G15),"ok")</f>
        <v>ok</v>
      </c>
      <c r="H17" s="365" t="str">
        <f>IF(SUM('DFP-CASH'!$C17:$G17)+('DFP-CASH'!H17)&gt;SUM('DFP-Com'!$C15:I15),SUM('DFP-CASH'!$C17:H17)-SUM('DFP-Com'!$C15:I15),"ok")</f>
        <v>ok</v>
      </c>
      <c r="I17" s="365" t="str">
        <f>IF(SUM('DFP-CASH'!$C17:$G17)+('DFP-CASH'!I17)&gt;SUM('DFP-Com'!$C15:J15),SUM('DFP-CASH'!$C17:I17)-SUM('DFP-Com'!$C15:J15),"ok")</f>
        <v>ok</v>
      </c>
      <c r="J17" s="365" t="str">
        <f>IF(SUM('DFP-CASH'!$C17:$G17)+('DFP-CASH'!J17)&gt;SUM('DFP-Com'!$C15:K15),SUM('DFP-CASH'!$C17:J17)-SUM('DFP-Com'!$C15:K15),"ok")</f>
        <v>ok</v>
      </c>
      <c r="K17" s="365" t="str">
        <f>IF(SUM('DFP-CASH'!$C17:$G17)+('DFP-CASH'!K17)&gt;SUM('DFP-Com'!$C15:L15),SUM('DFP-CASH'!$C17:K17)-SUM('DFP-Com'!$C15:L15),"ok")</f>
        <v>ok</v>
      </c>
      <c r="L17" s="365" t="str">
        <f>IF(SUM('DFP-CASH'!$C17:$G17)+('DFP-CASH'!L17)&gt;SUM('DFP-Com'!$C15:M15),SUM('DFP-CASH'!$C17:L17)-SUM('DFP-Com'!$C15:M15),"ok")</f>
        <v>ok</v>
      </c>
    </row>
    <row r="18" spans="1:12" ht="15">
      <c r="A18" s="200" t="s">
        <v>98</v>
      </c>
      <c r="B18" s="250">
        <f>IF('DFP-Com'!O16-'DFP-CASH'!O18=0,"ok",'DFP-Com'!O16-'DFP-CASH'!O18)</f>
        <v>-0.0012006834149360657</v>
      </c>
      <c r="C18" s="365" t="str">
        <f>IF(SUM('DFP-CASH'!$C18:C18)&gt;SUM('DFP-Com'!$C16:C16),SUM('DFP-CASH'!$C18:C18)-SUM('DFP-Com'!$C16:C16),"ok")</f>
        <v>ok</v>
      </c>
      <c r="D18" s="365" t="str">
        <f>IF(SUM('DFP-CASH'!$C18:D18)&gt;SUM('DFP-Com'!$C16:E16),SUM('DFP-CASH'!$C18:D18)-SUM('DFP-Com'!$C16:E16),"ok")</f>
        <v>ok</v>
      </c>
      <c r="E18" s="365" t="str">
        <f>IF(SUM('DFP-CASH'!$C18:E18)&gt;SUM('DFP-Com'!$C16:F16),SUM('DFP-CASH'!$C18:E18)-SUM('DFP-Com'!$C16:F16),"ok")</f>
        <v>ok</v>
      </c>
      <c r="F18" s="365" t="str">
        <f>IF(SUM('DFP-CASH'!$C18:F18)&gt;SUM('DFP-Com'!$C16:G16),SUM('DFP-CASH'!$C18:F18)-SUM('DFP-Com'!$C16:G16),"ok")</f>
        <v>ok</v>
      </c>
      <c r="G18" s="365" t="str">
        <f>IF(SUM('DFP-CASH'!$C18:G18)&gt;SUM('DFP-Com'!$C16:G16),SUM('DFP-CASH'!$C18:G18)-SUM('DFP-Com'!$C16:G16),"ok")</f>
        <v>ok</v>
      </c>
      <c r="H18" s="365" t="str">
        <f>IF(SUM('DFP-CASH'!$C18:$G18)+('DFP-CASH'!H18)&gt;SUM('DFP-Com'!$C16:I16),SUM('DFP-CASH'!$C18:H18)-SUM('DFP-Com'!$C16:I16),"ok")</f>
        <v>ok</v>
      </c>
      <c r="I18" s="365" t="str">
        <f>IF(SUM('DFP-CASH'!$C18:$G18)+('DFP-CASH'!I18)&gt;SUM('DFP-Com'!$C16:J16),SUM('DFP-CASH'!$C18:I18)-SUM('DFP-Com'!$C16:J16),"ok")</f>
        <v>ok</v>
      </c>
      <c r="J18" s="365" t="str">
        <f>IF(SUM('DFP-CASH'!$C18:$G18)+('DFP-CASH'!J18)&gt;SUM('DFP-Com'!$C16:K16),SUM('DFP-CASH'!$C18:J18)-SUM('DFP-Com'!$C16:K16),"ok")</f>
        <v>ok</v>
      </c>
      <c r="K18" s="365" t="str">
        <f>IF(SUM('DFP-CASH'!$C18:$G18)+('DFP-CASH'!K18)&gt;SUM('DFP-Com'!$C16:L16),SUM('DFP-CASH'!$C18:K18)-SUM('DFP-Com'!$C16:L16),"ok")</f>
        <v>ok</v>
      </c>
      <c r="L18" s="365" t="str">
        <f>IF(SUM('DFP-CASH'!$C18:$G18)+('DFP-CASH'!L18)&gt;SUM('DFP-Com'!$C16:M16),SUM('DFP-CASH'!$C18:L18)-SUM('DFP-Com'!$C16:M16),"ok")</f>
        <v>ok</v>
      </c>
    </row>
    <row r="19" spans="1:12" ht="15">
      <c r="A19" s="200" t="s">
        <v>99</v>
      </c>
      <c r="B19" s="250">
        <f>IF('DFP-Com'!O17-'DFP-CASH'!O19=0,"ok",'DFP-Com'!O17-'DFP-CASH'!O19)</f>
        <v>-0.010000000707805157</v>
      </c>
      <c r="C19" s="365" t="str">
        <f>IF(SUM('DFP-CASH'!$C19:C19)&gt;SUM('DFP-Com'!$C17:C17),SUM('DFP-CASH'!$C19:C19)-SUM('DFP-Com'!$C17:C17),"ok")</f>
        <v>ok</v>
      </c>
      <c r="D19" s="365" t="str">
        <f>IF(SUM('DFP-CASH'!$C19:D19)&gt;SUM('DFP-Com'!$C17:E17),SUM('DFP-CASH'!$C19:D19)-SUM('DFP-Com'!$C17:E17),"ok")</f>
        <v>ok</v>
      </c>
      <c r="E19" s="365" t="str">
        <f>IF(SUM('DFP-CASH'!$C19:E19)&gt;SUM('DFP-Com'!$C17:F17),SUM('DFP-CASH'!$C19:E19)-SUM('DFP-Com'!$C17:F17),"ok")</f>
        <v>ok</v>
      </c>
      <c r="F19" s="365" t="str">
        <f>IF(SUM('DFP-CASH'!$C19:F19)&gt;SUM('DFP-Com'!$C17:G17),SUM('DFP-CASH'!$C19:F19)-SUM('DFP-Com'!$C17:G17),"ok")</f>
        <v>ok</v>
      </c>
      <c r="G19" s="365" t="str">
        <f>IF(SUM('DFP-CASH'!$C19:G19)&gt;SUM('DFP-Com'!$C17:G17),SUM('DFP-CASH'!$C19:G19)-SUM('DFP-Com'!$C17:G17),"ok")</f>
        <v>ok</v>
      </c>
      <c r="H19" s="365" t="str">
        <f>IF(SUM('DFP-CASH'!$C19:$G19)+('DFP-CASH'!H19)&gt;SUM('DFP-Com'!$C17:I17),SUM('DFP-CASH'!$C19:H19)-SUM('DFP-Com'!$C17:I17),"ok")</f>
        <v>ok</v>
      </c>
      <c r="I19" s="365" t="str">
        <f>IF(SUM('DFP-CASH'!$C19:$G19)+('DFP-CASH'!I19)&gt;SUM('DFP-Com'!$C17:J17),SUM('DFP-CASH'!$C19:I19)-SUM('DFP-Com'!$C17:J17),"ok")</f>
        <v>ok</v>
      </c>
      <c r="J19" s="365" t="str">
        <f>IF(SUM('DFP-CASH'!$C19:$G19)+('DFP-CASH'!J19)&gt;SUM('DFP-Com'!$C17:K17),SUM('DFP-CASH'!$C19:J19)-SUM('DFP-Com'!$C17:K17),"ok")</f>
        <v>ok</v>
      </c>
      <c r="K19" s="365" t="str">
        <f>IF(SUM('DFP-CASH'!$C19:$G19)+('DFP-CASH'!K19)&gt;SUM('DFP-Com'!$C17:L17),SUM('DFP-CASH'!$C19:K19)-SUM('DFP-Com'!$C17:L17),"ok")</f>
        <v>ok</v>
      </c>
      <c r="L19" s="365" t="str">
        <f>IF(SUM('DFP-CASH'!$C19:$G19)+('DFP-CASH'!L19)&gt;SUM('DFP-Com'!$C17:M17),SUM('DFP-CASH'!$C19:L19)-SUM('DFP-Com'!$C17:M17),"ok")</f>
        <v>ok</v>
      </c>
    </row>
    <row r="20" spans="1:12" ht="15">
      <c r="A20" s="200" t="s">
        <v>106</v>
      </c>
      <c r="B20" s="250" t="str">
        <f>IF('DFP-Com'!O18-'DFP-CASH'!O20=0,"ok",'DFP-Com'!O18-'DFP-CASH'!O20)</f>
        <v>ok</v>
      </c>
      <c r="C20" s="365" t="str">
        <f>IF(SUM('DFP-CASH'!$C20:C20)&gt;SUM('DFP-Com'!$C18:D18),SUM('DFP-CASH'!$C20:C20)-SUM('DFP-Com'!$C18:D18),"ok")</f>
        <v>ok</v>
      </c>
      <c r="D20" s="365" t="str">
        <f>IF(SUM('DFP-CASH'!$C20:D20)&gt;SUM('DFP-Com'!$C18:E18),SUM('DFP-CASH'!$C20:D20)-SUM('DFP-Com'!$C18:E18),"ok")</f>
        <v>ok</v>
      </c>
      <c r="E20" s="365" t="str">
        <f>IF(SUM('DFP-CASH'!$C20:E20)&gt;SUM('DFP-Com'!$C18:F18),SUM('DFP-CASH'!$C20:E20)-SUM('DFP-Com'!$C18:F18),"ok")</f>
        <v>ok</v>
      </c>
      <c r="F20" s="365" t="str">
        <f>IF(SUM('DFP-CASH'!$C20:F20)&gt;SUM('DFP-Com'!$C18:G18),SUM('DFP-CASH'!$C20:F20)-SUM('DFP-Com'!$C18:G18),"ok")</f>
        <v>ok</v>
      </c>
      <c r="G20" s="365" t="str">
        <f>IF(SUM('DFP-CASH'!$C20:G20)&gt;SUM('DFP-Com'!$C18:G18),SUM('DFP-CASH'!$C20:G20)-SUM('DFP-Com'!$C18:G18),"ok")</f>
        <v>ok</v>
      </c>
      <c r="H20" s="365" t="str">
        <f>IF(SUM('DFP-CASH'!$C20:$G20)+('DFP-CASH'!H20)&gt;SUM('DFP-Com'!$C18:I18),SUM('DFP-CASH'!$C20:H20)-SUM('DFP-Com'!$C18:I18),"ok")</f>
        <v>ok</v>
      </c>
      <c r="I20" s="365" t="str">
        <f>IF(SUM('DFP-CASH'!$C20:$G20)+('DFP-CASH'!I20)&gt;SUM('DFP-Com'!$C18:J18),SUM('DFP-CASH'!$C20:I20)-SUM('DFP-Com'!$C18:J18),"ok")</f>
        <v>ok</v>
      </c>
      <c r="J20" s="365" t="str">
        <f>IF(SUM('DFP-CASH'!$C20:$G20)+('DFP-CASH'!J20)&gt;SUM('DFP-Com'!$C18:K18),SUM('DFP-CASH'!$C20:J20)-SUM('DFP-Com'!$C18:K18),"ok")</f>
        <v>ok</v>
      </c>
      <c r="K20" s="365" t="str">
        <f>IF(SUM('DFP-CASH'!$C20:$G20)+('DFP-CASH'!K20)&gt;SUM('DFP-Com'!$C18:L18),SUM('DFP-CASH'!$C20:K20)-SUM('DFP-Com'!$C18:L18),"ok")</f>
        <v>ok</v>
      </c>
      <c r="L20" s="365" t="str">
        <f>IF(SUM('DFP-CASH'!$C20:$G20)+('DFP-CASH'!L20)&gt;SUM('DFP-Com'!$C18:M18),SUM('DFP-CASH'!$C20:L20)-SUM('DFP-Com'!$C18:M18),"ok")</f>
        <v>ok</v>
      </c>
    </row>
    <row r="21" spans="1:12" ht="25.5">
      <c r="A21" s="49" t="s">
        <v>70</v>
      </c>
      <c r="B21" s="250" t="str">
        <f>IF('DFP-Com'!O19-'DFP-CASH'!O21=0,"ok",'DFP-Com'!O19-'DFP-CASH'!O21)</f>
        <v>ok</v>
      </c>
      <c r="C21" s="365" t="str">
        <f>IF(SUM('DFP-CASH'!$C21:C21)&gt;SUM('DFP-Com'!$C19:D19),SUM('DFP-CASH'!$C21:C21)-SUM('DFP-Com'!$C19:D19),"ok")</f>
        <v>ok</v>
      </c>
      <c r="D21" s="365" t="str">
        <f>IF(SUM('DFP-CASH'!$C21:D21)&gt;SUM('DFP-Com'!$C19:E19),SUM('DFP-CASH'!$C21:D21)-SUM('DFP-Com'!$C19:E19),"ok")</f>
        <v>ok</v>
      </c>
      <c r="E21" s="365" t="str">
        <f>IF(SUM('DFP-CASH'!$C21:E21)&gt;SUM('DFP-Com'!$C19:F19),SUM('DFP-CASH'!$C21:E21)-SUM('DFP-Com'!$C19:F19),"ok")</f>
        <v>ok</v>
      </c>
      <c r="F21" s="365" t="str">
        <f>IF(SUM('DFP-CASH'!$C21:F21)&gt;SUM('DFP-Com'!$C19:G19),SUM('DFP-CASH'!$C21:F21)-SUM('DFP-Com'!$C19:G19),"ok")</f>
        <v>ok</v>
      </c>
      <c r="G21" s="365" t="str">
        <f>IF(SUM('DFP-CASH'!$C21:G21)&gt;SUM('DFP-Com'!$C19:G19),SUM('DFP-CASH'!$C21:G21)-SUM('DFP-Com'!$C19:G19),"ok")</f>
        <v>ok</v>
      </c>
      <c r="H21" s="365" t="str">
        <f>IF(SUM('DFP-CASH'!$C21:$G21)+('DFP-CASH'!H21)&gt;SUM('DFP-Com'!$C19:I19),SUM('DFP-CASH'!$C21:H21)-SUM('DFP-Com'!$C19:I19),"ok")</f>
        <v>ok</v>
      </c>
      <c r="I21" s="365" t="str">
        <f>IF(SUM('DFP-CASH'!$C21:$G21)+('DFP-CASH'!I21)&gt;SUM('DFP-Com'!$C19:J19),SUM('DFP-CASH'!$C21:I21)-SUM('DFP-Com'!$C19:J19),"ok")</f>
        <v>ok</v>
      </c>
      <c r="J21" s="365" t="str">
        <f>IF(SUM('DFP-CASH'!$C21:$G21)+('DFP-CASH'!J21)&gt;SUM('DFP-Com'!$C19:K19),SUM('DFP-CASH'!$C21:J21)-SUM('DFP-Com'!$C19:K19),"ok")</f>
        <v>ok</v>
      </c>
      <c r="K21" s="365" t="str">
        <f>IF(SUM('DFP-CASH'!$C21:$G21)+('DFP-CASH'!K21)&gt;SUM('DFP-Com'!$C19:L19),SUM('DFP-CASH'!$C21:K21)-SUM('DFP-Com'!$C19:L19),"ok")</f>
        <v>ok</v>
      </c>
      <c r="L21" s="365" t="str">
        <f>IF(SUM('DFP-CASH'!$C21:$G21)+('DFP-CASH'!L21)&gt;SUM('DFP-Com'!$C19:M19),SUM('DFP-CASH'!$C21:L21)-SUM('DFP-Com'!$C19:M19),"ok")</f>
        <v>ok</v>
      </c>
    </row>
    <row r="22" spans="1:12" ht="15">
      <c r="A22" s="200" t="s">
        <v>107</v>
      </c>
      <c r="B22" s="250" t="str">
        <f>IF('DFP-Com'!O20-'DFP-CASH'!O22=0,"ok",'DFP-Com'!O20-'DFP-CASH'!O22)</f>
        <v>ok</v>
      </c>
      <c r="C22" s="365" t="str">
        <f>IF(SUM('DFP-CASH'!$C22:C22)&gt;SUM('DFP-Com'!$C20:D20),SUM('DFP-CASH'!$C22:C22)-SUM('DFP-Com'!$C20:D20),"ok")</f>
        <v>ok</v>
      </c>
      <c r="D22" s="365" t="str">
        <f>IF(SUM('DFP-CASH'!$C22:D22)&gt;SUM('DFP-Com'!$C20:E20),SUM('DFP-CASH'!$C22:D22)-SUM('DFP-Com'!$C20:E20),"ok")</f>
        <v>ok</v>
      </c>
      <c r="E22" s="365" t="str">
        <f>IF(SUM('DFP-CASH'!$C22:E22)&gt;SUM('DFP-Com'!$C20:F20),SUM('DFP-CASH'!$C22:E22)-SUM('DFP-Com'!$C20:F20),"ok")</f>
        <v>ok</v>
      </c>
      <c r="F22" s="365" t="str">
        <f>IF(SUM('DFP-CASH'!$C22:F22)&gt;SUM('DFP-Com'!$C20:G20),SUM('DFP-CASH'!$C22:F22)-SUM('DFP-Com'!$C20:G20),"ok")</f>
        <v>ok</v>
      </c>
      <c r="G22" s="365" t="str">
        <f>IF(SUM('DFP-CASH'!$C22:G22)&gt;SUM('DFP-Com'!$C20:G20),SUM('DFP-CASH'!$C22:G22)-SUM('DFP-Com'!$C20:G20),"ok")</f>
        <v>ok</v>
      </c>
      <c r="H22" s="365" t="str">
        <f>IF(SUM('DFP-CASH'!$C22:$G22)+('DFP-CASH'!H22)&gt;SUM('DFP-Com'!$C20:I20),SUM('DFP-CASH'!$C22:H22)-SUM('DFP-Com'!$C20:I20),"ok")</f>
        <v>ok</v>
      </c>
      <c r="I22" s="365" t="str">
        <f>IF(SUM('DFP-CASH'!$C22:$G22)+('DFP-CASH'!I22)&gt;SUM('DFP-Com'!$C20:J20),SUM('DFP-CASH'!$C22:I22)-SUM('DFP-Com'!$C20:J20),"ok")</f>
        <v>ok</v>
      </c>
      <c r="J22" s="365" t="str">
        <f>IF(SUM('DFP-CASH'!$C22:$G22)+('DFP-CASH'!J22)&gt;SUM('DFP-Com'!$C20:K20),SUM('DFP-CASH'!$C22:J22)-SUM('DFP-Com'!$C20:K20),"ok")</f>
        <v>ok</v>
      </c>
      <c r="K22" s="365" t="str">
        <f>IF(SUM('DFP-CASH'!$C22:$G22)+('DFP-CASH'!K22)&gt;SUM('DFP-Com'!$C20:L20),SUM('DFP-CASH'!$C22:K22)-SUM('DFP-Com'!$C20:L20),"ok")</f>
        <v>ok</v>
      </c>
      <c r="L22" s="365" t="str">
        <f>IF(SUM('DFP-CASH'!$C22:$G22)+('DFP-CASH'!L22)&gt;SUM('DFP-Com'!$C20:M20),SUM('DFP-CASH'!$C22:L22)-SUM('DFP-Com'!$C20:M20),"ok")</f>
        <v>ok</v>
      </c>
    </row>
    <row r="23" spans="1:12" ht="25.5">
      <c r="A23" s="49" t="s">
        <v>71</v>
      </c>
      <c r="B23" s="250">
        <f>IF('DFP-Com'!O21-'DFP-CASH'!O23=0,"ok",'DFP-Com'!O21-'DFP-CASH'!O23)</f>
        <v>-0.0072999997064471245</v>
      </c>
      <c r="C23" s="365" t="str">
        <f>IF(SUM('DFP-CASH'!$C23:C23)&gt;SUM('DFP-Com'!$C21:D21),SUM('DFP-CASH'!$C23:C23)-SUM('DFP-Com'!$C21:D21),"ok")</f>
        <v>ok</v>
      </c>
      <c r="D23" s="365" t="str">
        <f>IF(SUM('DFP-CASH'!$C23:D23)&gt;SUM('DFP-Com'!$C21:E21),SUM('DFP-CASH'!$C23:D23)-SUM('DFP-Com'!$C21:E21),"ok")</f>
        <v>ok</v>
      </c>
      <c r="E23" s="365" t="str">
        <f>IF(SUM('DFP-CASH'!$C23:E23)&gt;SUM('DFP-Com'!$C21:F21),SUM('DFP-CASH'!$C23:E23)-SUM('DFP-Com'!$C21:F21),"ok")</f>
        <v>ok</v>
      </c>
      <c r="F23" s="365" t="str">
        <f>IF(SUM('DFP-CASH'!$C23:F23)&gt;SUM('DFP-Com'!$C21:G21),SUM('DFP-CASH'!$C23:F23)-SUM('DFP-Com'!$C21:G21),"ok")</f>
        <v>ok</v>
      </c>
      <c r="G23" s="365" t="str">
        <f>IF(SUM('DFP-CASH'!$C23:G23)&gt;SUM('DFP-Com'!$C21:H21),SUM('DFP-CASH'!$C23:G23)-SUM('DFP-Com'!$C21:H21),"ok")</f>
        <v>ok</v>
      </c>
      <c r="H23" s="365" t="str">
        <f>IF(SUM('DFP-CASH'!$C23:I23)&gt;SUM('DFP-Com'!$C21:J21),SUM('DFP-CASH'!$C23:I23)-SUM('DFP-Com'!$C21:J21),"ok")</f>
        <v>ok</v>
      </c>
      <c r="I23" s="365" t="str">
        <f>IF(SUM('DFP-CASH'!$C23:J23)&gt;SUM('DFP-Com'!$C21:K21),SUM('DFP-CASH'!$C23:J23)-SUM('DFP-Com'!$C21:K21),"ok")</f>
        <v>ok</v>
      </c>
      <c r="J23" s="365" t="str">
        <f>IF(SUM('DFP-CASH'!$C23:K23)&gt;SUM('DFP-Com'!$C21:L21),SUM('DFP-CASH'!$C23:K23)-SUM('DFP-Com'!$C21:L21),"ok")</f>
        <v>ok</v>
      </c>
      <c r="K23" s="365" t="str">
        <f>IF(SUM('DFP-CASH'!$C23:L23)&gt;SUM('DFP-Com'!$C21:M21),SUM('DFP-CASH'!$C23:L23)-SUM('DFP-Com'!$C21:M21),"ok")</f>
        <v>ok</v>
      </c>
      <c r="L23" s="365" t="str">
        <f>IF(SUM('DFP-CASH'!$C23:$G23)+('DFP-CASH'!L23)&gt;SUM('DFP-Com'!$C21:M21),SUM('DFP-CASH'!$C23:L23)-SUM('DFP-Com'!$C21:M21),"ok")</f>
        <v>ok</v>
      </c>
    </row>
    <row r="24" spans="1:12" ht="15">
      <c r="A24" s="200" t="s">
        <v>100</v>
      </c>
      <c r="B24" s="250">
        <f>IF('DFP-Com'!O22-'DFP-CASH'!O24=0,"ok",'DFP-Com'!O22-'DFP-CASH'!O24)</f>
        <v>0.0027000000700354576</v>
      </c>
      <c r="C24" s="365" t="str">
        <f>IF(SUM('DFP-CASH'!$C24:C24)&gt;SUM('DFP-Com'!$C22:F22),SUM('DFP-CASH'!$C24:C24)-SUM('DFP-Com'!$C22:F22),"ok")</f>
        <v>ok</v>
      </c>
      <c r="D24" s="365" t="str">
        <f>IF(SUM('DFP-CASH'!$C24:G24)&gt;SUM('DFP-Com'!$C22:F22),SUM('DFP-CASH'!$C24:G24)-SUM('DFP-Com'!$C22:F22),"ok")</f>
        <v>ok</v>
      </c>
      <c r="E24" s="365" t="str">
        <f>IF(SUM('DFP-CASH'!$C24:G24)&gt;SUM('DFP-Com'!$C22:F22),SUM('DFP-CASH'!$C24:G24)-SUM('DFP-Com'!$C22:F22),"ok")</f>
        <v>ok</v>
      </c>
      <c r="F24" s="365" t="str">
        <f>IF(SUM('DFP-CASH'!$C24:G24)&gt;SUM('DFP-Com'!$C22:G22),SUM('DFP-CASH'!$C24:G24)-SUM('DFP-Com'!$C22:G22),"ok")</f>
        <v>ok</v>
      </c>
      <c r="G24" s="365" t="str">
        <f>IF(SUM('DFP-CASH'!$C24:G24)&gt;SUM('DFP-Com'!$C22:G22),SUM('DFP-CASH'!$C24:G24)-SUM('DFP-Com'!$C22:G22),"ok")</f>
        <v>ok</v>
      </c>
      <c r="H24" s="365" t="str">
        <f>IF(SUM('DFP-CASH'!$C24:$G24)+('DFP-CASH'!H24)&gt;SUM('DFP-Com'!$C22:I22),SUM('DFP-CASH'!$C24:H24)-SUM('DFP-Com'!$C22:I22),"ok")</f>
        <v>ok</v>
      </c>
      <c r="I24" s="365" t="str">
        <f>IF(SUM('DFP-CASH'!$C24:$G24)+('DFP-CASH'!I24)&gt;SUM('DFP-Com'!$C22:J22),SUM('DFP-CASH'!$C24:I24)-SUM('DFP-Com'!$C22:J22),"ok")</f>
        <v>ok</v>
      </c>
      <c r="J24" s="365" t="str">
        <f>IF(SUM('DFP-CASH'!$C24:$G24)+('DFP-CASH'!J24)&gt;SUM('DFP-Com'!$C22:K22),SUM('DFP-CASH'!$C24:J24)-SUM('DFP-Com'!$C22:K22),"ok")</f>
        <v>ok</v>
      </c>
      <c r="K24" s="365" t="str">
        <f>IF(SUM('DFP-CASH'!$C24:$G24)+('DFP-CASH'!K24)&gt;SUM('DFP-Com'!$C22:L22),SUM('DFP-CASH'!$C24:K24)-SUM('DFP-Com'!$C22:L22),"ok")</f>
        <v>ok</v>
      </c>
      <c r="L24" s="365" t="str">
        <f>IF(SUM('DFP-CASH'!$C24:$G24)+('DFP-CASH'!L24)&gt;SUM('DFP-Com'!$C22:M22),SUM('DFP-CASH'!$C24:L24)-SUM('DFP-Com'!$C22:M22),"ok")</f>
        <v>ok</v>
      </c>
    </row>
    <row r="25" spans="1:12" ht="15">
      <c r="A25" s="200" t="s">
        <v>116</v>
      </c>
      <c r="B25" s="250">
        <f>IF('DFP-Com'!O23-'DFP-CASH'!O25=0,"ok",'DFP-Com'!O23-'DFP-CASH'!O25)</f>
        <v>-0.010000000009313226</v>
      </c>
      <c r="C25" s="365" t="str">
        <f>IF(SUM('DFP-CASH'!$C25:C25)&gt;SUM('DFP-Com'!$C23:D23),SUM('DFP-CASH'!$C25:C25)-SUM('DFP-Com'!$C23:D23),"ok")</f>
        <v>ok</v>
      </c>
      <c r="D25" s="365" t="str">
        <f>IF(SUM('DFP-CASH'!$C25:D25)&gt;SUM('DFP-Com'!$C23:E23),SUM('DFP-CASH'!$C25:D25)-SUM('DFP-Com'!$C23:E23),"ok")</f>
        <v>ok</v>
      </c>
      <c r="E25" s="365" t="str">
        <f>IF(SUM('DFP-CASH'!$C25:E25)&gt;SUM('DFP-Com'!$C23:F23),SUM('DFP-CASH'!$C25:E25)-SUM('DFP-Com'!$C23:F23),"ok")</f>
        <v>ok</v>
      </c>
      <c r="F25" s="365" t="str">
        <f>IF(SUM('DFP-CASH'!$C25:F25)&gt;SUM('DFP-Com'!$C23:G23),SUM('DFP-CASH'!$C25:F25)-SUM('DFP-Com'!$C23:G23),"ok")</f>
        <v>ok</v>
      </c>
      <c r="G25" s="365" t="str">
        <f>IF(SUM('DFP-CASH'!$C25:G25)&gt;SUM('DFP-Com'!$C23:G23),SUM('DFP-CASH'!$C25:G25)-SUM('DFP-Com'!$C23:G23),"ok")</f>
        <v>ok</v>
      </c>
      <c r="H25" s="365" t="str">
        <f>IF(SUM('DFP-CASH'!$C25:$G25)+('DFP-CASH'!H25)&gt;SUM('DFP-Com'!$C23:I23),SUM('DFP-CASH'!$C25:H25)-SUM('DFP-Com'!$C23:I23),"ok")</f>
        <v>ok</v>
      </c>
      <c r="I25" s="365" t="str">
        <f>IF(SUM('DFP-CASH'!$C25:$G25)+('DFP-CASH'!I25)&gt;SUM('DFP-Com'!$C23:J23),SUM('DFP-CASH'!$C25:I25)-SUM('DFP-Com'!$C23:J23),"ok")</f>
        <v>ok</v>
      </c>
      <c r="J25" s="365" t="str">
        <f>IF(SUM('DFP-CASH'!$C25:$G25)+('DFP-CASH'!J25)&gt;SUM('DFP-Com'!$C23:K23),SUM('DFP-CASH'!$C25:J25)-SUM('DFP-Com'!$C23:K23),"ok")</f>
        <v>ok</v>
      </c>
      <c r="K25" s="365" t="str">
        <f>IF(SUM('DFP-CASH'!$C25:$G25)+('DFP-CASH'!K25)&gt;SUM('DFP-Com'!$C23:L23),SUM('DFP-CASH'!$C25:K25)-SUM('DFP-Com'!$C23:L23),"ok")</f>
        <v>ok</v>
      </c>
      <c r="L25" s="365" t="str">
        <f>IF(SUM('DFP-CASH'!$C25:$G25)+('DFP-CASH'!L25)&gt;SUM('DFP-Com'!$C23:M23),SUM('DFP-CASH'!$C25:L25)-SUM('DFP-Com'!$C23:M23),"ok")</f>
        <v>ok</v>
      </c>
    </row>
    <row r="26" spans="1:12" ht="15">
      <c r="A26" s="200" t="s">
        <v>115</v>
      </c>
      <c r="B26" s="250" t="str">
        <f>IF('DFP-Com'!O24-'DFP-CASH'!O26=0,"ok",'DFP-Com'!O24-'DFP-CASH'!O26)</f>
        <v>ok</v>
      </c>
      <c r="C26" s="365" t="str">
        <f>IF(SUM('DFP-CASH'!$C26:C26)&gt;SUM('DFP-Com'!$C24:D24),SUM('DFP-CASH'!$C26:C26)-SUM('DFP-Com'!$C24:D24),"ok")</f>
        <v>ok</v>
      </c>
      <c r="D26" s="365" t="str">
        <f>IF(SUM('DFP-CASH'!$C26:D26)&gt;SUM('DFP-Com'!$C24:E24),SUM('DFP-CASH'!$C26:D26)-SUM('DFP-Com'!$C24:E24),"ok")</f>
        <v>ok</v>
      </c>
      <c r="E26" s="365" t="str">
        <f>IF(SUM('DFP-CASH'!$C26:E26)&gt;SUM('DFP-Com'!$C24:F24),SUM('DFP-CASH'!$C26:E26)-SUM('DFP-Com'!$C24:F24),"ok")</f>
        <v>ok</v>
      </c>
      <c r="F26" s="365" t="str">
        <f>IF(SUM('DFP-CASH'!$C26:F26)&gt;SUM('DFP-Com'!$C24:G24),SUM('DFP-CASH'!$C26:F26)-SUM('DFP-Com'!$C24:G24),"ok")</f>
        <v>ok</v>
      </c>
      <c r="G26" s="365" t="str">
        <f>IF(SUM('DFP-CASH'!$C26:G26)&gt;SUM('DFP-Com'!$C24:G24),SUM('DFP-CASH'!$C26:G26)-SUM('DFP-Com'!$C24:G24),"ok")</f>
        <v>ok</v>
      </c>
      <c r="H26" s="365" t="str">
        <f>IF(SUM('DFP-CASH'!$C26:$G26)+('DFP-CASH'!H26)&gt;SUM('DFP-Com'!$C24:I24),SUM('DFP-CASH'!$C26:H26)-SUM('DFP-Com'!$C24:I24),"ok")</f>
        <v>ok</v>
      </c>
      <c r="I26" s="365" t="str">
        <f>IF(SUM('DFP-CASH'!$C26:$G26)+('DFP-CASH'!I26)&gt;SUM('DFP-Com'!$C24:J24),SUM('DFP-CASH'!$C26:I26)-SUM('DFP-Com'!$C24:J24),"ok")</f>
        <v>ok</v>
      </c>
      <c r="J26" s="365" t="str">
        <f>IF(SUM('DFP-CASH'!$C26:$G26)+('DFP-CASH'!J26)&gt;SUM('DFP-Com'!$C24:K24),SUM('DFP-CASH'!$C26:J26)-SUM('DFP-Com'!$C24:K24),"ok")</f>
        <v>ok</v>
      </c>
      <c r="K26" s="365" t="str">
        <f>IF(SUM('DFP-CASH'!$C26:$G26)+('DFP-CASH'!K26)&gt;SUM('DFP-Com'!$C24:L24),SUM('DFP-CASH'!$C26:K26)-SUM('DFP-Com'!$C24:L24),"ok")</f>
        <v>ok</v>
      </c>
      <c r="L26" s="365" t="str">
        <f>IF(SUM('DFP-CASH'!$C26:$G26)+('DFP-CASH'!L26)&gt;SUM('DFP-Com'!$C24:M24),SUM('DFP-CASH'!$C26:L26)-SUM('DFP-Com'!$C24:M24),"ok")</f>
        <v>ok</v>
      </c>
    </row>
    <row r="27" spans="1:12" ht="15">
      <c r="A27" s="51" t="s">
        <v>61</v>
      </c>
      <c r="B27" s="250">
        <f>IF('DFP-Com'!O25-'DFP-CASH'!O27=0,"ok",'DFP-Com'!O25-'DFP-CASH'!O27)</f>
        <v>-0.018500685691833496</v>
      </c>
      <c r="C27" s="365" t="str">
        <f>IF(SUM('DFP-CASH'!$C27:C27)&gt;SUM('DFP-Com'!$C25:D25),SUM('DFP-CASH'!$C27:C27)-SUM('DFP-Com'!$C25:D25),"ok")</f>
        <v>ok</v>
      </c>
      <c r="D27" s="365" t="str">
        <f>IF(SUM('DFP-CASH'!$C27:D27)&gt;SUM('DFP-Com'!$C25:E25),SUM('DFP-CASH'!$C27:D27)-SUM('DFP-Com'!$C25:E25),"ok")</f>
        <v>ok</v>
      </c>
      <c r="E27" s="365" t="str">
        <f>IF(SUM('DFP-CASH'!$C27:E27)&gt;SUM('DFP-Com'!$C25:F25),SUM('DFP-CASH'!$C27:E27)-SUM('DFP-Com'!$C25:F25),"ok")</f>
        <v>ok</v>
      </c>
      <c r="F27" s="365" t="str">
        <f>IF(SUM('DFP-CASH'!$C27:F27)&gt;SUM('DFP-Com'!$C25:G25),SUM('DFP-CASH'!$C27:F27)-SUM('DFP-Com'!$C25:G25),"ok")</f>
        <v>ok</v>
      </c>
      <c r="G27" s="365" t="str">
        <f>IF(SUM('DFP-CASH'!$C27:G27)&gt;SUM('DFP-Com'!$C25:G25),SUM('DFP-CASH'!$C27:G27)-SUM('DFP-Com'!$C25:G25),"ok")</f>
        <v>ok</v>
      </c>
      <c r="H27" s="365" t="str">
        <f>IF(SUM('DFP-CASH'!$C27:H27)&gt;SUM('DFP-Com'!$C25:H25),SUM('DFP-CASH'!$C27:H27)-SUM('DFP-Com'!$C25:H25),"ok")</f>
        <v>ok</v>
      </c>
      <c r="I27" s="365" t="str">
        <f>IF(SUM('DFP-CASH'!$C27:I27)&gt;SUM('DFP-Com'!$C25:I25),SUM('DFP-CASH'!$C27:I27)-SUM('DFP-Com'!$C25:I25),"ok")</f>
        <v>ok</v>
      </c>
      <c r="J27" s="365" t="str">
        <f>IF(SUM('DFP-CASH'!$C27:$G27)+('DFP-CASH'!J27)&gt;SUM('DFP-Com'!$C25:K25),SUM('DFP-CASH'!$C27:J27)-SUM('DFP-Com'!$C25:K25),"ok")</f>
        <v>ok</v>
      </c>
      <c r="K27" s="365" t="str">
        <f>IF(SUM('DFP-CASH'!$C27:$G27)+('DFP-CASH'!K27)&gt;SUM('DFP-Com'!$C25:L25),SUM('DFP-CASH'!$C27:K27)-SUM('DFP-Com'!$C25:L25),"ok")</f>
        <v>ok</v>
      </c>
      <c r="L27" s="365" t="str">
        <f>IF(SUM('DFP-CASH'!$C27:$G27)+('DFP-CASH'!L27)&gt;SUM('DFP-Com'!$C25:M25),SUM('DFP-CASH'!$C27:L27)-SUM('DFP-Com'!$C25:M25),"ok")</f>
        <v>ok</v>
      </c>
    </row>
    <row r="28" spans="1:12" ht="15">
      <c r="A28" s="53"/>
      <c r="B28" s="250" t="str">
        <f>IF('DFP-Com'!O26-'DFP-CASH'!O28=0,"ok",'DFP-Com'!O26-'DFP-CASH'!O28)</f>
        <v>ok</v>
      </c>
      <c r="C28" s="365" t="str">
        <f>IF(SUM('DFP-CASH'!$C28:C28)&gt;SUM('DFP-Com'!$C26:D26),SUM('DFP-CASH'!$C28:C28)-SUM('DFP-Com'!$C26:D26),"ok")</f>
        <v>ok</v>
      </c>
      <c r="D28" s="365" t="str">
        <f>IF(SUM('DFP-CASH'!$C28:D28)&gt;SUM('DFP-Com'!$C26:E26),SUM('DFP-CASH'!$C28:D28)-SUM('DFP-Com'!$C26:E26),"ok")</f>
        <v>ok</v>
      </c>
      <c r="E28" s="365" t="str">
        <f>IF(SUM('DFP-CASH'!$C28:E28)&gt;SUM('DFP-Com'!$C26:F26),SUM('DFP-CASH'!$C28:E28)-SUM('DFP-Com'!$C26:F26),"ok")</f>
        <v>ok</v>
      </c>
      <c r="F28" s="365" t="str">
        <f>IF(SUM('DFP-CASH'!$C28:F28)&gt;SUM('DFP-Com'!$C26:G26),SUM('DFP-CASH'!$C28:F28)-SUM('DFP-Com'!$C26:G26),"ok")</f>
        <v>ok</v>
      </c>
      <c r="G28" s="365" t="str">
        <f>IF(SUM('DFP-CASH'!$C28:G28)&gt;SUM('DFP-Com'!$C26:G26),SUM('DFP-CASH'!$C28:G28)-SUM('DFP-Com'!$C26:G26),"ok")</f>
        <v>ok</v>
      </c>
      <c r="H28" s="365" t="str">
        <f>IF(SUM('DFP-CASH'!$C28:$G28)+('DFP-CASH'!H28)&gt;SUM('DFP-Com'!$C26:I26),SUM('DFP-CASH'!$C28:H28)-SUM('DFP-Com'!$C26:I26),"ok")</f>
        <v>ok</v>
      </c>
      <c r="I28" s="365" t="str">
        <f>IF(SUM('DFP-CASH'!$C28:$G28)+('DFP-CASH'!I28)&gt;SUM('DFP-Com'!$C26:J26),SUM('DFP-CASH'!$C28:I28)-SUM('DFP-Com'!$C26:J26),"ok")</f>
        <v>ok</v>
      </c>
      <c r="J28" s="365" t="str">
        <f>IF(SUM('DFP-CASH'!$C28:$G28)+('DFP-CASH'!J28)&gt;SUM('DFP-Com'!$C26:K26),SUM('DFP-CASH'!$C28:J28)-SUM('DFP-Com'!$C26:K26),"ok")</f>
        <v>ok</v>
      </c>
      <c r="K28" s="365" t="str">
        <f>IF(SUM('DFP-CASH'!$C28:$G28)+('DFP-CASH'!K28)&gt;SUM('DFP-Com'!$C26:L26),SUM('DFP-CASH'!$C28:K28)-SUM('DFP-Com'!$C26:L26),"ok")</f>
        <v>ok</v>
      </c>
      <c r="L28" s="365" t="str">
        <f>IF(SUM('DFP-CASH'!$C28:$G28)+('DFP-CASH'!L28)&gt;SUM('DFP-Com'!$C26:M26),SUM('DFP-CASH'!$C28:L28)-SUM('DFP-Com'!$C26:M26),"ok")</f>
        <v>ok</v>
      </c>
    </row>
    <row r="29" spans="1:12" ht="15">
      <c r="A29" s="44" t="s">
        <v>74</v>
      </c>
      <c r="B29" s="250" t="str">
        <f>IF('DFP-Com'!O27-'DFP-CASH'!O29=0,"ok",'DFP-Com'!O27-'DFP-CASH'!O29)</f>
        <v>ok</v>
      </c>
      <c r="C29" s="365" t="str">
        <f>IF(SUM('DFP-CASH'!$C29:C29)&gt;SUM('DFP-Com'!$C27:D27),SUM('DFP-CASH'!$C29:C29)-SUM('DFP-Com'!$C27:D27),"ok")</f>
        <v>ok</v>
      </c>
      <c r="D29" s="365" t="str">
        <f>IF(SUM('DFP-CASH'!$C29:D29)&gt;SUM('DFP-Com'!$C27:E27),SUM('DFP-CASH'!$C29:D29)-SUM('DFP-Com'!$C27:E27),"ok")</f>
        <v>ok</v>
      </c>
      <c r="E29" s="365" t="str">
        <f>IF(SUM('DFP-CASH'!$C29:E29)&gt;SUM('DFP-Com'!$C27:F27),SUM('DFP-CASH'!$C29:E29)-SUM('DFP-Com'!$C27:F27),"ok")</f>
        <v>ok</v>
      </c>
      <c r="F29" s="365" t="str">
        <f>IF(SUM('DFP-CASH'!$C29:F29)&gt;SUM('DFP-Com'!$C27:G27),SUM('DFP-CASH'!$C29:F29)-SUM('DFP-Com'!$C27:G27),"ok")</f>
        <v>ok</v>
      </c>
      <c r="G29" s="365" t="str">
        <f>IF(SUM('DFP-CASH'!$C29:G29)&gt;SUM('DFP-Com'!$C27:G27),SUM('DFP-CASH'!$C29:G29)-SUM('DFP-Com'!$C27:G27),"ok")</f>
        <v>ok</v>
      </c>
      <c r="H29" s="365" t="str">
        <f>IF(SUM('DFP-CASH'!$C29:$G29)+('DFP-CASH'!H29)&gt;SUM('DFP-Com'!$C27:I27),SUM('DFP-CASH'!$C29:H29)-SUM('DFP-Com'!$C27:I27),"ok")</f>
        <v>ok</v>
      </c>
      <c r="I29" s="365" t="str">
        <f>IF(SUM('DFP-CASH'!$C29:$G29)+('DFP-CASH'!I29)&gt;SUM('DFP-Com'!$C27:J27),SUM('DFP-CASH'!$C29:I29)-SUM('DFP-Com'!$C27:J27),"ok")</f>
        <v>ok</v>
      </c>
      <c r="J29" s="365" t="str">
        <f>IF(SUM('DFP-CASH'!$C29:$G29)+('DFP-CASH'!J29)&gt;SUM('DFP-Com'!$C27:K27),SUM('DFP-CASH'!$C29:J29)-SUM('DFP-Com'!$C27:K27),"ok")</f>
        <v>ok</v>
      </c>
      <c r="K29" s="365" t="str">
        <f>IF(SUM('DFP-CASH'!$C29:$G29)+('DFP-CASH'!K29)&gt;SUM('DFP-Com'!$C27:L27),SUM('DFP-CASH'!$C29:K29)-SUM('DFP-Com'!$C27:L27),"ok")</f>
        <v>ok</v>
      </c>
      <c r="L29" s="365" t="str">
        <f>IF(SUM('DFP-CASH'!$C29:$G29)+('DFP-CASH'!L29)&gt;SUM('DFP-Com'!$C27:M27),SUM('DFP-CASH'!$C29:L29)-SUM('DFP-Com'!$C27:M27),"ok")</f>
        <v>ok</v>
      </c>
    </row>
    <row r="30" spans="1:12" ht="15">
      <c r="A30" s="49" t="s">
        <v>117</v>
      </c>
      <c r="B30" s="250">
        <f>IF('DFP-Com'!O28-'DFP-CASH'!O30=0,"ok",'DFP-Com'!O28-'DFP-CASH'!O30)</f>
        <v>-0.010000000125728548</v>
      </c>
      <c r="C30" s="365" t="str">
        <f>IF(SUM('DFP-CASH'!$C30:C30)&gt;SUM('DFP-Com'!$C28:D28),SUM('DFP-CASH'!$C30:C30)-SUM('DFP-Com'!$C28:D28),"ok")</f>
        <v>ok</v>
      </c>
      <c r="D30" s="365" t="str">
        <f>IF(SUM('DFP-CASH'!$C30:D30)&gt;SUM('DFP-Com'!$C28:E28),SUM('DFP-CASH'!$C30:D30)-SUM('DFP-Com'!$C28:E28),"ok")</f>
        <v>ok</v>
      </c>
      <c r="E30" s="365" t="str">
        <f>IF(SUM('DFP-CASH'!$C30:E30)&gt;SUM('DFP-Com'!$C28:F28),SUM('DFP-CASH'!$C30:E30)-SUM('DFP-Com'!$C28:F28),"ok")</f>
        <v>ok</v>
      </c>
      <c r="F30" s="365" t="str">
        <f>IF(SUM('DFP-CASH'!$C30:F30)&gt;SUM('DFP-Com'!$C28:G28),SUM('DFP-CASH'!$C30:F30)-SUM('DFP-Com'!$C28:G28),"ok")</f>
        <v>ok</v>
      </c>
      <c r="G30" s="365" t="str">
        <f>IF(SUM('DFP-CASH'!$C30:G30)&gt;SUM('DFP-Com'!$C28:H28),SUM('DFP-CASH'!$C30:G30)-SUM('DFP-Com'!$C28:H28),"ok")</f>
        <v>ok</v>
      </c>
      <c r="H30" s="365" t="str">
        <f>IF(SUM('DFP-CASH'!$C30:$G30)+('DFP-CASH'!H30)&gt;SUM('DFP-Com'!$C28:I28),SUM('DFP-CASH'!$C30:H30)-SUM('DFP-Com'!$C28:I28),"ok")</f>
        <v>ok</v>
      </c>
      <c r="I30" s="365" t="str">
        <f>IF(SUM('DFP-CASH'!$C30:$G30)+('DFP-CASH'!I30)&gt;SUM('DFP-Com'!$C28:J28),SUM('DFP-CASH'!$C30:I30)-SUM('DFP-Com'!$C28:J28),"ok")</f>
        <v>ok</v>
      </c>
      <c r="J30" s="365" t="str">
        <f>IF(SUM('DFP-CASH'!$C30:$G30)+('DFP-CASH'!J30)&gt;SUM('DFP-Com'!$C28:K28),SUM('DFP-CASH'!$C30:J30)-SUM('DFP-Com'!$C28:K28),"ok")</f>
        <v>ok</v>
      </c>
      <c r="K30" s="365" t="str">
        <f>IF(SUM('DFP-CASH'!$C30:$G30)+('DFP-CASH'!K30)&gt;SUM('DFP-Com'!$C28:L28),SUM('DFP-CASH'!$C30:K30)-SUM('DFP-Com'!$C28:L28),"ok")</f>
        <v>ok</v>
      </c>
      <c r="L30" s="365" t="str">
        <f>IF(SUM('DFP-CASH'!$C30:$G30)+('DFP-CASH'!L30)&gt;SUM('DFP-Com'!$C28:M28),SUM('DFP-CASH'!$C30:L30)-SUM('DFP-Com'!$C28:M28),"ok")</f>
        <v>ok</v>
      </c>
    </row>
    <row r="31" spans="1:12" ht="15">
      <c r="A31" s="200" t="s">
        <v>110</v>
      </c>
      <c r="B31" s="250">
        <f>IF('DFP-Com'!O29-'DFP-CASH'!O31=0,"ok",'DFP-Com'!O29-'DFP-CASH'!O31)</f>
        <v>-0.010000000125728548</v>
      </c>
      <c r="C31" s="365" t="str">
        <f>IF(SUM('DFP-CASH'!$C31:C31)&gt;SUM('DFP-Com'!$C29:D29),SUM('DFP-CASH'!$C31:C31)-SUM('DFP-Com'!$C29:D29),"ok")</f>
        <v>ok</v>
      </c>
      <c r="D31" s="365" t="str">
        <f>IF(SUM('DFP-CASH'!$C31:D31)&gt;SUM('DFP-Com'!$C29:E29),SUM('DFP-CASH'!$C31:D31)-SUM('DFP-Com'!$C29:E29),"ok")</f>
        <v>ok</v>
      </c>
      <c r="E31" s="365" t="str">
        <f>IF(SUM('DFP-CASH'!$C31:E31)&gt;SUM('DFP-Com'!$C29:F29),SUM('DFP-CASH'!$C31:E31)-SUM('DFP-Com'!$C29:F29),"ok")</f>
        <v>ok</v>
      </c>
      <c r="F31" s="365" t="str">
        <f>IF(SUM('DFP-CASH'!$C31:F31)&gt;SUM('DFP-Com'!$C29:G29),SUM('DFP-CASH'!$C31:F31)-SUM('DFP-Com'!$C29:G29),"ok")</f>
        <v>ok</v>
      </c>
      <c r="G31" s="365" t="str">
        <f>IF(SUM('DFP-CASH'!$C31:G31)&gt;SUM('DFP-Com'!$C29:H29),SUM('DFP-CASH'!$C31:G31)-SUM('DFP-Com'!$C29:H29),"ok")</f>
        <v>ok</v>
      </c>
      <c r="H31" s="365" t="str">
        <f>IF(SUM('DFP-CASH'!$C31:$G31)+('DFP-CASH'!H31)&gt;SUM('DFP-Com'!$C29:I29),SUM('DFP-CASH'!$C31:H31)-SUM('DFP-Com'!$C29:I29),"ok")</f>
        <v>ok</v>
      </c>
      <c r="I31" s="365" t="str">
        <f>IF(SUM('DFP-CASH'!$C31:$G31)+('DFP-CASH'!I31)&gt;SUM('DFP-Com'!$C29:J29),SUM('DFP-CASH'!$C31:I31)-SUM('DFP-Com'!$C29:J29),"ok")</f>
        <v>ok</v>
      </c>
      <c r="J31" s="365" t="str">
        <f>IF(SUM('DFP-CASH'!$C31:$G31)+('DFP-CASH'!J31)&gt;SUM('DFP-Com'!$C29:K29),SUM('DFP-CASH'!$C31:J31)-SUM('DFP-Com'!$C29:K29),"ok")</f>
        <v>ok</v>
      </c>
      <c r="K31" s="365" t="str">
        <f>IF(SUM('DFP-CASH'!$C31:$G31)+('DFP-CASH'!K31)&gt;SUM('DFP-Com'!$C29:L29),SUM('DFP-CASH'!$C31:K31)-SUM('DFP-Com'!$C29:L29),"ok")</f>
        <v>ok</v>
      </c>
      <c r="L31" s="365" t="str">
        <f>IF(SUM('DFP-CASH'!$C31:$G31)+('DFP-CASH'!L31)&gt;SUM('DFP-Com'!$C29:M29),SUM('DFP-CASH'!$C31:L31)-SUM('DFP-Com'!$C29:M29),"ok")</f>
        <v>ok</v>
      </c>
    </row>
    <row r="32" spans="1:12" ht="25.5">
      <c r="A32" s="49" t="s">
        <v>78</v>
      </c>
      <c r="B32" s="250" t="str">
        <f>IF('DFP-Com'!O30-'DFP-CASH'!O32=0,"ok",'DFP-Com'!O30-'DFP-CASH'!O32)</f>
        <v>ok</v>
      </c>
      <c r="C32" s="365" t="str">
        <f>IF(SUM('DFP-CASH'!$C32:C32)&gt;SUM('DFP-Com'!$C30:D30),SUM('DFP-CASH'!$C32:C32)-SUM('DFP-Com'!$C30:D30),"ok")</f>
        <v>ok</v>
      </c>
      <c r="D32" s="365" t="str">
        <f>IF(SUM('DFP-CASH'!$C32:D32)&gt;SUM('DFP-Com'!$C30:E30),SUM('DFP-CASH'!$C32:D32)-SUM('DFP-Com'!$C30:E30),"ok")</f>
        <v>ok</v>
      </c>
      <c r="E32" s="365" t="str">
        <f>IF(SUM('DFP-CASH'!$C32:E32)&gt;SUM('DFP-Com'!$C30:F30),SUM('DFP-CASH'!$C32:E32)-SUM('DFP-Com'!$C30:F30),"ok")</f>
        <v>ok</v>
      </c>
      <c r="F32" s="365" t="str">
        <f>IF(SUM('DFP-CASH'!$C32:F32)&gt;SUM('DFP-Com'!$C30:G30),SUM('DFP-CASH'!$C32:F32)-SUM('DFP-Com'!$C30:G30),"ok")</f>
        <v>ok</v>
      </c>
      <c r="G32" s="365" t="str">
        <f>IF(SUM('DFP-CASH'!$C32:G32)&gt;SUM('DFP-Com'!$C30:G30),SUM('DFP-CASH'!$C32:G32)-SUM('DFP-Com'!$C30:G30),"ok")</f>
        <v>ok</v>
      </c>
      <c r="H32" s="365" t="str">
        <f>IF(SUM('DFP-CASH'!$C32:$G32)+('DFP-CASH'!H32)&gt;SUM('DFP-Com'!$C30:I30),SUM('DFP-CASH'!$C32:H32)-SUM('DFP-Com'!$C30:I30),"ok")</f>
        <v>ok</v>
      </c>
      <c r="I32" s="365" t="str">
        <f>IF(SUM('DFP-CASH'!$C32:$G32)+('DFP-CASH'!I32)&gt;SUM('DFP-Com'!$C30:J30),SUM('DFP-CASH'!$C32:I32)-SUM('DFP-Com'!$C30:J30),"ok")</f>
        <v>ok</v>
      </c>
      <c r="J32" s="365" t="str">
        <f>IF(SUM('DFP-CASH'!$C32:$G32)+('DFP-CASH'!J32)&gt;SUM('DFP-Com'!$C30:K30),SUM('DFP-CASH'!$C32:J32)-SUM('DFP-Com'!$C30:K30),"ok")</f>
        <v>ok</v>
      </c>
      <c r="K32" s="365" t="str">
        <f>IF(SUM('DFP-CASH'!$C32:$G32)+('DFP-CASH'!K32)&gt;SUM('DFP-Com'!$C30:L30),SUM('DFP-CASH'!$C32:K32)-SUM('DFP-Com'!$C30:L30),"ok")</f>
        <v>ok</v>
      </c>
      <c r="L32" s="365" t="str">
        <f>IF(SUM('DFP-CASH'!$C32:$G32)+('DFP-CASH'!L32)&gt;SUM('DFP-Com'!$C30:M30),SUM('DFP-CASH'!$C32:L32)-SUM('DFP-Com'!$C30:M30),"ok")</f>
        <v>ok</v>
      </c>
    </row>
    <row r="33" spans="1:12" ht="15">
      <c r="A33" s="200" t="s">
        <v>111</v>
      </c>
      <c r="B33" s="250">
        <f>IF('DFP-Com'!O31-'DFP-CASH'!O33=0,"ok",'DFP-Com'!O31-'DFP-CASH'!O33)</f>
        <v>-1.1641532182693481E-10</v>
      </c>
      <c r="C33" s="365" t="str">
        <f>IF(SUM('DFP-CASH'!$C33:C33)&gt;SUM('DFP-Com'!$C31:D31),SUM('DFP-CASH'!$C33:C33)-SUM('DFP-Com'!$C31:D31),"ok")</f>
        <v>ok</v>
      </c>
      <c r="D33" s="365" t="str">
        <f>IF(SUM('DFP-CASH'!$C33:D33)&gt;SUM('DFP-Com'!$C31:E31),SUM('DFP-CASH'!$C33:D33)-SUM('DFP-Com'!$C31:E31),"ok")</f>
        <v>ok</v>
      </c>
      <c r="E33" s="365" t="str">
        <f>IF(SUM('DFP-CASH'!$C33:E33)&gt;SUM('DFP-Com'!$C31:F31),SUM('DFP-CASH'!$C33:E33)-SUM('DFP-Com'!$C31:F31),"ok")</f>
        <v>ok</v>
      </c>
      <c r="F33" s="365" t="str">
        <f>IF(SUM('DFP-CASH'!$C33:F33)&gt;SUM('DFP-Com'!$C31:G31),SUM('DFP-CASH'!$C33:F33)-SUM('DFP-Com'!$C31:G31),"ok")</f>
        <v>ok</v>
      </c>
      <c r="G33" s="365" t="str">
        <f>IF(SUM('DFP-CASH'!$C33:G33)&gt;SUM('DFP-Com'!$C31:G31),SUM('DFP-CASH'!$C33:G33)-SUM('DFP-Com'!$C31:G31),"ok")</f>
        <v>ok</v>
      </c>
      <c r="H33" s="365" t="str">
        <f>IF(SUM('DFP-CASH'!$C33:$G33)+('DFP-CASH'!H33)&gt;SUM('DFP-Com'!$C31:I31),SUM('DFP-CASH'!$C33:H33)-SUM('DFP-Com'!$C31:I31),"ok")</f>
        <v>ok</v>
      </c>
      <c r="I33" s="365" t="str">
        <f>IF(SUM('DFP-CASH'!$C33:$G33)+('DFP-CASH'!I33)&gt;SUM('DFP-Com'!$C31:J31),SUM('DFP-CASH'!$C33:I33)-SUM('DFP-Com'!$C31:J31),"ok")</f>
        <v>ok</v>
      </c>
      <c r="J33" s="365" t="str">
        <f>IF(SUM('DFP-CASH'!$C33:$G33)+('DFP-CASH'!J33)&gt;SUM('DFP-Com'!$C31:K31),SUM('DFP-CASH'!$C33:J33)-SUM('DFP-Com'!$C31:K31),"ok")</f>
        <v>ok</v>
      </c>
      <c r="K33" s="365" t="str">
        <f>IF(SUM('DFP-CASH'!$C33:$G33)+('DFP-CASH'!K33)&gt;SUM('DFP-Com'!$C31:L31),SUM('DFP-CASH'!$C33:K33)-SUM('DFP-Com'!$C31:L31),"ok")</f>
        <v>ok</v>
      </c>
      <c r="L33" s="365" t="str">
        <f>IF(SUM('DFP-CASH'!$C33:$G33)+('DFP-CASH'!L33)&gt;SUM('DFP-Com'!$C31:M31),SUM('DFP-CASH'!$C33:L33)-SUM('DFP-Com'!$C31:M31),"ok")</f>
        <v>ok</v>
      </c>
    </row>
    <row r="34" spans="1:12" ht="15">
      <c r="A34" s="200" t="s">
        <v>112</v>
      </c>
      <c r="B34" s="250" t="str">
        <f>IF('DFP-Com'!O32-'DFP-CASH'!O34=0,"ok",'DFP-Com'!O32-'DFP-CASH'!O34)</f>
        <v>ok</v>
      </c>
      <c r="C34" s="365" t="str">
        <f>IF(SUM('DFP-CASH'!$C34:C34)&gt;SUM('DFP-Com'!$C32:D32),SUM('DFP-CASH'!$C34:C34)-SUM('DFP-Com'!$C32:D32),"ok")</f>
        <v>ok</v>
      </c>
      <c r="D34" s="365" t="str">
        <f>IF(SUM('DFP-CASH'!$C34:D34)&gt;SUM('DFP-Com'!$C32:E32),SUM('DFP-CASH'!$C34:D34)-SUM('DFP-Com'!$C32:E32),"ok")</f>
        <v>ok</v>
      </c>
      <c r="E34" s="365" t="str">
        <f>IF(SUM('DFP-CASH'!$C34:F34)&gt;SUM('DFP-Com'!$C32:G32),SUM('DFP-CASH'!$C34:F34)-SUM('DFP-Com'!$C32:G32),"ok")</f>
        <v>ok</v>
      </c>
      <c r="F34" s="365" t="str">
        <f>IF(SUM('DFP-CASH'!$C34:F34)&gt;SUM('DFP-Com'!$C32:G32),SUM('DFP-CASH'!$C34:F34)-SUM('DFP-Com'!$C32:G32),"ok")</f>
        <v>ok</v>
      </c>
      <c r="G34" s="365" t="str">
        <f>IF(SUM('DFP-CASH'!$C34:G34)&gt;SUM('DFP-Com'!$C32:G32),SUM('DFP-CASH'!$C34:G34)-SUM('DFP-Com'!$C32:G32),"ok")</f>
        <v>ok</v>
      </c>
      <c r="H34" s="365" t="str">
        <f>IF(SUM('DFP-CASH'!$C34:$G34)+('DFP-CASH'!H34)&gt;SUM('DFP-Com'!$C32:I32),SUM('DFP-CASH'!$C34:H34)-SUM('DFP-Com'!$C32:I32),"ok")</f>
        <v>ok</v>
      </c>
      <c r="I34" s="365" t="str">
        <f>IF(SUM('DFP-CASH'!$C34:$G34)+('DFP-CASH'!I34)&gt;SUM('DFP-Com'!$C32:J32),SUM('DFP-CASH'!$C34:I34)-SUM('DFP-Com'!$C32:J32),"ok")</f>
        <v>ok</v>
      </c>
      <c r="J34" s="365" t="str">
        <f>IF(SUM('DFP-CASH'!$C34:$G34)+('DFP-CASH'!J34)&gt;SUM('DFP-Com'!$C32:K32),SUM('DFP-CASH'!$C34:J34)-SUM('DFP-Com'!$C32:K32),"ok")</f>
        <v>ok</v>
      </c>
      <c r="K34" s="365" t="str">
        <f>IF(SUM('DFP-CASH'!$C34:$G34)+('DFP-CASH'!K34)&gt;SUM('DFP-Com'!$C32:L32),SUM('DFP-CASH'!$C34:K34)-SUM('DFP-Com'!$C32:L32),"ok")</f>
        <v>ok</v>
      </c>
      <c r="L34" s="365" t="str">
        <f>IF(SUM('DFP-CASH'!$C34:$G34)+('DFP-CASH'!L34)&gt;SUM('DFP-Com'!$C32:M32),SUM('DFP-CASH'!$C34:L34)-SUM('DFP-Com'!$C32:M32),"ok")</f>
        <v>ok</v>
      </c>
    </row>
    <row r="35" spans="1:12" ht="15">
      <c r="A35" s="200" t="s">
        <v>114</v>
      </c>
      <c r="B35" s="250" t="str">
        <f>IF('DFP-Com'!O33-'DFP-CASH'!O35=0,"ok",'DFP-Com'!O33-'DFP-CASH'!O35)</f>
        <v>ok</v>
      </c>
      <c r="C35" s="365" t="str">
        <f>IF(SUM('DFP-CASH'!$C35:C35)&gt;SUM('DFP-Com'!$C33:G33),SUM('DFP-CASH'!$C35:C35)-SUM('DFP-Com'!$C33:G33),"ok")</f>
        <v>ok</v>
      </c>
      <c r="D35" s="365" t="str">
        <f>IF(SUM('DFP-CASH'!$C35:D35)&gt;SUM('DFP-Com'!$C33:G33),SUM('DFP-CASH'!$C35:D35)-SUM('DFP-Com'!$C33:G33),"ok")</f>
        <v>ok</v>
      </c>
      <c r="E35" s="365" t="str">
        <f>IF(SUM('DFP-CASH'!$C35:E35)&gt;SUM('DFP-Com'!$C33:F33),SUM('DFP-CASH'!$C35:E35)-SUM('DFP-Com'!$C33:F33),"ok")</f>
        <v>ok</v>
      </c>
      <c r="F35" s="365" t="str">
        <f>IF(SUM('DFP-CASH'!$C35:F35)&gt;SUM('DFP-Com'!$C33:G33),SUM('DFP-CASH'!$C35:F35)-SUM('DFP-Com'!$C33:G33),"ok")</f>
        <v>ok</v>
      </c>
      <c r="G35" s="365" t="str">
        <f>IF(SUM('DFP-CASH'!$C35:G35)&gt;SUM('DFP-Com'!$C33:G33),SUM('DFP-CASH'!$C35:G35)-SUM('DFP-Com'!$C33:G33),"ok")</f>
        <v>ok</v>
      </c>
      <c r="H35" s="365" t="str">
        <f>IF(SUM('DFP-CASH'!$C35:$G35)+('DFP-CASH'!H35)&gt;SUM('DFP-Com'!$C33:I33),SUM('DFP-CASH'!$C35:H35)-SUM('DFP-Com'!$C33:I33),"ok")</f>
        <v>ok</v>
      </c>
      <c r="I35" s="365" t="str">
        <f>IF(SUM('DFP-CASH'!$C35:$G35)+('DFP-CASH'!I35)&gt;SUM('DFP-Com'!$C33:J33),SUM('DFP-CASH'!$C35:I35)-SUM('DFP-Com'!$C33:J33),"ok")</f>
        <v>ok</v>
      </c>
      <c r="J35" s="365" t="str">
        <f>IF(SUM('DFP-CASH'!$C35:$G35)+('DFP-CASH'!J35)&gt;SUM('DFP-Com'!$C33:K33),SUM('DFP-CASH'!$C35:J35)-SUM('DFP-Com'!$C33:K33),"ok")</f>
        <v>ok</v>
      </c>
      <c r="K35" s="365" t="str">
        <f>IF(SUM('DFP-CASH'!$C35:$G35)+('DFP-CASH'!K35)&gt;SUM('DFP-Com'!$C33:L33),SUM('DFP-CASH'!$C35:K35)-SUM('DFP-Com'!$C33:L33),"ok")</f>
        <v>ok</v>
      </c>
      <c r="L35" s="365" t="str">
        <f>IF(SUM('DFP-CASH'!$C35:$G35)+('DFP-CASH'!L35)&gt;SUM('DFP-Com'!$C33:M33),SUM('DFP-CASH'!$C35:L35)-SUM('DFP-Com'!$C33:M33),"ok")</f>
        <v>ok</v>
      </c>
    </row>
    <row r="36" spans="1:12" ht="15">
      <c r="A36" s="58" t="s">
        <v>62</v>
      </c>
      <c r="B36" s="250">
        <f>IF('DFP-Com'!O34-'DFP-CASH'!O36=0,"ok",'DFP-Com'!O34-'DFP-CASH'!O36)</f>
        <v>-0.01000000024214387</v>
      </c>
      <c r="C36" s="365" t="str">
        <f>IF(SUM('DFP-CASH'!$C36:C36)&gt;SUM('DFP-Com'!$C34:D34),SUM('DFP-CASH'!$C36:C36)-SUM('DFP-Com'!$C34:D34),"ok")</f>
        <v>ok</v>
      </c>
      <c r="D36" s="365" t="str">
        <f>IF(SUM('DFP-CASH'!$C36:D36)&gt;SUM('DFP-Com'!$C34:E34),SUM('DFP-CASH'!$C36:D36)-SUM('DFP-Com'!$C34:E34),"ok")</f>
        <v>ok</v>
      </c>
      <c r="E36" s="365" t="str">
        <f>IF(SUM('DFP-CASH'!$C36:E36)&gt;SUM('DFP-Com'!$C34:F34),SUM('DFP-CASH'!$C36:E36)-SUM('DFP-Com'!$C34:F34),"ok")</f>
        <v>ok</v>
      </c>
      <c r="F36" s="365" t="str">
        <f>IF(SUM('DFP-CASH'!$C36:F36)&gt;SUM('DFP-Com'!$C34:G34),SUM('DFP-CASH'!$C36:F36)-SUM('DFP-Com'!$C34:G34),"ok")</f>
        <v>ok</v>
      </c>
      <c r="G36" s="365" t="str">
        <f>IF(SUM('DFP-CASH'!$C36:G36)&gt;SUM('DFP-Com'!$C34:G34),SUM('DFP-CASH'!$C36:G36)-SUM('DFP-Com'!$C34:G34),"ok")</f>
        <v>ok</v>
      </c>
      <c r="H36" s="365" t="str">
        <f>IF(SUM('DFP-CASH'!$C36:$G36)+('DFP-CASH'!H36)&gt;SUM('DFP-Com'!$C34:I34),SUM('DFP-CASH'!$C36:H36)-SUM('DFP-Com'!$C34:I34),"ok")</f>
        <v>ok</v>
      </c>
      <c r="I36" s="365" t="str">
        <f>IF(SUM('DFP-CASH'!$C36:$G36)+('DFP-CASH'!I36)&gt;SUM('DFP-Com'!$C34:J34),SUM('DFP-CASH'!$C36:I36)-SUM('DFP-Com'!$C34:J34),"ok")</f>
        <v>ok</v>
      </c>
      <c r="J36" s="365" t="str">
        <f>IF(SUM('DFP-CASH'!$C36:$G36)+('DFP-CASH'!J36)&gt;SUM('DFP-Com'!$C34:K34),SUM('DFP-CASH'!$C36:J36)-SUM('DFP-Com'!$C34:K34),"ok")</f>
        <v>ok</v>
      </c>
      <c r="K36" s="365" t="str">
        <f>IF(SUM('DFP-CASH'!$C36:$G36)+('DFP-CASH'!K36)&gt;SUM('DFP-Com'!$C34:L34),SUM('DFP-CASH'!$C36:K36)-SUM('DFP-Com'!$C34:L34),"ok")</f>
        <v>ok</v>
      </c>
      <c r="L36" s="365" t="str">
        <f>IF(SUM('DFP-CASH'!$C36:$G36)+('DFP-CASH'!L36)&gt;SUM('DFP-Com'!$C34:M34),SUM('DFP-CASH'!$C36:L36)-SUM('DFP-Com'!$C34:M34),"ok")</f>
        <v>ok</v>
      </c>
    </row>
    <row r="37" spans="1:12" ht="15">
      <c r="A37" s="53"/>
      <c r="B37" s="250" t="str">
        <f>IF('DFP-Com'!O35-'DFP-CASH'!O37=0,"ok",'DFP-Com'!O35-'DFP-CASH'!O37)</f>
        <v>ok</v>
      </c>
      <c r="C37" s="365" t="str">
        <f>IF(SUM('DFP-CASH'!$C37:C37)&gt;SUM('DFP-Com'!$C35:D35),SUM('DFP-CASH'!$C37:C37)-SUM('DFP-Com'!$C35:D35),"ok")</f>
        <v>ok</v>
      </c>
      <c r="D37" s="365" t="str">
        <f>IF(SUM('DFP-CASH'!$C37:D37)&gt;SUM('DFP-Com'!$C35:E35),SUM('DFP-CASH'!$C37:D37)-SUM('DFP-Com'!$C35:E35),"ok")</f>
        <v>ok</v>
      </c>
      <c r="E37" s="365" t="str">
        <f>IF(SUM('DFP-CASH'!$C37:E37)&gt;SUM('DFP-Com'!$C35:F35),SUM('DFP-CASH'!$C37:E37)-SUM('DFP-Com'!$C35:F35),"ok")</f>
        <v>ok</v>
      </c>
      <c r="F37" s="365" t="str">
        <f>IF(SUM('DFP-CASH'!$C37:F37)&gt;SUM('DFP-Com'!$C35:G35),SUM('DFP-CASH'!$C37:F37)-SUM('DFP-Com'!$C35:G35),"ok")</f>
        <v>ok</v>
      </c>
      <c r="G37" s="365" t="str">
        <f>IF(SUM('DFP-CASH'!$C37:G37)&gt;SUM('DFP-Com'!$C35:G35),SUM('DFP-CASH'!$C37:G37)-SUM('DFP-Com'!$C35:G35),"ok")</f>
        <v>ok</v>
      </c>
      <c r="H37" s="365" t="str">
        <f>IF(SUM('DFP-CASH'!$C37:$G37)+('DFP-CASH'!H37)&gt;SUM('DFP-Com'!$C35:I35),SUM('DFP-CASH'!$C37:H37)-SUM('DFP-Com'!$C35:I35),"ok")</f>
        <v>ok</v>
      </c>
      <c r="I37" s="365" t="str">
        <f>IF(SUM('DFP-CASH'!$C37:$G37)+('DFP-CASH'!I37)&gt;SUM('DFP-Com'!$C35:J35),SUM('DFP-CASH'!$C37:I37)-SUM('DFP-Com'!$C35:J35),"ok")</f>
        <v>ok</v>
      </c>
      <c r="J37" s="365" t="str">
        <f>IF(SUM('DFP-CASH'!$C37:$G37)+('DFP-CASH'!J37)&gt;SUM('DFP-Com'!$C35:K35),SUM('DFP-CASH'!$C37:J37)-SUM('DFP-Com'!$C35:K35),"ok")</f>
        <v>ok</v>
      </c>
      <c r="K37" s="365" t="str">
        <f>IF(SUM('DFP-CASH'!$C37:$G37)+('DFP-CASH'!K37)&gt;SUM('DFP-Com'!$C35:L35),SUM('DFP-CASH'!$C37:K37)-SUM('DFP-Com'!$C35:L35),"ok")</f>
        <v>ok</v>
      </c>
      <c r="L37" s="365" t="str">
        <f>IF(SUM('DFP-CASH'!$C37:$G37)+('DFP-CASH'!L37)&gt;SUM('DFP-Com'!$C35:M35),SUM('DFP-CASH'!$C37:L37)-SUM('DFP-Com'!$C35:M35),"ok")</f>
        <v>ok</v>
      </c>
    </row>
    <row r="38" spans="1:12" ht="15">
      <c r="A38" s="44" t="s">
        <v>82</v>
      </c>
      <c r="B38" s="250" t="str">
        <f>IF('DFP-Com'!O36-'DFP-CASH'!O38=0,"ok",'DFP-Com'!O36-'DFP-CASH'!O38)</f>
        <v>ok</v>
      </c>
      <c r="C38" s="365" t="str">
        <f>IF(SUM('DFP-CASH'!$C38:C38)&gt;SUM('DFP-Com'!$C36:D36),SUM('DFP-CASH'!$C38:C38)-SUM('DFP-Com'!$C36:D36),"ok")</f>
        <v>ok</v>
      </c>
      <c r="D38" s="365" t="str">
        <f>IF(SUM('DFP-CASH'!$C38:D38)&gt;SUM('DFP-Com'!$C36:E36),SUM('DFP-CASH'!$C38:D38)-SUM('DFP-Com'!$C36:E36),"ok")</f>
        <v>ok</v>
      </c>
      <c r="E38" s="365" t="str">
        <f>IF(SUM('DFP-CASH'!$C38:E38)&gt;SUM('DFP-Com'!$C36:F36),SUM('DFP-CASH'!$C38:E38)-SUM('DFP-Com'!$C36:F36),"ok")</f>
        <v>ok</v>
      </c>
      <c r="F38" s="365" t="str">
        <f>IF(SUM('DFP-CASH'!$C38:F38)&gt;SUM('DFP-Com'!$C36:G36),SUM('DFP-CASH'!$C38:F38)-SUM('DFP-Com'!$C36:G36),"ok")</f>
        <v>ok</v>
      </c>
      <c r="G38" s="365" t="str">
        <f>IF(SUM('DFP-CASH'!$C38:G38)&gt;SUM('DFP-Com'!$C36:G36),SUM('DFP-CASH'!$C38:G38)-SUM('DFP-Com'!$C36:G36),"ok")</f>
        <v>ok</v>
      </c>
      <c r="H38" s="365" t="str">
        <f>IF(SUM('DFP-CASH'!$C38:$G38)+('DFP-CASH'!H38)&gt;SUM('DFP-Com'!$C36:I36),SUM('DFP-CASH'!$C38:H38)-SUM('DFP-Com'!$C36:I36),"ok")</f>
        <v>ok</v>
      </c>
      <c r="I38" s="365" t="str">
        <f>IF(SUM('DFP-CASH'!$C38:$G38)+('DFP-CASH'!I38)&gt;SUM('DFP-Com'!$C36:J36),SUM('DFP-CASH'!$C38:I38)-SUM('DFP-Com'!$C36:J36),"ok")</f>
        <v>ok</v>
      </c>
      <c r="J38" s="365" t="str">
        <f>IF(SUM('DFP-CASH'!$C38:$G38)+('DFP-CASH'!J38)&gt;SUM('DFP-Com'!$C36:K36),SUM('DFP-CASH'!$C38:J38)-SUM('DFP-Com'!$C36:K36),"ok")</f>
        <v>ok</v>
      </c>
      <c r="K38" s="365" t="str">
        <f>IF(SUM('DFP-CASH'!$C38:$G38)+('DFP-CASH'!K38)&gt;SUM('DFP-Com'!$C36:L36),SUM('DFP-CASH'!$C38:K38)-SUM('DFP-Com'!$C36:L36),"ok")</f>
        <v>ok</v>
      </c>
      <c r="L38" s="365" t="str">
        <f>IF(SUM('DFP-CASH'!$C38:$G38)+('DFP-CASH'!L38)&gt;SUM('DFP-Com'!$C36:M36),SUM('DFP-CASH'!$C38:L38)-SUM('DFP-Com'!$C36:M36),"ok")</f>
        <v>ok</v>
      </c>
    </row>
    <row r="39" spans="1:12" ht="15">
      <c r="A39" s="64" t="s">
        <v>83</v>
      </c>
      <c r="B39" s="250" t="str">
        <f>IF('DFP-Com'!O37-'DFP-CASH'!O39=0,"ok",'DFP-Com'!O37-'DFP-CASH'!O39)</f>
        <v>ok</v>
      </c>
      <c r="C39" s="365" t="str">
        <f>IF(SUM('DFP-CASH'!$C39:C39)&gt;SUM('DFP-Com'!$C37:D37),SUM('DFP-CASH'!$C39:C39)-SUM('DFP-Com'!$C37:D37),"ok")</f>
        <v>ok</v>
      </c>
      <c r="D39" s="365" t="str">
        <f>IF(SUM('DFP-CASH'!$C39:D39)&gt;SUM('DFP-Com'!$C37:E37),SUM('DFP-CASH'!$C39:D39)-SUM('DFP-Com'!$C37:E37),"ok")</f>
        <v>ok</v>
      </c>
      <c r="E39" s="365" t="str">
        <f>IF(SUM('DFP-CASH'!$C39:E39)&gt;SUM('DFP-Com'!$C37:F37),SUM('DFP-CASH'!$C39:E39)-SUM('DFP-Com'!$C37:F37),"ok")</f>
        <v>ok</v>
      </c>
      <c r="F39" s="365" t="str">
        <f>IF(SUM('DFP-CASH'!$C39:F39)&gt;SUM('DFP-Com'!$C37:G37),SUM('DFP-CASH'!$C39:F39)-SUM('DFP-Com'!$C37:G37),"ok")</f>
        <v>ok</v>
      </c>
      <c r="G39" s="365" t="str">
        <f>IF(SUM('DFP-CASH'!$C39:G39)&gt;SUM('DFP-Com'!$C37:G37),SUM('DFP-CASH'!$C39:G39)-SUM('DFP-Com'!$C37:G37),"ok")</f>
        <v>ok</v>
      </c>
      <c r="H39" s="365" t="str">
        <f>IF(SUM('DFP-CASH'!$C39:$G39)+('DFP-CASH'!H39)&gt;SUM('DFP-Com'!$C37:I37),SUM('DFP-CASH'!$C39:H39)-SUM('DFP-Com'!$C37:I37),"ok")</f>
        <v>ok</v>
      </c>
      <c r="I39" s="365" t="str">
        <f>IF(SUM('DFP-CASH'!$C39:$G39)+('DFP-CASH'!I39)&gt;SUM('DFP-Com'!$C37:J37),SUM('DFP-CASH'!$C39:I39)-SUM('DFP-Com'!$C37:J37),"ok")</f>
        <v>ok</v>
      </c>
      <c r="J39" s="365" t="str">
        <f>IF(SUM('DFP-CASH'!$C39:$G39)+('DFP-CASH'!J39)&gt;SUM('DFP-Com'!$C37:K37),SUM('DFP-CASH'!$C39:J39)-SUM('DFP-Com'!$C37:K37),"ok")</f>
        <v>ok</v>
      </c>
      <c r="K39" s="365" t="str">
        <f>IF(SUM('DFP-CASH'!$C39:$G39)+('DFP-CASH'!K39)&gt;SUM('DFP-Com'!$C37:L37),SUM('DFP-CASH'!$C39:K39)-SUM('DFP-Com'!$C37:L37),"ok")</f>
        <v>ok</v>
      </c>
      <c r="L39" s="365" t="str">
        <f>IF(SUM('DFP-CASH'!$C39:$G39)+('DFP-CASH'!L39)&gt;SUM('DFP-Com'!$C37:M37),SUM('DFP-CASH'!$C39:L39)-SUM('DFP-Com'!$C37:M37),"ok")</f>
        <v>ok</v>
      </c>
    </row>
    <row r="40" spans="1:12" ht="15">
      <c r="A40" s="211" t="s">
        <v>101</v>
      </c>
      <c r="B40" s="250">
        <f>IF('DFP-Com'!O38-'DFP-CASH'!O40=0,"ok",'DFP-Com'!O38-'DFP-CASH'!O40)</f>
        <v>56.04999999993015</v>
      </c>
      <c r="C40" s="365" t="str">
        <f>IF(SUM('DFP-CASH'!$C40:C40)&gt;SUM('DFP-Com'!$C38:G38),SUM('DFP-CASH'!$C40:C40)-SUM('DFP-Com'!$C38:G38),"ok")</f>
        <v>ok</v>
      </c>
      <c r="D40" s="365" t="str">
        <f>IF(SUM('DFP-CASH'!$C40:G40)&gt;SUM('DFP-Com'!$C38:G38),SUM('DFP-CASH'!$C40:G40)-SUM('DFP-Com'!$C38:G38),"ok")</f>
        <v>ok</v>
      </c>
      <c r="E40" s="365" t="str">
        <f>IF(SUM('DFP-CASH'!$C40:G40)&gt;SUM('DFP-Com'!$C38:G38),SUM('DFP-CASH'!$C40:G40)-SUM('DFP-Com'!$C38:G38),"ok")</f>
        <v>ok</v>
      </c>
      <c r="F40" s="365" t="str">
        <f>IF(SUM('DFP-CASH'!$C40:G40)&gt;SUM('DFP-Com'!$C38:G38),SUM('DFP-CASH'!$C40:G40)-SUM('DFP-Com'!$C38:G38),"ok")</f>
        <v>ok</v>
      </c>
      <c r="G40" s="365" t="str">
        <f>IF(SUM('DFP-CASH'!$C40:G40)&gt;SUM('DFP-Com'!$C38:G38),SUM('DFP-CASH'!$C40:G40)-SUM('DFP-Com'!$C38:G38),"ok")</f>
        <v>ok</v>
      </c>
      <c r="H40" s="365" t="str">
        <f>IF(SUM('DFP-CASH'!$C40:$G40)+('DFP-CASH'!H40)&gt;SUM('DFP-Com'!$C38:I38),SUM('DFP-CASH'!$C40:H40)-SUM('DFP-Com'!$C38:I38),"ok")</f>
        <v>ok</v>
      </c>
      <c r="I40" s="365" t="str">
        <f>IF(SUM('DFP-CASH'!$C40:$G40)+('DFP-CASH'!I40)&gt;SUM('DFP-Com'!$C38:J38),SUM('DFP-CASH'!$C40:I40)-SUM('DFP-Com'!$C38:J38),"ok")</f>
        <v>ok</v>
      </c>
      <c r="J40" s="365" t="str">
        <f>IF(SUM('DFP-CASH'!$C40:$G40)+('DFP-CASH'!J40)&gt;SUM('DFP-Com'!$C38:K38),SUM('DFP-CASH'!$C40:J40)-SUM('DFP-Com'!$C38:K38),"ok")</f>
        <v>ok</v>
      </c>
      <c r="K40" s="365" t="str">
        <f>IF(SUM('DFP-CASH'!$C40:$G40)+('DFP-CASH'!K40)&gt;SUM('DFP-Com'!$C38:L38),SUM('DFP-CASH'!$C40:K40)-SUM('DFP-Com'!$C38:L38),"ok")</f>
        <v>ok</v>
      </c>
      <c r="L40" s="365" t="str">
        <f>IF(SUM('DFP-CASH'!$C40:$G40)+('DFP-CASH'!L40)&gt;SUM('DFP-Com'!$C38:M38),SUM('DFP-CASH'!$C40:L40)-SUM('DFP-Com'!$C38:M38),"ok")</f>
        <v>ok</v>
      </c>
    </row>
    <row r="41" spans="1:12" ht="15">
      <c r="A41" s="211" t="s">
        <v>102</v>
      </c>
      <c r="B41" s="250" t="str">
        <f>IF('DFP-Com'!O39-'DFP-CASH'!O41=0,"ok",'DFP-Com'!O39-'DFP-CASH'!O41)</f>
        <v>ok</v>
      </c>
      <c r="C41" s="365" t="str">
        <f>IF(SUM('DFP-CASH'!$C41:C41)&gt;SUM('DFP-Com'!$C39:D39),SUM('DFP-CASH'!$C41:C41)-SUM('DFP-Com'!$C39:D39),"ok")</f>
        <v>ok</v>
      </c>
      <c r="D41" s="365" t="str">
        <f>IF(SUM('DFP-CASH'!$C41:D41)&gt;SUM('DFP-Com'!$C39:E39),SUM('DFP-CASH'!$C41:D41)-SUM('DFP-Com'!$C39:E39),"ok")</f>
        <v>ok</v>
      </c>
      <c r="E41" s="365" t="str">
        <f>IF(SUM('DFP-CASH'!$C41:E41)&gt;SUM('DFP-Com'!$C39:F39),SUM('DFP-CASH'!$C41:E41)-SUM('DFP-Com'!$C39:F39),"ok")</f>
        <v>ok</v>
      </c>
      <c r="F41" s="365" t="str">
        <f>IF(SUM('DFP-CASH'!$C41:F41)&gt;SUM('DFP-Com'!$C39:G39),SUM('DFP-CASH'!$C41:F41)-SUM('DFP-Com'!$C39:G39),"ok")</f>
        <v>ok</v>
      </c>
      <c r="G41" s="365" t="str">
        <f>IF(SUM('DFP-CASH'!$C41:G41)&gt;SUM('DFP-Com'!$C39:G39),SUM('DFP-CASH'!$C41:G41)-SUM('DFP-Com'!$C39:G39),"ok")</f>
        <v>ok</v>
      </c>
      <c r="H41" s="365" t="str">
        <f>IF(SUM('DFP-CASH'!$C41:$G41)+('DFP-CASH'!H41)&gt;SUM('DFP-Com'!$C39:I39),SUM('DFP-CASH'!$C41:H41)-SUM('DFP-Com'!$C39:I39),"ok")</f>
        <v>ok</v>
      </c>
      <c r="I41" s="365" t="str">
        <f>IF(SUM('DFP-CASH'!$C41:$G41)+('DFP-CASH'!I41)&gt;SUM('DFP-Com'!$C39:J39),SUM('DFP-CASH'!$C41:I41)-SUM('DFP-Com'!$C39:J39),"ok")</f>
        <v>ok</v>
      </c>
      <c r="J41" s="365" t="str">
        <f>IF(SUM('DFP-CASH'!$C41:$G41)+('DFP-CASH'!J41)&gt;SUM('DFP-Com'!$C39:K39),SUM('DFP-CASH'!$C41:J41)-SUM('DFP-Com'!$C39:K39),"ok")</f>
        <v>ok</v>
      </c>
      <c r="K41" s="365" t="str">
        <f>IF(SUM('DFP-CASH'!$C41:$G41)+('DFP-CASH'!K41)&gt;SUM('DFP-Com'!$C39:L39),SUM('DFP-CASH'!$C41:K41)-SUM('DFP-Com'!$C39:L39),"ok")</f>
        <v>ok</v>
      </c>
      <c r="L41" s="365" t="str">
        <f>IF(SUM('DFP-CASH'!$C41:$G41)+('DFP-CASH'!L41)&gt;SUM('DFP-Com'!$C39:M39),SUM('DFP-CASH'!$C41:L41)-SUM('DFP-Com'!$C39:M39),"ok")</f>
        <v>ok</v>
      </c>
    </row>
    <row r="42" spans="1:12" ht="15">
      <c r="A42" s="211" t="s">
        <v>103</v>
      </c>
      <c r="B42" s="250" t="str">
        <f>IF('DFP-Com'!O40-'DFP-CASH'!O42=0,"ok",'DFP-Com'!O40-'DFP-CASH'!O42)</f>
        <v>ok</v>
      </c>
      <c r="C42" s="365" t="str">
        <f>IF(SUM('DFP-CASH'!$C42:C42)&gt;SUM('DFP-Com'!$C40:D40),SUM('DFP-CASH'!$C42:C42)-SUM('DFP-Com'!$C40:D40),"ok")</f>
        <v>ok</v>
      </c>
      <c r="D42" s="365" t="str">
        <f>IF(SUM('DFP-CASH'!$C42:D42)&gt;SUM('DFP-Com'!$C40:E40),SUM('DFP-CASH'!$C42:D42)-SUM('DFP-Com'!$C40:E40),"ok")</f>
        <v>ok</v>
      </c>
      <c r="E42" s="365" t="str">
        <f>IF(SUM('DFP-CASH'!$C42:E42)&gt;SUM('DFP-Com'!$C40:F40),SUM('DFP-CASH'!$C42:E42)-SUM('DFP-Com'!$C40:F40),"ok")</f>
        <v>ok</v>
      </c>
      <c r="F42" s="365" t="str">
        <f>IF(SUM('DFP-CASH'!$C42:F42)&gt;SUM('DFP-Com'!$C40:G40),SUM('DFP-CASH'!$C42:F42)-SUM('DFP-Com'!$C40:G40),"ok")</f>
        <v>ok</v>
      </c>
      <c r="G42" s="365" t="str">
        <f>IF(SUM('DFP-CASH'!$C42:G42)&gt;SUM('DFP-Com'!$C40:G40),SUM('DFP-CASH'!$C42:G42)-SUM('DFP-Com'!$C40:G40),"ok")</f>
        <v>ok</v>
      </c>
      <c r="H42" s="365" t="str">
        <f>IF(SUM('DFP-CASH'!$C42:$G42)+('DFP-CASH'!H42)&gt;SUM('DFP-Com'!$C40:I40),SUM('DFP-CASH'!$C42:H42)-SUM('DFP-Com'!$C40:I40),"ok")</f>
        <v>ok</v>
      </c>
      <c r="I42" s="365" t="str">
        <f>IF(SUM('DFP-CASH'!$C42:$G42)+('DFP-CASH'!I42)&gt;SUM('DFP-Com'!$C40:J40),SUM('DFP-CASH'!$C42:I42)-SUM('DFP-Com'!$C40:J40),"ok")</f>
        <v>ok</v>
      </c>
      <c r="J42" s="365" t="str">
        <f>IF(SUM('DFP-CASH'!$C42:$G42)+('DFP-CASH'!J42)&gt;SUM('DFP-Com'!$C40:K40),SUM('DFP-CASH'!$C42:J42)-SUM('DFP-Com'!$C40:K40),"ok")</f>
        <v>ok</v>
      </c>
      <c r="K42" s="365" t="str">
        <f>IF(SUM('DFP-CASH'!$C42:$G42)+('DFP-CASH'!K42)&gt;SUM('DFP-Com'!$C40:L40),SUM('DFP-CASH'!$C42:K42)-SUM('DFP-Com'!$C40:L40),"ok")</f>
        <v>ok</v>
      </c>
      <c r="L42" s="365" t="str">
        <f>IF(SUM('DFP-CASH'!$C42:$G42)+('DFP-CASH'!L42)&gt;SUM('DFP-Com'!$C40:M40),SUM('DFP-CASH'!$C42:L42)-SUM('DFP-Com'!$C40:M40),"ok")</f>
        <v>ok</v>
      </c>
    </row>
    <row r="43" spans="1:12" ht="15">
      <c r="A43" s="211" t="s">
        <v>113</v>
      </c>
      <c r="B43" s="250">
        <f>IF('DFP-Com'!O41-'DFP-CASH'!O43=0,"ok",'DFP-Com'!O41-'DFP-CASH'!O43)</f>
        <v>-56.050000000046566</v>
      </c>
      <c r="C43" s="365" t="str">
        <f>IF(SUM('DFP-CASH'!$C43:C43)&gt;SUM('DFP-Com'!$C41:E41),SUM('DFP-CASH'!$C43:C43)-SUM('DFP-Com'!$C41:E41),"ok")</f>
        <v>ok</v>
      </c>
      <c r="D43" s="365" t="str">
        <f>IF(SUM('DFP-CASH'!$C43:D43)&gt;SUM('DFP-Com'!$C41:E41),SUM('DFP-CASH'!$C43:D43)-SUM('DFP-Com'!$C41:E41),"ok")</f>
        <v>ok</v>
      </c>
      <c r="E43" s="365" t="str">
        <f>IF(SUM('DFP-CASH'!$C43:E43)&gt;SUM('DFP-Com'!$C41:F41),SUM('DFP-CASH'!$C43:E43)-SUM('DFP-Com'!$C41:F41),"ok")</f>
        <v>ok</v>
      </c>
      <c r="F43" s="365" t="str">
        <f>IF(SUM('DFP-CASH'!$C43:F43)&gt;SUM('DFP-Com'!$C41:G41),SUM('DFP-CASH'!$C43:F43)-SUM('DFP-Com'!$C41:G41),"ok")</f>
        <v>ok</v>
      </c>
      <c r="G43" s="365" t="str">
        <f>IF(SUM('DFP-CASH'!$C43:G43)&gt;SUM('DFP-Com'!$C41:H41),SUM('DFP-CASH'!$C43:G43)-SUM('DFP-Com'!$C41:H41),"ok")</f>
        <v>ok</v>
      </c>
      <c r="H43" s="365" t="str">
        <f>IF(SUM('DFP-CASH'!$C43:$G43)+('DFP-CASH'!H43)&gt;SUM('DFP-Com'!$C41:I41),SUM('DFP-CASH'!$C43:H43)-SUM('DFP-Com'!$C41:I41),"ok")</f>
        <v>ok</v>
      </c>
      <c r="I43" s="365" t="str">
        <f>IF(SUM('DFP-CASH'!$C43:$G43)+('DFP-CASH'!I43)&gt;SUM('DFP-Com'!$C41:J41),SUM('DFP-CASH'!$C43:I43)-SUM('DFP-Com'!$C41:J41),"ok")</f>
        <v>ok</v>
      </c>
      <c r="J43" s="365" t="str">
        <f>IF(SUM('DFP-CASH'!$C43:$G43)+('DFP-CASH'!J43)&gt;SUM('DFP-Com'!$C41:K41),SUM('DFP-CASH'!$C43:J43)-SUM('DFP-Com'!$C41:K41),"ok")</f>
        <v>ok</v>
      </c>
      <c r="K43" s="365" t="str">
        <f>IF(SUM('DFP-CASH'!$C43:$G43)+('DFP-CASH'!K43)&gt;SUM('DFP-Com'!$C41:L41),SUM('DFP-CASH'!$C43:K43)-SUM('DFP-Com'!$C41:L41),"ok")</f>
        <v>ok</v>
      </c>
      <c r="L43" s="365" t="str">
        <f>IF(SUM('DFP-CASH'!$C43:$G43)+('DFP-CASH'!L43)&gt;SUM('DFP-Com'!$C41:M41),SUM('DFP-CASH'!$C43:L43)-SUM('DFP-Com'!$C41:M41),"ok")</f>
        <v>ok</v>
      </c>
    </row>
    <row r="44" spans="1:12" ht="15">
      <c r="A44" s="58" t="s">
        <v>17</v>
      </c>
      <c r="B44" s="250" t="str">
        <f>IF('DFP-Com'!O42-'DFP-CASH'!O44=0,"ok",'DFP-Com'!O42-'DFP-CASH'!O44)</f>
        <v>ok</v>
      </c>
      <c r="C44" s="365" t="str">
        <f>IF(SUM('DFP-CASH'!$C44:C44)&gt;SUM('DFP-Com'!$C42:D42),SUM('DFP-CASH'!$C44:C44)-SUM('DFP-Com'!$C42:D42),"ok")</f>
        <v>ok</v>
      </c>
      <c r="D44" s="365" t="str">
        <f>IF(SUM('DFP-CASH'!$C44:D44)&gt;SUM('DFP-Com'!$C42:E42),SUM('DFP-CASH'!$C44:D44)-SUM('DFP-Com'!$C42:E42),"ok")</f>
        <v>ok</v>
      </c>
      <c r="E44" s="365" t="str">
        <f>IF(SUM('DFP-CASH'!$C44:E44)&gt;SUM('DFP-Com'!$C42:F42),SUM('DFP-CASH'!$C44:E44)-SUM('DFP-Com'!$C42:F42),"ok")</f>
        <v>ok</v>
      </c>
      <c r="F44" s="365" t="str">
        <f>IF(SUM('DFP-CASH'!$C44:F44)&gt;SUM('DFP-Com'!$C42:G42),SUM('DFP-CASH'!$C44:F44)-SUM('DFP-Com'!$C42:G42),"ok")</f>
        <v>ok</v>
      </c>
      <c r="G44" s="365" t="str">
        <f>IF(SUM('DFP-CASH'!$C44:G44)&gt;SUM('DFP-Com'!$C42:G42),SUM('DFP-CASH'!$C44:G44)-SUM('DFP-Com'!$C42:G42),"ok")</f>
        <v>ok</v>
      </c>
      <c r="H44" s="365" t="str">
        <f>IF(SUM('DFP-CASH'!$C44:$G44)+('DFP-CASH'!H44)&gt;SUM('DFP-Com'!$C42:I42),SUM('DFP-CASH'!$C44:H44)-SUM('DFP-Com'!$C42:I42),"ok")</f>
        <v>ok</v>
      </c>
      <c r="I44" s="365" t="str">
        <f>IF(SUM('DFP-CASH'!$C44:$G44)+('DFP-CASH'!I44)&gt;SUM('DFP-Com'!$C42:J42),SUM('DFP-CASH'!$C44:I44)-SUM('DFP-Com'!$C42:J42),"ok")</f>
        <v>ok</v>
      </c>
      <c r="J44" s="365" t="str">
        <f>IF(SUM('DFP-CASH'!$C44:$G44)+('DFP-CASH'!J44)&gt;SUM('DFP-Com'!$C42:K42),SUM('DFP-CASH'!$C44:J44)-SUM('DFP-Com'!$C42:K42),"ok")</f>
        <v>ok</v>
      </c>
      <c r="K44" s="365" t="str">
        <f>IF(SUM('DFP-CASH'!$C44:$G44)+('DFP-CASH'!K44)&gt;SUM('DFP-Com'!$C42:L42),SUM('DFP-CASH'!$C44:K44)-SUM('DFP-Com'!$C42:L42),"ok")</f>
        <v>ok</v>
      </c>
      <c r="L44" s="365" t="str">
        <f>IF(SUM('DFP-CASH'!$C44:$G44)+('DFP-CASH'!L44)&gt;SUM('DFP-Com'!$C42:M42),SUM('DFP-CASH'!$C44:L44)-SUM('DFP-Com'!$C42:M42),"ok")</f>
        <v>ok</v>
      </c>
    </row>
    <row r="45" spans="1:12" ht="15">
      <c r="A45" s="53"/>
      <c r="B45" s="250" t="str">
        <f>IF('DFP-Com'!O43-'DFP-CASH'!O45=0,"ok",'DFP-Com'!O43-'DFP-CASH'!O45)</f>
        <v>ok</v>
      </c>
      <c r="C45" s="365" t="str">
        <f>IF(SUM('DFP-CASH'!$C45:C45)&gt;SUM('DFP-Com'!$C43:D43),SUM('DFP-CASH'!$C45:C45)-SUM('DFP-Com'!$C43:D43),"ok")</f>
        <v>ok</v>
      </c>
      <c r="D45" s="365" t="str">
        <f>IF(SUM('DFP-CASH'!$C45:D45)&gt;SUM('DFP-Com'!$C43:E43),SUM('DFP-CASH'!$C45:D45)-SUM('DFP-Com'!$C43:E43),"ok")</f>
        <v>ok</v>
      </c>
      <c r="E45" s="365" t="str">
        <f>IF(SUM('DFP-CASH'!$C45:E45)&gt;SUM('DFP-Com'!$C43:F43),SUM('DFP-CASH'!$C45:E45)-SUM('DFP-Com'!$C43:F43),"ok")</f>
        <v>ok</v>
      </c>
      <c r="F45" s="365" t="str">
        <f>IF(SUM('DFP-CASH'!$C45:F45)&gt;SUM('DFP-Com'!$C43:G43),SUM('DFP-CASH'!$C45:F45)-SUM('DFP-Com'!$C43:G43),"ok")</f>
        <v>ok</v>
      </c>
      <c r="G45" s="365" t="str">
        <f>IF(SUM('DFP-CASH'!$C45:G45)&gt;SUM('DFP-Com'!$C43:G43),SUM('DFP-CASH'!$C45:G45)-SUM('DFP-Com'!$C43:G43),"ok")</f>
        <v>ok</v>
      </c>
      <c r="H45" s="365" t="str">
        <f>IF(SUM('DFP-CASH'!$C45:$G45)+('DFP-CASH'!H45)&gt;SUM('DFP-Com'!$C43:I43),SUM('DFP-CASH'!$C45:H45)-SUM('DFP-Com'!$C43:I43),"ok")</f>
        <v>ok</v>
      </c>
      <c r="I45" s="365" t="str">
        <f>IF(SUM('DFP-CASH'!$C45:$G45)+('DFP-CASH'!I45)&gt;SUM('DFP-Com'!$C43:J43),SUM('DFP-CASH'!$C45:I45)-SUM('DFP-Com'!$C43:J43),"ok")</f>
        <v>ok</v>
      </c>
      <c r="J45" s="365" t="str">
        <f>IF(SUM('DFP-CASH'!$C45:$G45)+('DFP-CASH'!J45)&gt;SUM('DFP-Com'!$C43:K43),SUM('DFP-CASH'!$C45:J45)-SUM('DFP-Com'!$C43:K43),"ok")</f>
        <v>ok</v>
      </c>
      <c r="K45" s="365" t="str">
        <f>IF(SUM('DFP-CASH'!$C45:$G45)+('DFP-CASH'!K45)&gt;SUM('DFP-Com'!$C43:L43),SUM('DFP-CASH'!$C45:K45)-SUM('DFP-Com'!$C43:L43),"ok")</f>
        <v>ok</v>
      </c>
      <c r="L45" s="365" t="str">
        <f>IF(SUM('DFP-CASH'!$C45:$G45)+('DFP-CASH'!L45)&gt;SUM('DFP-Com'!$C43:M43),SUM('DFP-CASH'!$C45:L45)-SUM('DFP-Com'!$C43:M43),"ok")</f>
        <v>ok</v>
      </c>
    </row>
    <row r="46" spans="1:12" ht="15">
      <c r="A46" s="44" t="s">
        <v>76</v>
      </c>
      <c r="B46" s="250" t="str">
        <f>IF('DFP-Com'!O44-'DFP-CASH'!O46=0,"ok",'DFP-Com'!O44-'DFP-CASH'!O46)</f>
        <v>ok</v>
      </c>
      <c r="C46" s="365" t="str">
        <f>IF(SUM('DFP-CASH'!$C46:C46)&gt;SUM('DFP-Com'!$C44:D44),SUM('DFP-CASH'!$C46:C46)-SUM('DFP-Com'!$C44:D44),"ok")</f>
        <v>ok</v>
      </c>
      <c r="D46" s="365" t="str">
        <f>IF(SUM('DFP-CASH'!$C46:D46)&gt;SUM('DFP-Com'!$C44:E44),SUM('DFP-CASH'!$C46:D46)-SUM('DFP-Com'!$C44:E44),"ok")</f>
        <v>ok</v>
      </c>
      <c r="E46" s="365" t="str">
        <f>IF(SUM('DFP-CASH'!$C46:E46)&gt;SUM('DFP-Com'!$C44:F44),SUM('DFP-CASH'!$C46:E46)-SUM('DFP-Com'!$C44:F44),"ok")</f>
        <v>ok</v>
      </c>
      <c r="F46" s="365" t="str">
        <f>IF(SUM('DFP-CASH'!$C46:F46)&gt;SUM('DFP-Com'!$C44:G44),SUM('DFP-CASH'!$C46:F46)-SUM('DFP-Com'!$C44:G44),"ok")</f>
        <v>ok</v>
      </c>
      <c r="G46" s="365" t="str">
        <f>IF(SUM('DFP-CASH'!$C46:G46)&gt;SUM('DFP-Com'!$C44:G44),SUM('DFP-CASH'!$C46:G46)-SUM('DFP-Com'!$C44:G44),"ok")</f>
        <v>ok</v>
      </c>
      <c r="H46" s="365" t="str">
        <f>IF(SUM('DFP-CASH'!$C46:$G46)+('DFP-CASH'!H46)&gt;SUM('DFP-Com'!$C44:I44),SUM('DFP-CASH'!$C46:H46)-SUM('DFP-Com'!$C44:I44),"ok")</f>
        <v>ok</v>
      </c>
      <c r="I46" s="365" t="str">
        <f>IF(SUM('DFP-CASH'!$C46:$G46)+('DFP-CASH'!I46)&gt;SUM('DFP-Com'!$C44:J44),SUM('DFP-CASH'!$C46:I46)-SUM('DFP-Com'!$C44:J44),"ok")</f>
        <v>ok</v>
      </c>
      <c r="J46" s="365" t="str">
        <f>IF(SUM('DFP-CASH'!$C46:$G46)+('DFP-CASH'!J46)&gt;SUM('DFP-Com'!$C44:K44),SUM('DFP-CASH'!$C46:J46)-SUM('DFP-Com'!$C44:K44),"ok")</f>
        <v>ok</v>
      </c>
      <c r="K46" s="365" t="str">
        <f>IF(SUM('DFP-CASH'!$C46:$G46)+('DFP-CASH'!K46)&gt;SUM('DFP-Com'!$C44:L44),SUM('DFP-CASH'!$C46:K46)-SUM('DFP-Com'!$C44:L44),"ok")</f>
        <v>ok</v>
      </c>
      <c r="L46" s="365" t="str">
        <f>IF(SUM('DFP-CASH'!$C46:$G46)+('DFP-CASH'!L46)&gt;SUM('DFP-Com'!$C44:M44),SUM('DFP-CASH'!$C46:L46)-SUM('DFP-Com'!$C44:M44),"ok")</f>
        <v>ok</v>
      </c>
    </row>
    <row r="47" spans="1:12" ht="15">
      <c r="A47" s="65" t="s">
        <v>85</v>
      </c>
      <c r="B47" s="250" t="str">
        <f>IF('DFP-Com'!O45-'DFP-CASH'!O47=0,"ok",'DFP-Com'!O45-'DFP-CASH'!O47)</f>
        <v>ok</v>
      </c>
      <c r="C47" s="365" t="str">
        <f>IF(SUM('DFP-CASH'!$C47:C47)&gt;SUM('DFP-Com'!$C45:D45),SUM('DFP-CASH'!$C47:C47)-SUM('DFP-Com'!$C45:D45),"ok")</f>
        <v>ok</v>
      </c>
      <c r="D47" s="365" t="str">
        <f>IF(SUM('DFP-CASH'!$C47:D47)&gt;SUM('DFP-Com'!$C45:E45),SUM('DFP-CASH'!$C47:D47)-SUM('DFP-Com'!$C45:E45),"ok")</f>
        <v>ok</v>
      </c>
      <c r="E47" s="365" t="str">
        <f>IF(SUM('DFP-CASH'!$C47:E47)&gt;SUM('DFP-Com'!$C45:F45),SUM('DFP-CASH'!$C47:E47)-SUM('DFP-Com'!$C45:F45),"ok")</f>
        <v>ok</v>
      </c>
      <c r="F47" s="365" t="str">
        <f>IF(SUM('DFP-CASH'!$C47:F47)&gt;SUM('DFP-Com'!$C45:G45),SUM('DFP-CASH'!$C47:F47)-SUM('DFP-Com'!$C45:G45),"ok")</f>
        <v>ok</v>
      </c>
      <c r="G47" s="365" t="str">
        <f>IF(SUM('DFP-CASH'!$C47:G47)&gt;SUM('DFP-Com'!$C45:G45),SUM('DFP-CASH'!$C47:G47)-SUM('DFP-Com'!$C45:G45),"ok")</f>
        <v>ok</v>
      </c>
      <c r="H47" s="365" t="str">
        <f>IF(SUM('DFP-CASH'!$C47:$G47)+('DFP-CASH'!H47)&gt;SUM('DFP-Com'!$C45:I45),SUM('DFP-CASH'!$C47:H47)-SUM('DFP-Com'!$C45:I45),"ok")</f>
        <v>ok</v>
      </c>
      <c r="I47" s="365" t="str">
        <f>IF(SUM('DFP-CASH'!$C47:$G47)+('DFP-CASH'!I47)&gt;SUM('DFP-Com'!$C45:J45),SUM('DFP-CASH'!$C47:I47)-SUM('DFP-Com'!$C45:J45),"ok")</f>
        <v>ok</v>
      </c>
      <c r="J47" s="365" t="str">
        <f>IF(SUM('DFP-CASH'!$C47:$G47)+('DFP-CASH'!J47)&gt;SUM('DFP-Com'!$C45:K45),SUM('DFP-CASH'!$C47:J47)-SUM('DFP-Com'!$C45:K45),"ok")</f>
        <v>ok</v>
      </c>
      <c r="K47" s="365" t="str">
        <f>IF(SUM('DFP-CASH'!$C47:$G47)+('DFP-CASH'!K47)&gt;SUM('DFP-Com'!$C45:L45),SUM('DFP-CASH'!$C47:K47)-SUM('DFP-Com'!$C45:L45),"ok")</f>
        <v>ok</v>
      </c>
      <c r="L47" s="365" t="str">
        <f>IF(SUM('DFP-CASH'!$C47:$G47)+('DFP-CASH'!L47)&gt;SUM('DFP-Com'!$C45:M45),SUM('DFP-CASH'!$C47:L47)-SUM('DFP-Com'!$C45:M45),"ok")</f>
        <v>ok</v>
      </c>
    </row>
    <row r="48" spans="1:12" ht="15">
      <c r="A48" s="215" t="s">
        <v>123</v>
      </c>
      <c r="B48" s="250">
        <f>IF('DFP-Com'!O46-'DFP-CASH'!O48=0,"ok",'DFP-Com'!O46-'DFP-CASH'!O48)</f>
        <v>-30.760000000009313</v>
      </c>
      <c r="C48" s="365" t="str">
        <f>IF(SUM('DFP-CASH'!$C48:C48)&gt;SUM('DFP-Com'!$C46:D46),SUM('DFP-CASH'!$C48:C48)-SUM('DFP-Com'!$C46:D46),"ok")</f>
        <v>ok</v>
      </c>
      <c r="D48" s="365" t="str">
        <f>IF(SUM('DFP-CASH'!$C48:G48)&gt;SUM('DFP-Com'!$C46:E46),SUM('DFP-CASH'!$C48:G48)-SUM('DFP-Com'!$C46:E46),"ok")</f>
        <v>ok</v>
      </c>
      <c r="E48" s="365" t="str">
        <f>IF(SUM('DFP-CASH'!$C48:G48)&gt;SUM('DFP-Com'!$C46:F46),SUM('DFP-CASH'!$C48:G48)-SUM('DFP-Com'!$C46:F46),"ok")</f>
        <v>ok</v>
      </c>
      <c r="F48" s="365" t="str">
        <f>IF(SUM('DFP-CASH'!$C48:G48)&gt;SUM('DFP-Com'!$C46:G46),SUM('DFP-CASH'!$C48:G48)-SUM('DFP-Com'!$C46:G46),"ok")</f>
        <v>ok</v>
      </c>
      <c r="G48" s="365" t="str">
        <f>IF(SUM('DFP-CASH'!$C48:G48)&gt;SUM('DFP-Com'!$C46:G46),SUM('DFP-CASH'!$C48:G48)-SUM('DFP-Com'!$C46:G46),"ok")</f>
        <v>ok</v>
      </c>
      <c r="H48" s="365" t="str">
        <f>IF(SUM('DFP-CASH'!$C48:$G48)+('DFP-CASH'!H48)&gt;SUM('DFP-Com'!$C46:I46),SUM('DFP-CASH'!$C48:H48)-SUM('DFP-Com'!$C46:I46),"ok")</f>
        <v>ok</v>
      </c>
      <c r="I48" s="365" t="str">
        <f>IF(SUM('DFP-CASH'!$C48:$G48)+('DFP-CASH'!I48)&gt;SUM('DFP-Com'!$C46:J46),SUM('DFP-CASH'!$C48:I48)-SUM('DFP-Com'!$C46:J46),"ok")</f>
        <v>ok</v>
      </c>
      <c r="J48" s="365" t="str">
        <f>IF(SUM('DFP-CASH'!$C48:$G48)+('DFP-CASH'!J48)&gt;SUM('DFP-Com'!$C46:K46),SUM('DFP-CASH'!$C48:J48)-SUM('DFP-Com'!$C46:K46),"ok")</f>
        <v>ok</v>
      </c>
      <c r="K48" s="365" t="str">
        <f>IF(SUM('DFP-CASH'!$C48:$G48)+('DFP-CASH'!K48)&gt;SUM('DFP-Com'!$C46:L46),SUM('DFP-CASH'!$C48:K48)-SUM('DFP-Com'!$C46:L46),"ok")</f>
        <v>ok</v>
      </c>
      <c r="L48" s="365" t="str">
        <f>IF(SUM('DFP-CASH'!$C48:$G48)+('DFP-CASH'!L48)&gt;SUM('DFP-Com'!$C46:M46),SUM('DFP-CASH'!$C48:L48)-SUM('DFP-Com'!$C46:M46),"ok")</f>
        <v>ok</v>
      </c>
    </row>
    <row r="49" spans="1:12" ht="15">
      <c r="A49" s="215" t="s">
        <v>124</v>
      </c>
      <c r="B49" s="250">
        <f>IF('DFP-Com'!O47-'DFP-CASH'!O49=0,"ok",'DFP-Com'!O47-'DFP-CASH'!O49)</f>
        <v>13.64999999999418</v>
      </c>
      <c r="C49" s="365" t="str">
        <f>IF(SUM('DFP-CASH'!$C49:C49)&gt;SUM('DFP-Com'!$C47:G47),SUM('DFP-CASH'!$C49:C49)-SUM('DFP-Com'!$C47:G47),"ok")</f>
        <v>ok</v>
      </c>
      <c r="D49" s="365" t="str">
        <f>IF(SUM('DFP-CASH'!$C49:D49)&gt;SUM('DFP-Com'!$C47:H47),SUM('DFP-CASH'!$C49:D49)-SUM('DFP-Com'!$C47:H47),"ok")</f>
        <v>ok</v>
      </c>
      <c r="E49" s="365" t="str">
        <f>IF(SUM('DFP-CASH'!$C49:E49)&gt;SUM('DFP-Com'!$C47:I47),SUM('DFP-CASH'!$C49:E49)-SUM('DFP-Com'!$C47:I47),"ok")</f>
        <v>ok</v>
      </c>
      <c r="F49" s="365" t="str">
        <f>IF(SUM('DFP-CASH'!$C49:F49)&gt;SUM('DFP-Com'!$C47:J47),SUM('DFP-CASH'!$C49:F49)-SUM('DFP-Com'!$C47:J47),"ok")</f>
        <v>ok</v>
      </c>
      <c r="G49" s="365" t="str">
        <f>IF(SUM('DFP-CASH'!$C49:$G49)+('DFP-CASH'!G49)&gt;SUM('DFP-Com'!$C47:H47),SUM('DFP-CASH'!$C49:G49)-SUM('DFP-Com'!$C47:H47),"ok")</f>
        <v>ok</v>
      </c>
      <c r="H49" s="365">
        <f>IF(SUM('DFP-CASH'!$C49:$G49)+('DFP-CASH'!H49)&gt;SUM('DFP-Com'!$C47:I47),SUM('DFP-CASH'!$C49:H49)-SUM('DFP-Com'!$C47:I47),"ok")</f>
        <v>6486.350000000006</v>
      </c>
      <c r="I49" s="365" t="str">
        <f>IF(SUM('DFP-CASH'!$C49:$G49)+('DFP-CASH'!I49)&gt;SUM('DFP-Com'!$C47:J47),SUM('DFP-CASH'!$C49:I49)-SUM('DFP-Com'!$C47:J47),"ok")</f>
        <v>ok</v>
      </c>
      <c r="J49" s="365" t="str">
        <f>IF(SUM('DFP-CASH'!$C49:$G49)+('DFP-CASH'!J49)&gt;SUM('DFP-Com'!$C47:K47),SUM('DFP-CASH'!$C49:J49)-SUM('DFP-Com'!$C47:K47),"ok")</f>
        <v>ok</v>
      </c>
      <c r="K49" s="365" t="str">
        <f>IF(SUM('DFP-CASH'!$C49:$G49)+('DFP-CASH'!K49)&gt;SUM('DFP-Com'!$C47:L47),SUM('DFP-CASH'!$C49:K49)-SUM('DFP-Com'!$C47:L47),"ok")</f>
        <v>ok</v>
      </c>
      <c r="L49" s="365" t="str">
        <f>IF(SUM('DFP-CASH'!$C49:$G49)+('DFP-CASH'!L49)&gt;SUM('DFP-Com'!$C47:M47),SUM('DFP-CASH'!$C49:L49)-SUM('DFP-Com'!$C47:M47),"ok")</f>
        <v>ok</v>
      </c>
    </row>
    <row r="50" spans="1:12" ht="15">
      <c r="A50" s="215" t="s">
        <v>125</v>
      </c>
      <c r="B50" s="250" t="str">
        <f>IF('DFP-Com'!O48-'DFP-CASH'!O50=0,"ok",'DFP-Com'!O48-'DFP-CASH'!O50)</f>
        <v>ok</v>
      </c>
      <c r="C50" s="365" t="str">
        <f>IF(SUM('DFP-CASH'!$C50:C50)&gt;SUM('DFP-Com'!$C48:D48),SUM('DFP-CASH'!$C50:C50)-SUM('DFP-Com'!$C48:D48),"ok")</f>
        <v>ok</v>
      </c>
      <c r="D50" s="365" t="str">
        <f>IF(SUM('DFP-CASH'!$C50:G50)&gt;SUM('DFP-Com'!$C48:E48),SUM('DFP-CASH'!$C50:G50)-SUM('DFP-Com'!$C48:E48),"ok")</f>
        <v>ok</v>
      </c>
      <c r="E50" s="365" t="str">
        <f>IF(SUM('DFP-CASH'!$C50:G50)&gt;SUM('DFP-Com'!$C48:F48),SUM('DFP-CASH'!$C50:G50)-SUM('DFP-Com'!$C48:F48),"ok")</f>
        <v>ok</v>
      </c>
      <c r="F50" s="365" t="str">
        <f>IF(SUM('DFP-CASH'!$C50:G50)&gt;SUM('DFP-Com'!$C48:G48),SUM('DFP-CASH'!$C50:G50)-SUM('DFP-Com'!$C48:G48),"ok")</f>
        <v>ok</v>
      </c>
      <c r="G50" s="365" t="str">
        <f>IF(SUM('DFP-CASH'!$C50:G50)&gt;SUM('DFP-Com'!$C48:G48),SUM('DFP-CASH'!$C50:G50)-SUM('DFP-Com'!$C48:G48),"ok")</f>
        <v>ok</v>
      </c>
      <c r="H50" s="365" t="str">
        <f>IF(SUM('DFP-CASH'!$C50:$G50)+('DFP-CASH'!H50)&gt;SUM('DFP-Com'!$C48:I48),SUM('DFP-CASH'!$C50:H50)-SUM('DFP-Com'!$C48:I48),"ok")</f>
        <v>ok</v>
      </c>
      <c r="I50" s="365" t="str">
        <f>IF(SUM('DFP-CASH'!$C50:$G50)+('DFP-CASH'!I50)&gt;SUM('DFP-Com'!$C48:J48),SUM('DFP-CASH'!$C50:I50)-SUM('DFP-Com'!$C48:J48),"ok")</f>
        <v>ok</v>
      </c>
      <c r="J50" s="365" t="str">
        <f>IF(SUM('DFP-CASH'!$C50:$G50)+('DFP-CASH'!J50)&gt;SUM('DFP-Com'!$C48:K48),SUM('DFP-CASH'!$C50:J50)-SUM('DFP-Com'!$C48:K48),"ok")</f>
        <v>ok</v>
      </c>
      <c r="K50" s="365" t="str">
        <f>IF(SUM('DFP-CASH'!$C50:$G50)+('DFP-CASH'!K50)&gt;SUM('DFP-Com'!$C48:L48),SUM('DFP-CASH'!$C50:K50)-SUM('DFP-Com'!$C48:L48),"ok")</f>
        <v>ok</v>
      </c>
      <c r="L50" s="365" t="str">
        <f>IF(SUM('DFP-CASH'!$C50:$G50)+('DFP-CASH'!L50)&gt;SUM('DFP-Com'!$C48:M48),SUM('DFP-CASH'!$C50:L50)-SUM('DFP-Com'!$C48:M48),"ok")</f>
        <v>ok</v>
      </c>
    </row>
    <row r="51" spans="1:12" ht="15">
      <c r="A51" s="215" t="s">
        <v>126</v>
      </c>
      <c r="B51" s="250">
        <f>IF('DFP-Com'!O49-'DFP-CASH'!O51=0,"ok",'DFP-Com'!O49-'DFP-CASH'!O51)</f>
        <v>17.10999999998603</v>
      </c>
      <c r="C51" s="365" t="str">
        <f>IF(SUM('DFP-CASH'!$C51:C51)&gt;SUM('DFP-Com'!$C49:E49),SUM('DFP-CASH'!$C51:C51)-SUM('DFP-Com'!$C49:E49),"ok")</f>
        <v>ok</v>
      </c>
      <c r="D51" s="365" t="str">
        <f>IF(SUM('DFP-CASH'!$C51:D51)&gt;SUM('DFP-Com'!$C49:E49),SUM('DFP-CASH'!$C51:D51)-SUM('DFP-Com'!$C49:E49),"ok")</f>
        <v>ok</v>
      </c>
      <c r="E51" s="365" t="str">
        <f>IF(SUM('DFP-CASH'!$C51:E51)&gt;SUM('DFP-Com'!$C49:F49),SUM('DFP-CASH'!$C51:E51)-SUM('DFP-Com'!$C49:F49),"ok")</f>
        <v>ok</v>
      </c>
      <c r="F51" s="365" t="str">
        <f>IF(SUM('DFP-CASH'!$C51:F51)&gt;SUM('DFP-Com'!$C49:G49),SUM('DFP-CASH'!$C51:F51)-SUM('DFP-Com'!$C49:G49),"ok")</f>
        <v>ok</v>
      </c>
      <c r="G51" s="365" t="str">
        <f>IF(SUM('DFP-CASH'!$C51:G51)&gt;SUM('DFP-Com'!$C49:G49),SUM('DFP-CASH'!$C51:G51)-SUM('DFP-Com'!$C49:G49),"ok")</f>
        <v>ok</v>
      </c>
      <c r="H51" s="365" t="str">
        <f>IF(SUM('DFP-CASH'!$C51:$G51)+('DFP-CASH'!H51)&gt;SUM('DFP-Com'!$C49:I49),SUM('DFP-CASH'!$C51:H51)-SUM('DFP-Com'!$C49:I49),"ok")</f>
        <v>ok</v>
      </c>
      <c r="I51" s="365" t="str">
        <f>IF(SUM('DFP-CASH'!$C51:$G51)+('DFP-CASH'!I51)&gt;SUM('DFP-Com'!$C49:J49),SUM('DFP-CASH'!$C51:I51)-SUM('DFP-Com'!$C49:J49),"ok")</f>
        <v>ok</v>
      </c>
      <c r="J51" s="365" t="str">
        <f>IF(SUM('DFP-CASH'!$C51:$G51)+('DFP-CASH'!J51)&gt;SUM('DFP-Com'!$C49:K49),SUM('DFP-CASH'!$C51:J51)-SUM('DFP-Com'!$C49:K49),"ok")</f>
        <v>ok</v>
      </c>
      <c r="K51" s="365" t="str">
        <f>IF(SUM('DFP-CASH'!$C51:$G51)+('DFP-CASH'!K51)&gt;SUM('DFP-Com'!$C49:L49),SUM('DFP-CASH'!$C51:K51)-SUM('DFP-Com'!$C49:L49),"ok")</f>
        <v>ok</v>
      </c>
      <c r="L51" s="365" t="str">
        <f>IF(SUM('DFP-CASH'!$C51:$G51)+('DFP-CASH'!L51)&gt;SUM('DFP-Com'!$C49:M49),SUM('DFP-CASH'!$C51:L51)-SUM('DFP-Com'!$C49:M49),"ok")</f>
        <v>ok</v>
      </c>
    </row>
    <row r="52" spans="1:12" ht="15">
      <c r="A52" s="66" t="s">
        <v>84</v>
      </c>
      <c r="B52" s="250" t="str">
        <f>IF('DFP-Com'!O50-'DFP-CASH'!O52=0,"ok",'DFP-Com'!O50-'DFP-CASH'!O52)</f>
        <v>ok</v>
      </c>
      <c r="C52" s="365" t="str">
        <f>IF(SUM('DFP-CASH'!$C52:C52)&gt;SUM('DFP-Com'!$C50:D50),SUM('DFP-CASH'!$C52:C52)-SUM('DFP-Com'!$C50:D50),"ok")</f>
        <v>ok</v>
      </c>
      <c r="D52" s="365" t="str">
        <f>IF(SUM('DFP-CASH'!$C52:D52)&gt;SUM('DFP-Com'!$C50:E50),SUM('DFP-CASH'!$C52:D52)-SUM('DFP-Com'!$C50:E50),"ok")</f>
        <v>ok</v>
      </c>
      <c r="E52" s="365" t="str">
        <f>IF(SUM('DFP-CASH'!$C52:E52)&gt;SUM('DFP-Com'!$C50:F50),SUM('DFP-CASH'!$C52:E52)-SUM('DFP-Com'!$C50:F50),"ok")</f>
        <v>ok</v>
      </c>
      <c r="F52" s="365" t="str">
        <f>IF(SUM('DFP-CASH'!$C52:F52)&gt;SUM('DFP-Com'!$C50:G50),SUM('DFP-CASH'!$C52:F52)-SUM('DFP-Com'!$C50:G50),"ok")</f>
        <v>ok</v>
      </c>
      <c r="G52" s="365" t="str">
        <f>IF(SUM('DFP-CASH'!$C52:G52)&gt;SUM('DFP-Com'!$C50:G50),SUM('DFP-CASH'!$C52:G52)-SUM('DFP-Com'!$C50:G50),"ok")</f>
        <v>ok</v>
      </c>
      <c r="H52" s="365" t="str">
        <f>IF(SUM('DFP-CASH'!$C52:$G52)+('DFP-CASH'!H52)&gt;SUM('DFP-Com'!$C50:I50),SUM('DFP-CASH'!$C52:H52)-SUM('DFP-Com'!$C50:I50),"ok")</f>
        <v>ok</v>
      </c>
      <c r="I52" s="365" t="str">
        <f>IF(SUM('DFP-CASH'!$C52:$G52)+('DFP-CASH'!I52)&gt;SUM('DFP-Com'!$C50:J50),SUM('DFP-CASH'!$C52:I52)-SUM('DFP-Com'!$C50:J50),"ok")</f>
        <v>ok</v>
      </c>
      <c r="J52" s="365" t="str">
        <f>IF(SUM('DFP-CASH'!$C52:$G52)+('DFP-CASH'!J52)&gt;SUM('DFP-Com'!$C50:K50),SUM('DFP-CASH'!$C52:J52)-SUM('DFP-Com'!$C50:K50),"ok")</f>
        <v>ok</v>
      </c>
      <c r="K52" s="365" t="str">
        <f>IF(SUM('DFP-CASH'!$C52:$G52)+('DFP-CASH'!K52)&gt;SUM('DFP-Com'!$C50:L50),SUM('DFP-CASH'!$C52:K52)-SUM('DFP-Com'!$C50:L50),"ok")</f>
        <v>ok</v>
      </c>
      <c r="L52" s="365" t="str">
        <f>IF(SUM('DFP-CASH'!$C52:$G52)+('DFP-CASH'!L52)&gt;SUM('DFP-Com'!$C50:M50),SUM('DFP-CASH'!$C52:L52)-SUM('DFP-Com'!$C50:M50),"ok")</f>
        <v>ok</v>
      </c>
    </row>
    <row r="53" spans="1:12" ht="15">
      <c r="A53" s="53"/>
      <c r="B53" s="250" t="str">
        <f>IF('DFP-Com'!O51-'DFP-CASH'!O53=0,"ok",'DFP-Com'!O51-'DFP-CASH'!O53)</f>
        <v>ok</v>
      </c>
      <c r="C53" s="365" t="str">
        <f>IF(SUM('DFP-CASH'!$C53:C53)&gt;SUM('DFP-Com'!$C51:D51),SUM('DFP-CASH'!$C53:C53)-SUM('DFP-Com'!$C51:D51),"ok")</f>
        <v>ok</v>
      </c>
      <c r="D53" s="365" t="str">
        <f>IF(SUM('DFP-CASH'!$C53:D53)&gt;SUM('DFP-Com'!$C51:E51),SUM('DFP-CASH'!$C53:D53)-SUM('DFP-Com'!$C51:E51),"ok")</f>
        <v>ok</v>
      </c>
      <c r="E53" s="365" t="str">
        <f>IF(SUM('DFP-CASH'!$C53:E53)&gt;SUM('DFP-Com'!$C51:F51),SUM('DFP-CASH'!$C53:E53)-SUM('DFP-Com'!$C51:F51),"ok")</f>
        <v>ok</v>
      </c>
      <c r="F53" s="365" t="str">
        <f>IF(SUM('DFP-CASH'!$C53:F53)&gt;SUM('DFP-Com'!$C51:G51),SUM('DFP-CASH'!$C53:F53)-SUM('DFP-Com'!$C51:G51),"ok")</f>
        <v>ok</v>
      </c>
      <c r="G53" s="365" t="str">
        <f>IF(SUM('DFP-CASH'!$C53:G53)&gt;SUM('DFP-Com'!$C51:G51),SUM('DFP-CASH'!$C53:G53)-SUM('DFP-Com'!$C51:G51),"ok")</f>
        <v>ok</v>
      </c>
      <c r="H53" s="365" t="str">
        <f>IF(SUM('DFP-CASH'!$C53:$G53)+('DFP-CASH'!H53)&gt;SUM('DFP-Com'!$C51:I51),SUM('DFP-CASH'!$C53:H53)-SUM('DFP-Com'!$C51:I51),"ok")</f>
        <v>ok</v>
      </c>
      <c r="I53" s="365" t="str">
        <f>IF(SUM('DFP-CASH'!$C53:$G53)+('DFP-CASH'!I53)&gt;SUM('DFP-Com'!$C51:J51),SUM('DFP-CASH'!$C53:I53)-SUM('DFP-Com'!$C51:J51),"ok")</f>
        <v>ok</v>
      </c>
      <c r="J53" s="365" t="str">
        <f>IF(SUM('DFP-CASH'!$C53:$G53)+('DFP-CASH'!J53)&gt;SUM('DFP-Com'!$C51:K51),SUM('DFP-CASH'!$C53:J53)-SUM('DFP-Com'!$C51:K51),"ok")</f>
        <v>ok</v>
      </c>
      <c r="K53" s="365" t="str">
        <f>IF(SUM('DFP-CASH'!$C53:$G53)+('DFP-CASH'!K53)&gt;SUM('DFP-Com'!$C51:L51),SUM('DFP-CASH'!$C53:K53)-SUM('DFP-Com'!$C51:L51),"ok")</f>
        <v>ok</v>
      </c>
      <c r="L53" s="365" t="str">
        <f>IF(SUM('DFP-CASH'!$C53:$G53)+('DFP-CASH'!L53)&gt;SUM('DFP-Com'!$C51:M51),SUM('DFP-CASH'!$C53:L53)-SUM('DFP-Com'!$C51:M51),"ok")</f>
        <v>ok</v>
      </c>
    </row>
    <row r="54" ht="16.5">
      <c r="A54" s="228" t="s">
        <v>119</v>
      </c>
    </row>
  </sheetData>
  <mergeCells count="1">
    <mergeCell ref="E15:G15"/>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79"/>
  <sheetViews>
    <sheetView showGridLines="0" zoomScale="115" zoomScaleNormal="115" workbookViewId="0" topLeftCell="A1">
      <pane ySplit="3" topLeftCell="A4" activePane="bottomLeft" state="frozen"/>
      <selection pane="bottomLeft" activeCell="C31" sqref="C31"/>
    </sheetView>
  </sheetViews>
  <sheetFormatPr defaultColWidth="8.8515625" defaultRowHeight="15"/>
  <cols>
    <col min="1" max="1" width="8.8515625" style="295" customWidth="1"/>
    <col min="2" max="2" width="30.57421875" style="295" customWidth="1"/>
    <col min="3" max="3" width="51.421875" style="295" customWidth="1"/>
    <col min="4" max="4" width="14.00390625" style="295" customWidth="1"/>
    <col min="5" max="5" width="13.140625" style="295" customWidth="1"/>
    <col min="6" max="6" width="12.421875" style="295" customWidth="1"/>
    <col min="7" max="7" width="10.421875" style="295" customWidth="1"/>
    <col min="8" max="8" width="10.421875" style="312" customWidth="1"/>
    <col min="9" max="21" width="10.421875" style="295" customWidth="1"/>
    <col min="22" max="23" width="14.00390625" style="295" customWidth="1"/>
    <col min="24" max="24" width="11.00390625" style="295" customWidth="1"/>
    <col min="25" max="34" width="10.421875" style="295" customWidth="1"/>
    <col min="35" max="35" width="12.421875" style="295" customWidth="1"/>
    <col min="36" max="37" width="10.421875" style="295" customWidth="1"/>
    <col min="38" max="38" width="12.57421875" style="295" customWidth="1"/>
    <col min="39" max="39" width="8.8515625" style="295" customWidth="1"/>
    <col min="40" max="41" width="11.421875" style="295" customWidth="1"/>
    <col min="42" max="42" width="12.140625" style="295" customWidth="1"/>
    <col min="43" max="44" width="11.421875" style="295" customWidth="1"/>
    <col min="45" max="45" width="12.421875" style="295" customWidth="1"/>
    <col min="46" max="54" width="11.421875" style="295" customWidth="1"/>
    <col min="55" max="55" width="8.8515625" style="295" customWidth="1"/>
    <col min="56" max="56" width="11.57421875" style="295" customWidth="1"/>
    <col min="57" max="16384" width="8.8515625" style="295" customWidth="1"/>
  </cols>
  <sheetData>
    <row r="1" spans="4:54" ht="15">
      <c r="D1" s="234">
        <f>SUM(D2:D55)</f>
        <v>23584570</v>
      </c>
      <c r="F1" s="295" t="s">
        <v>151</v>
      </c>
      <c r="U1" s="295" t="s">
        <v>165</v>
      </c>
      <c r="X1" s="238" t="s">
        <v>193</v>
      </c>
      <c r="Y1" s="238"/>
      <c r="Z1" s="238"/>
      <c r="AA1" s="238"/>
      <c r="AB1" s="238"/>
      <c r="AC1" s="238"/>
      <c r="AD1" s="238"/>
      <c r="AE1" s="238"/>
      <c r="AF1" s="238"/>
      <c r="AG1" s="238"/>
      <c r="AH1" s="238"/>
      <c r="AI1" s="238"/>
      <c r="AJ1" s="238"/>
      <c r="AK1" s="238"/>
      <c r="AL1" s="238"/>
      <c r="AM1" s="239"/>
      <c r="AN1" s="238" t="s">
        <v>194</v>
      </c>
      <c r="AO1" s="238"/>
      <c r="AP1" s="238"/>
      <c r="AQ1" s="238"/>
      <c r="AR1" s="238"/>
      <c r="AS1" s="238"/>
      <c r="AT1" s="238"/>
      <c r="AU1" s="238"/>
      <c r="AV1" s="238"/>
      <c r="AW1" s="238"/>
      <c r="AX1" s="238"/>
      <c r="AY1" s="238"/>
      <c r="AZ1" s="238"/>
      <c r="BA1" s="238"/>
      <c r="BB1" s="238"/>
    </row>
    <row r="2" spans="1:56" ht="15">
      <c r="A2" s="295" t="s">
        <v>127</v>
      </c>
      <c r="C2" s="295" t="s">
        <v>147</v>
      </c>
      <c r="D2" s="295" t="s">
        <v>149</v>
      </c>
      <c r="F2" s="232">
        <v>42552</v>
      </c>
      <c r="G2" s="232">
        <v>42644</v>
      </c>
      <c r="H2" s="313">
        <v>42736</v>
      </c>
      <c r="I2" s="232">
        <v>42826</v>
      </c>
      <c r="J2" s="232">
        <v>42917</v>
      </c>
      <c r="K2" s="232">
        <v>43009</v>
      </c>
      <c r="L2" s="232">
        <v>43101</v>
      </c>
      <c r="M2" s="232">
        <v>43191</v>
      </c>
      <c r="N2" s="232">
        <v>43282</v>
      </c>
      <c r="O2" s="232">
        <v>43374</v>
      </c>
      <c r="P2" s="232">
        <v>43466</v>
      </c>
      <c r="Q2" s="232">
        <v>43556</v>
      </c>
      <c r="R2" s="232">
        <v>43647</v>
      </c>
      <c r="S2" s="232">
        <v>43739</v>
      </c>
      <c r="T2" s="232">
        <v>43831</v>
      </c>
      <c r="X2" s="240">
        <v>42552</v>
      </c>
      <c r="Y2" s="240">
        <v>42644</v>
      </c>
      <c r="Z2" s="240">
        <v>42736</v>
      </c>
      <c r="AA2" s="240">
        <v>42826</v>
      </c>
      <c r="AB2" s="240">
        <v>42917</v>
      </c>
      <c r="AC2" s="240">
        <v>43009</v>
      </c>
      <c r="AD2" s="240">
        <v>43101</v>
      </c>
      <c r="AE2" s="240">
        <v>43191</v>
      </c>
      <c r="AF2" s="240">
        <v>43282</v>
      </c>
      <c r="AG2" s="240">
        <v>43374</v>
      </c>
      <c r="AH2" s="240">
        <v>43466</v>
      </c>
      <c r="AI2" s="240">
        <v>43556</v>
      </c>
      <c r="AJ2" s="240">
        <v>43647</v>
      </c>
      <c r="AK2" s="240">
        <v>43739</v>
      </c>
      <c r="AL2" s="240">
        <v>43831</v>
      </c>
      <c r="AM2" s="239"/>
      <c r="AN2" s="240">
        <v>42552</v>
      </c>
      <c r="AO2" s="240">
        <v>42644</v>
      </c>
      <c r="AP2" s="240">
        <v>42736</v>
      </c>
      <c r="AQ2" s="240">
        <v>42826</v>
      </c>
      <c r="AR2" s="240">
        <v>42917</v>
      </c>
      <c r="AS2" s="240">
        <v>43009</v>
      </c>
      <c r="AT2" s="240">
        <v>43101</v>
      </c>
      <c r="AU2" s="240">
        <v>43191</v>
      </c>
      <c r="AV2" s="240">
        <v>43282</v>
      </c>
      <c r="AW2" s="240">
        <v>43374</v>
      </c>
      <c r="AX2" s="240">
        <v>43466</v>
      </c>
      <c r="AY2" s="240">
        <v>43556</v>
      </c>
      <c r="AZ2" s="240">
        <v>43647</v>
      </c>
      <c r="BA2" s="240">
        <v>43739</v>
      </c>
      <c r="BB2" s="240">
        <v>43831</v>
      </c>
      <c r="BD2" s="295" t="s">
        <v>201</v>
      </c>
    </row>
    <row r="3" spans="1:54" ht="15">
      <c r="A3" s="295" t="s">
        <v>127</v>
      </c>
      <c r="C3" s="295" t="s">
        <v>147</v>
      </c>
      <c r="E3" s="295" t="s">
        <v>150</v>
      </c>
      <c r="F3" s="295" t="s">
        <v>148</v>
      </c>
      <c r="G3" s="295" t="s">
        <v>152</v>
      </c>
      <c r="H3" s="312" t="s">
        <v>153</v>
      </c>
      <c r="I3" s="295" t="s">
        <v>154</v>
      </c>
      <c r="J3" s="295" t="s">
        <v>155</v>
      </c>
      <c r="K3" s="295" t="s">
        <v>156</v>
      </c>
      <c r="L3" s="295" t="s">
        <v>157</v>
      </c>
      <c r="M3" s="295" t="s">
        <v>158</v>
      </c>
      <c r="N3" s="295" t="s">
        <v>159</v>
      </c>
      <c r="O3" s="295" t="s">
        <v>160</v>
      </c>
      <c r="P3" s="295" t="s">
        <v>161</v>
      </c>
      <c r="Q3" s="295" t="s">
        <v>162</v>
      </c>
      <c r="R3" s="295" t="s">
        <v>163</v>
      </c>
      <c r="S3" s="295" t="s">
        <v>164</v>
      </c>
      <c r="T3" s="295" t="s">
        <v>166</v>
      </c>
      <c r="X3" s="238" t="s">
        <v>148</v>
      </c>
      <c r="Y3" s="238" t="s">
        <v>152</v>
      </c>
      <c r="Z3" s="238" t="s">
        <v>153</v>
      </c>
      <c r="AA3" s="238" t="s">
        <v>154</v>
      </c>
      <c r="AB3" s="238" t="s">
        <v>155</v>
      </c>
      <c r="AC3" s="238" t="s">
        <v>156</v>
      </c>
      <c r="AD3" s="238" t="s">
        <v>157</v>
      </c>
      <c r="AE3" s="238" t="s">
        <v>158</v>
      </c>
      <c r="AF3" s="238" t="s">
        <v>159</v>
      </c>
      <c r="AG3" s="238" t="s">
        <v>160</v>
      </c>
      <c r="AH3" s="238" t="s">
        <v>161</v>
      </c>
      <c r="AI3" s="238" t="s">
        <v>162</v>
      </c>
      <c r="AJ3" s="238" t="s">
        <v>163</v>
      </c>
      <c r="AK3" s="238" t="s">
        <v>164</v>
      </c>
      <c r="AL3" s="238" t="s">
        <v>166</v>
      </c>
      <c r="AM3" s="239"/>
      <c r="AN3" s="238" t="s">
        <v>148</v>
      </c>
      <c r="AO3" s="238" t="s">
        <v>152</v>
      </c>
      <c r="AP3" s="238" t="s">
        <v>153</v>
      </c>
      <c r="AQ3" s="238" t="s">
        <v>154</v>
      </c>
      <c r="AR3" s="238" t="s">
        <v>155</v>
      </c>
      <c r="AS3" s="238" t="s">
        <v>156</v>
      </c>
      <c r="AT3" s="238" t="s">
        <v>157</v>
      </c>
      <c r="AU3" s="238" t="s">
        <v>158</v>
      </c>
      <c r="AV3" s="238" t="s">
        <v>159</v>
      </c>
      <c r="AW3" s="238" t="s">
        <v>160</v>
      </c>
      <c r="AX3" s="238" t="s">
        <v>161</v>
      </c>
      <c r="AY3" s="238" t="s">
        <v>162</v>
      </c>
      <c r="AZ3" s="238" t="s">
        <v>163</v>
      </c>
      <c r="BA3" s="238" t="s">
        <v>164</v>
      </c>
      <c r="BB3" s="238" t="s">
        <v>166</v>
      </c>
    </row>
    <row r="4" spans="1:56" ht="15">
      <c r="A4" s="295" t="s">
        <v>128</v>
      </c>
      <c r="B4" s="243" t="str">
        <f>VLOOKUP(A4,'DFP-Com'!$A$16:$B$50,2,1)</f>
        <v xml:space="preserve">     1.1.a  Education Project Implementation Contract</v>
      </c>
      <c r="C4" s="295" t="s">
        <v>237</v>
      </c>
      <c r="D4" s="323">
        <v>8500000</v>
      </c>
      <c r="E4" s="295" t="s">
        <v>167</v>
      </c>
      <c r="H4" s="314"/>
      <c r="I4" s="233">
        <v>0.03</v>
      </c>
      <c r="J4" s="233">
        <v>0.05</v>
      </c>
      <c r="K4" s="233">
        <v>0.05</v>
      </c>
      <c r="L4" s="233">
        <v>0.05</v>
      </c>
      <c r="M4" s="233">
        <v>0.1</v>
      </c>
      <c r="N4" s="233">
        <v>0.1</v>
      </c>
      <c r="O4" s="233">
        <v>0.1</v>
      </c>
      <c r="P4" s="233">
        <v>0.1</v>
      </c>
      <c r="Q4" s="233">
        <v>0.1</v>
      </c>
      <c r="R4" s="233">
        <v>0.1</v>
      </c>
      <c r="S4" s="233">
        <v>0.1</v>
      </c>
      <c r="T4" s="233">
        <v>0.12</v>
      </c>
      <c r="U4" s="298">
        <f aca="true" t="shared" si="0" ref="U4:U38">SUM(F4:T4)</f>
        <v>0.9999999999999999</v>
      </c>
      <c r="X4" s="300">
        <f aca="true" t="shared" si="1" ref="X4:AL20">F4*$D4</f>
        <v>0</v>
      </c>
      <c r="Y4" s="300">
        <f t="shared" si="1"/>
        <v>0</v>
      </c>
      <c r="Z4" s="300">
        <f t="shared" si="1"/>
        <v>0</v>
      </c>
      <c r="AA4" s="300">
        <f t="shared" si="1"/>
        <v>255000</v>
      </c>
      <c r="AB4" s="300">
        <f t="shared" si="1"/>
        <v>425000</v>
      </c>
      <c r="AC4" s="300">
        <f t="shared" si="1"/>
        <v>425000</v>
      </c>
      <c r="AD4" s="300">
        <f t="shared" si="1"/>
        <v>425000</v>
      </c>
      <c r="AE4" s="300">
        <f t="shared" si="1"/>
        <v>850000</v>
      </c>
      <c r="AF4" s="300">
        <f t="shared" si="1"/>
        <v>850000</v>
      </c>
      <c r="AG4" s="300">
        <f t="shared" si="1"/>
        <v>850000</v>
      </c>
      <c r="AH4" s="300">
        <f t="shared" si="1"/>
        <v>850000</v>
      </c>
      <c r="AI4" s="300">
        <f t="shared" si="1"/>
        <v>850000</v>
      </c>
      <c r="AJ4" s="300">
        <f t="shared" si="1"/>
        <v>850000</v>
      </c>
      <c r="AK4" s="300">
        <f t="shared" si="1"/>
        <v>850000</v>
      </c>
      <c r="AL4" s="300">
        <f t="shared" si="1"/>
        <v>1020000</v>
      </c>
      <c r="AM4" s="239"/>
      <c r="AN4" s="300">
        <f aca="true" t="shared" si="2" ref="AN4:BB19">IF(AN$3=$E4,$D4,0)</f>
        <v>0</v>
      </c>
      <c r="AO4" s="300">
        <f t="shared" si="2"/>
        <v>0</v>
      </c>
      <c r="AP4" s="300">
        <f t="shared" si="2"/>
        <v>8500000</v>
      </c>
      <c r="AQ4" s="300">
        <f t="shared" si="2"/>
        <v>0</v>
      </c>
      <c r="AR4" s="300">
        <f t="shared" si="2"/>
        <v>0</v>
      </c>
      <c r="AS4" s="300">
        <f t="shared" si="2"/>
        <v>0</v>
      </c>
      <c r="AT4" s="300">
        <f t="shared" si="2"/>
        <v>0</v>
      </c>
      <c r="AU4" s="300">
        <f t="shared" si="2"/>
        <v>0</v>
      </c>
      <c r="AV4" s="300">
        <f t="shared" si="2"/>
        <v>0</v>
      </c>
      <c r="AW4" s="300">
        <f t="shared" si="2"/>
        <v>0</v>
      </c>
      <c r="AX4" s="300">
        <f t="shared" si="2"/>
        <v>0</v>
      </c>
      <c r="AY4" s="300">
        <f t="shared" si="2"/>
        <v>0</v>
      </c>
      <c r="AZ4" s="300">
        <f t="shared" si="2"/>
        <v>0</v>
      </c>
      <c r="BA4" s="300">
        <f t="shared" si="2"/>
        <v>0</v>
      </c>
      <c r="BB4" s="300">
        <f t="shared" si="2"/>
        <v>0</v>
      </c>
      <c r="BD4" s="299">
        <f aca="true" t="shared" si="3" ref="BD4:BD27">SUM(X4:AL4)-SUM(AN4:BB4)</f>
        <v>0</v>
      </c>
    </row>
    <row r="5" spans="1:56" ht="15">
      <c r="A5" s="295" t="s">
        <v>128</v>
      </c>
      <c r="B5" s="243" t="str">
        <f>VLOOKUP(A5,'DFP-Com'!$A$16:$B$50,2,1)</f>
        <v xml:space="preserve">     1.1.a  Education Project Implementation Contract</v>
      </c>
      <c r="C5" s="295" t="s">
        <v>170</v>
      </c>
      <c r="D5" s="322">
        <v>200000</v>
      </c>
      <c r="E5" s="295" t="s">
        <v>181</v>
      </c>
      <c r="L5" s="298">
        <v>0.25</v>
      </c>
      <c r="M5" s="298">
        <v>0.25</v>
      </c>
      <c r="N5" s="298">
        <v>0.25</v>
      </c>
      <c r="O5" s="298">
        <v>0.25</v>
      </c>
      <c r="U5" s="298">
        <f t="shared" si="0"/>
        <v>1</v>
      </c>
      <c r="X5" s="300">
        <f t="shared" si="1"/>
        <v>0</v>
      </c>
      <c r="Y5" s="300">
        <f t="shared" si="1"/>
        <v>0</v>
      </c>
      <c r="Z5" s="300">
        <f t="shared" si="1"/>
        <v>0</v>
      </c>
      <c r="AA5" s="300">
        <f t="shared" si="1"/>
        <v>0</v>
      </c>
      <c r="AB5" s="300">
        <f t="shared" si="1"/>
        <v>0</v>
      </c>
      <c r="AC5" s="300">
        <f t="shared" si="1"/>
        <v>0</v>
      </c>
      <c r="AD5" s="300">
        <f t="shared" si="1"/>
        <v>50000</v>
      </c>
      <c r="AE5" s="300">
        <f t="shared" si="1"/>
        <v>50000</v>
      </c>
      <c r="AF5" s="300">
        <f t="shared" si="1"/>
        <v>50000</v>
      </c>
      <c r="AG5" s="300">
        <f t="shared" si="1"/>
        <v>50000</v>
      </c>
      <c r="AH5" s="300">
        <f t="shared" si="1"/>
        <v>0</v>
      </c>
      <c r="AI5" s="300">
        <f t="shared" si="1"/>
        <v>0</v>
      </c>
      <c r="AJ5" s="300">
        <f t="shared" si="1"/>
        <v>0</v>
      </c>
      <c r="AK5" s="300">
        <f t="shared" si="1"/>
        <v>0</v>
      </c>
      <c r="AL5" s="300">
        <f t="shared" si="1"/>
        <v>0</v>
      </c>
      <c r="AM5" s="239"/>
      <c r="AN5" s="300">
        <f t="shared" si="2"/>
        <v>0</v>
      </c>
      <c r="AO5" s="300">
        <f t="shared" si="2"/>
        <v>0</v>
      </c>
      <c r="AP5" s="300">
        <f t="shared" si="2"/>
        <v>0</v>
      </c>
      <c r="AQ5" s="300">
        <f t="shared" si="2"/>
        <v>0</v>
      </c>
      <c r="AR5" s="300">
        <f t="shared" si="2"/>
        <v>0</v>
      </c>
      <c r="AS5" s="300">
        <f t="shared" si="2"/>
        <v>0</v>
      </c>
      <c r="AT5" s="300">
        <f t="shared" si="2"/>
        <v>200000</v>
      </c>
      <c r="AU5" s="300">
        <f t="shared" si="2"/>
        <v>0</v>
      </c>
      <c r="AV5" s="300">
        <f t="shared" si="2"/>
        <v>0</v>
      </c>
      <c r="AW5" s="300">
        <f t="shared" si="2"/>
        <v>0</v>
      </c>
      <c r="AX5" s="300">
        <f t="shared" si="2"/>
        <v>0</v>
      </c>
      <c r="AY5" s="300">
        <f t="shared" si="2"/>
        <v>0</v>
      </c>
      <c r="AZ5" s="300">
        <f t="shared" si="2"/>
        <v>0</v>
      </c>
      <c r="BA5" s="300">
        <f t="shared" si="2"/>
        <v>0</v>
      </c>
      <c r="BB5" s="300">
        <f t="shared" si="2"/>
        <v>0</v>
      </c>
      <c r="BD5" s="299">
        <f t="shared" si="3"/>
        <v>0</v>
      </c>
    </row>
    <row r="6" spans="1:56" ht="15">
      <c r="A6" s="295" t="s">
        <v>129</v>
      </c>
      <c r="B6" s="243" t="str">
        <f>VLOOKUP(A6,'DFP-Com'!$A$16:$B$50,2,1)</f>
        <v xml:space="preserve">     1.1.b  Grants to Universities for Teacher Training (Diplomados)</v>
      </c>
      <c r="C6" s="295" t="s">
        <v>168</v>
      </c>
      <c r="D6" s="234">
        <v>3000000</v>
      </c>
      <c r="E6" s="295" t="s">
        <v>169</v>
      </c>
      <c r="H6" s="314"/>
      <c r="I6" s="233"/>
      <c r="J6" s="233"/>
      <c r="K6" s="233"/>
      <c r="L6" s="233">
        <v>0.125</v>
      </c>
      <c r="M6" s="233">
        <v>0.125</v>
      </c>
      <c r="N6" s="233">
        <v>0.125</v>
      </c>
      <c r="O6" s="233">
        <v>0.125</v>
      </c>
      <c r="P6" s="233">
        <v>0.125</v>
      </c>
      <c r="Q6" s="233">
        <v>0.125</v>
      </c>
      <c r="R6" s="233">
        <v>0.125</v>
      </c>
      <c r="S6" s="233">
        <v>0.125</v>
      </c>
      <c r="T6" s="298"/>
      <c r="U6" s="298">
        <f t="shared" si="0"/>
        <v>1</v>
      </c>
      <c r="X6" s="300">
        <f t="shared" si="1"/>
        <v>0</v>
      </c>
      <c r="Y6" s="300">
        <f t="shared" si="1"/>
        <v>0</v>
      </c>
      <c r="Z6" s="300">
        <f t="shared" si="1"/>
        <v>0</v>
      </c>
      <c r="AA6" s="300">
        <f t="shared" si="1"/>
        <v>0</v>
      </c>
      <c r="AB6" s="300">
        <f t="shared" si="1"/>
        <v>0</v>
      </c>
      <c r="AC6" s="300">
        <f t="shared" si="1"/>
        <v>0</v>
      </c>
      <c r="AD6" s="300">
        <f t="shared" si="1"/>
        <v>375000</v>
      </c>
      <c r="AE6" s="300">
        <f t="shared" si="1"/>
        <v>375000</v>
      </c>
      <c r="AF6" s="300">
        <f t="shared" si="1"/>
        <v>375000</v>
      </c>
      <c r="AG6" s="300">
        <f t="shared" si="1"/>
        <v>375000</v>
      </c>
      <c r="AH6" s="300">
        <f t="shared" si="1"/>
        <v>375000</v>
      </c>
      <c r="AI6" s="300">
        <f t="shared" si="1"/>
        <v>375000</v>
      </c>
      <c r="AJ6" s="300">
        <f t="shared" si="1"/>
        <v>375000</v>
      </c>
      <c r="AK6" s="300">
        <f t="shared" si="1"/>
        <v>375000</v>
      </c>
      <c r="AL6" s="300">
        <f t="shared" si="1"/>
        <v>0</v>
      </c>
      <c r="AM6" s="239"/>
      <c r="AN6" s="300">
        <f t="shared" si="2"/>
        <v>0</v>
      </c>
      <c r="AO6" s="300">
        <f t="shared" si="2"/>
        <v>0</v>
      </c>
      <c r="AP6" s="300">
        <f t="shared" si="2"/>
        <v>0</v>
      </c>
      <c r="AQ6" s="300">
        <f t="shared" si="2"/>
        <v>0</v>
      </c>
      <c r="AR6" s="300">
        <f t="shared" si="2"/>
        <v>0</v>
      </c>
      <c r="AS6" s="300">
        <f t="shared" si="2"/>
        <v>3000000</v>
      </c>
      <c r="AT6" s="300">
        <f t="shared" si="2"/>
        <v>0</v>
      </c>
      <c r="AU6" s="300">
        <f t="shared" si="2"/>
        <v>0</v>
      </c>
      <c r="AV6" s="300">
        <f t="shared" si="2"/>
        <v>0</v>
      </c>
      <c r="AW6" s="300">
        <f t="shared" si="2"/>
        <v>0</v>
      </c>
      <c r="AX6" s="300">
        <f t="shared" si="2"/>
        <v>0</v>
      </c>
      <c r="AY6" s="300">
        <f t="shared" si="2"/>
        <v>0</v>
      </c>
      <c r="AZ6" s="300">
        <f t="shared" si="2"/>
        <v>0</v>
      </c>
      <c r="BA6" s="300">
        <f t="shared" si="2"/>
        <v>0</v>
      </c>
      <c r="BB6" s="300">
        <f t="shared" si="2"/>
        <v>0</v>
      </c>
      <c r="BD6" s="299">
        <f t="shared" si="3"/>
        <v>0</v>
      </c>
    </row>
    <row r="7" spans="1:56" ht="15">
      <c r="A7" s="295" t="s">
        <v>131</v>
      </c>
      <c r="B7" s="243" t="str">
        <f>VLOOKUP(A7,'DFP-Com'!$A$16:$B$50,2,1)</f>
        <v xml:space="preserve">     1.2.a  TVET</v>
      </c>
      <c r="C7" s="245" t="s">
        <v>211</v>
      </c>
      <c r="D7" s="301">
        <v>4000000</v>
      </c>
      <c r="E7" s="295" t="s">
        <v>196</v>
      </c>
      <c r="J7" s="298">
        <v>0.05</v>
      </c>
      <c r="K7" s="298">
        <v>0.1</v>
      </c>
      <c r="L7" s="298">
        <v>0.1</v>
      </c>
      <c r="M7" s="298">
        <v>0.1</v>
      </c>
      <c r="N7" s="298">
        <v>0.1</v>
      </c>
      <c r="O7" s="298">
        <v>0.1</v>
      </c>
      <c r="P7" s="298">
        <v>0.1</v>
      </c>
      <c r="Q7" s="298">
        <v>0.1</v>
      </c>
      <c r="R7" s="298">
        <v>0.1</v>
      </c>
      <c r="S7" s="298">
        <v>0.1</v>
      </c>
      <c r="T7" s="298">
        <v>0.05</v>
      </c>
      <c r="U7" s="298">
        <f t="shared" si="0"/>
        <v>0.9999999999999999</v>
      </c>
      <c r="X7" s="300">
        <f t="shared" si="1"/>
        <v>0</v>
      </c>
      <c r="Y7" s="300">
        <f t="shared" si="1"/>
        <v>0</v>
      </c>
      <c r="Z7" s="300">
        <f t="shared" si="1"/>
        <v>0</v>
      </c>
      <c r="AA7" s="300">
        <f t="shared" si="1"/>
        <v>0</v>
      </c>
      <c r="AB7" s="300">
        <f t="shared" si="1"/>
        <v>200000</v>
      </c>
      <c r="AC7" s="300">
        <f t="shared" si="1"/>
        <v>400000</v>
      </c>
      <c r="AD7" s="300">
        <f t="shared" si="1"/>
        <v>400000</v>
      </c>
      <c r="AE7" s="300">
        <f t="shared" si="1"/>
        <v>400000</v>
      </c>
      <c r="AF7" s="300">
        <f t="shared" si="1"/>
        <v>400000</v>
      </c>
      <c r="AG7" s="300">
        <f t="shared" si="1"/>
        <v>400000</v>
      </c>
      <c r="AH7" s="300">
        <f t="shared" si="1"/>
        <v>400000</v>
      </c>
      <c r="AI7" s="300">
        <f t="shared" si="1"/>
        <v>400000</v>
      </c>
      <c r="AJ7" s="300">
        <f t="shared" si="1"/>
        <v>400000</v>
      </c>
      <c r="AK7" s="300">
        <f t="shared" si="1"/>
        <v>400000</v>
      </c>
      <c r="AL7" s="300">
        <f t="shared" si="1"/>
        <v>200000</v>
      </c>
      <c r="AM7" s="239"/>
      <c r="AN7" s="300">
        <f t="shared" si="2"/>
        <v>0</v>
      </c>
      <c r="AO7" s="300">
        <f t="shared" si="2"/>
        <v>0</v>
      </c>
      <c r="AP7" s="300">
        <f t="shared" si="2"/>
        <v>0</v>
      </c>
      <c r="AQ7" s="300">
        <f t="shared" si="2"/>
        <v>0</v>
      </c>
      <c r="AR7" s="300">
        <f t="shared" si="2"/>
        <v>4000000</v>
      </c>
      <c r="AS7" s="300">
        <f t="shared" si="2"/>
        <v>0</v>
      </c>
      <c r="AT7" s="300">
        <f t="shared" si="2"/>
        <v>0</v>
      </c>
      <c r="AU7" s="300">
        <f t="shared" si="2"/>
        <v>0</v>
      </c>
      <c r="AV7" s="300">
        <f t="shared" si="2"/>
        <v>0</v>
      </c>
      <c r="AW7" s="300">
        <f t="shared" si="2"/>
        <v>0</v>
      </c>
      <c r="AX7" s="300">
        <f t="shared" si="2"/>
        <v>0</v>
      </c>
      <c r="AY7" s="300">
        <f t="shared" si="2"/>
        <v>0</v>
      </c>
      <c r="AZ7" s="300">
        <f t="shared" si="2"/>
        <v>0</v>
      </c>
      <c r="BA7" s="300">
        <f t="shared" si="2"/>
        <v>0</v>
      </c>
      <c r="BB7" s="300">
        <f t="shared" si="2"/>
        <v>0</v>
      </c>
      <c r="BD7" s="299">
        <f t="shared" si="3"/>
        <v>0</v>
      </c>
    </row>
    <row r="8" spans="1:56" ht="15">
      <c r="A8" s="295" t="s">
        <v>132</v>
      </c>
      <c r="B8" s="243" t="str">
        <f>VLOOKUP(A8,'DFP-Com'!$A$16:$B$50,2,1)</f>
        <v xml:space="preserve">     1.3.a  Education Project Implementation Contract</v>
      </c>
      <c r="C8" s="295" t="s">
        <v>236</v>
      </c>
      <c r="D8" s="323">
        <v>2500000</v>
      </c>
      <c r="E8" s="295" t="s">
        <v>167</v>
      </c>
      <c r="H8" s="314"/>
      <c r="I8" s="233">
        <v>0.03</v>
      </c>
      <c r="J8" s="233">
        <v>0.05</v>
      </c>
      <c r="K8" s="233">
        <v>0.05</v>
      </c>
      <c r="L8" s="233">
        <v>0.05</v>
      </c>
      <c r="M8" s="233">
        <v>0.1</v>
      </c>
      <c r="N8" s="233">
        <v>0.1</v>
      </c>
      <c r="O8" s="233">
        <v>0.1</v>
      </c>
      <c r="P8" s="233">
        <v>0.1</v>
      </c>
      <c r="Q8" s="233">
        <v>0.1</v>
      </c>
      <c r="R8" s="233">
        <v>0.1</v>
      </c>
      <c r="S8" s="233">
        <v>0.1</v>
      </c>
      <c r="T8" s="233">
        <v>0.12</v>
      </c>
      <c r="U8" s="298">
        <f t="shared" si="0"/>
        <v>0.9999999999999999</v>
      </c>
      <c r="X8" s="300">
        <f t="shared" si="1"/>
        <v>0</v>
      </c>
      <c r="Y8" s="300">
        <f t="shared" si="1"/>
        <v>0</v>
      </c>
      <c r="Z8" s="300">
        <f t="shared" si="1"/>
        <v>0</v>
      </c>
      <c r="AA8" s="300">
        <f t="shared" si="1"/>
        <v>75000</v>
      </c>
      <c r="AB8" s="300">
        <f t="shared" si="1"/>
        <v>125000</v>
      </c>
      <c r="AC8" s="300">
        <f t="shared" si="1"/>
        <v>125000</v>
      </c>
      <c r="AD8" s="300">
        <f t="shared" si="1"/>
        <v>125000</v>
      </c>
      <c r="AE8" s="300">
        <f t="shared" si="1"/>
        <v>250000</v>
      </c>
      <c r="AF8" s="300">
        <f t="shared" si="1"/>
        <v>250000</v>
      </c>
      <c r="AG8" s="300">
        <f t="shared" si="1"/>
        <v>250000</v>
      </c>
      <c r="AH8" s="300">
        <f t="shared" si="1"/>
        <v>250000</v>
      </c>
      <c r="AI8" s="300">
        <f t="shared" si="1"/>
        <v>250000</v>
      </c>
      <c r="AJ8" s="300">
        <f t="shared" si="1"/>
        <v>250000</v>
      </c>
      <c r="AK8" s="300">
        <f t="shared" si="1"/>
        <v>250000</v>
      </c>
      <c r="AL8" s="300">
        <f t="shared" si="1"/>
        <v>300000</v>
      </c>
      <c r="AM8" s="239"/>
      <c r="AN8" s="300">
        <f t="shared" si="2"/>
        <v>0</v>
      </c>
      <c r="AO8" s="300">
        <f t="shared" si="2"/>
        <v>0</v>
      </c>
      <c r="AP8" s="300">
        <f t="shared" si="2"/>
        <v>2500000</v>
      </c>
      <c r="AQ8" s="300">
        <f t="shared" si="2"/>
        <v>0</v>
      </c>
      <c r="AR8" s="300">
        <f t="shared" si="2"/>
        <v>0</v>
      </c>
      <c r="AS8" s="300">
        <f t="shared" si="2"/>
        <v>0</v>
      </c>
      <c r="AT8" s="300">
        <f t="shared" si="2"/>
        <v>0</v>
      </c>
      <c r="AU8" s="300">
        <f t="shared" si="2"/>
        <v>0</v>
      </c>
      <c r="AV8" s="300">
        <f t="shared" si="2"/>
        <v>0</v>
      </c>
      <c r="AW8" s="300">
        <f t="shared" si="2"/>
        <v>0</v>
      </c>
      <c r="AX8" s="300">
        <f t="shared" si="2"/>
        <v>0</v>
      </c>
      <c r="AY8" s="300">
        <f t="shared" si="2"/>
        <v>0</v>
      </c>
      <c r="AZ8" s="300">
        <f t="shared" si="2"/>
        <v>0</v>
      </c>
      <c r="BA8" s="300">
        <f t="shared" si="2"/>
        <v>0</v>
      </c>
      <c r="BB8" s="300">
        <f t="shared" si="2"/>
        <v>0</v>
      </c>
      <c r="BD8" s="299">
        <f t="shared" si="3"/>
        <v>0</v>
      </c>
    </row>
    <row r="9" spans="1:56" ht="15">
      <c r="A9" s="295" t="s">
        <v>135</v>
      </c>
      <c r="B9" s="307" t="str">
        <f>VLOOKUP(A9,'DFP-Com'!$A$16:$B$50,2,1)</f>
        <v xml:space="preserve">     2.1.a  Tax and Customs</v>
      </c>
      <c r="C9" s="295" t="s">
        <v>218</v>
      </c>
      <c r="D9" s="234">
        <v>140000</v>
      </c>
      <c r="E9" s="295" t="s">
        <v>199</v>
      </c>
      <c r="G9" s="298"/>
      <c r="H9" s="315"/>
      <c r="I9" s="298">
        <v>0.25</v>
      </c>
      <c r="J9" s="298">
        <v>0.25</v>
      </c>
      <c r="K9" s="298">
        <v>0.25</v>
      </c>
      <c r="L9" s="298">
        <v>0.25</v>
      </c>
      <c r="M9" s="298"/>
      <c r="N9" s="298"/>
      <c r="O9" s="298"/>
      <c r="P9" s="298"/>
      <c r="Q9" s="298"/>
      <c r="U9" s="298">
        <f t="shared" si="0"/>
        <v>1</v>
      </c>
      <c r="X9" s="300">
        <f t="shared" si="1"/>
        <v>0</v>
      </c>
      <c r="Y9" s="300">
        <f t="shared" si="1"/>
        <v>0</v>
      </c>
      <c r="Z9" s="300">
        <f t="shared" si="1"/>
        <v>0</v>
      </c>
      <c r="AA9" s="300">
        <f t="shared" si="1"/>
        <v>35000</v>
      </c>
      <c r="AB9" s="300">
        <f t="shared" si="1"/>
        <v>35000</v>
      </c>
      <c r="AC9" s="300">
        <f t="shared" si="1"/>
        <v>35000</v>
      </c>
      <c r="AD9" s="300">
        <f t="shared" si="1"/>
        <v>35000</v>
      </c>
      <c r="AE9" s="300">
        <f t="shared" si="1"/>
        <v>0</v>
      </c>
      <c r="AF9" s="300">
        <f t="shared" si="1"/>
        <v>0</v>
      </c>
      <c r="AG9" s="300">
        <f t="shared" si="1"/>
        <v>0</v>
      </c>
      <c r="AH9" s="300">
        <f t="shared" si="1"/>
        <v>0</v>
      </c>
      <c r="AI9" s="300">
        <f t="shared" si="1"/>
        <v>0</v>
      </c>
      <c r="AJ9" s="300">
        <f t="shared" si="1"/>
        <v>0</v>
      </c>
      <c r="AK9" s="300">
        <f t="shared" si="1"/>
        <v>0</v>
      </c>
      <c r="AL9" s="300">
        <f t="shared" si="1"/>
        <v>0</v>
      </c>
      <c r="AM9" s="239"/>
      <c r="AN9" s="300">
        <f t="shared" si="2"/>
        <v>0</v>
      </c>
      <c r="AO9" s="300">
        <f t="shared" si="2"/>
        <v>0</v>
      </c>
      <c r="AP9" s="300">
        <f t="shared" si="2"/>
        <v>0</v>
      </c>
      <c r="AQ9" s="300">
        <f t="shared" si="2"/>
        <v>140000</v>
      </c>
      <c r="AR9" s="300">
        <f t="shared" si="2"/>
        <v>0</v>
      </c>
      <c r="AS9" s="300">
        <f t="shared" si="2"/>
        <v>0</v>
      </c>
      <c r="AT9" s="300">
        <f t="shared" si="2"/>
        <v>0</v>
      </c>
      <c r="AU9" s="300">
        <f t="shared" si="2"/>
        <v>0</v>
      </c>
      <c r="AV9" s="300">
        <f t="shared" si="2"/>
        <v>0</v>
      </c>
      <c r="AW9" s="300">
        <f t="shared" si="2"/>
        <v>0</v>
      </c>
      <c r="AX9" s="300">
        <f t="shared" si="2"/>
        <v>0</v>
      </c>
      <c r="AY9" s="300">
        <f t="shared" si="2"/>
        <v>0</v>
      </c>
      <c r="AZ9" s="300">
        <f t="shared" si="2"/>
        <v>0</v>
      </c>
      <c r="BA9" s="300">
        <f t="shared" si="2"/>
        <v>0</v>
      </c>
      <c r="BB9" s="300">
        <f t="shared" si="2"/>
        <v>0</v>
      </c>
      <c r="BD9" s="299">
        <f t="shared" si="3"/>
        <v>0</v>
      </c>
    </row>
    <row r="10" spans="1:56" ht="15">
      <c r="A10" s="295" t="s">
        <v>135</v>
      </c>
      <c r="B10" s="307" t="str">
        <f>VLOOKUP(A10,'DFP-Com'!$A$16:$B$50,2,1)</f>
        <v xml:space="preserve">     2.1.a  Tax and Customs</v>
      </c>
      <c r="C10" s="295" t="s">
        <v>231</v>
      </c>
      <c r="D10" s="234">
        <v>140000</v>
      </c>
      <c r="E10" s="295" t="s">
        <v>181</v>
      </c>
      <c r="G10" s="298"/>
      <c r="H10" s="315"/>
      <c r="I10" s="298"/>
      <c r="J10" s="298"/>
      <c r="K10" s="298"/>
      <c r="L10" s="298">
        <v>0.25</v>
      </c>
      <c r="M10" s="298">
        <v>0.25</v>
      </c>
      <c r="N10" s="298">
        <v>0.25</v>
      </c>
      <c r="O10" s="298">
        <v>0.25</v>
      </c>
      <c r="P10" s="298"/>
      <c r="Q10" s="298"/>
      <c r="U10" s="298">
        <f t="shared" si="0"/>
        <v>1</v>
      </c>
      <c r="X10" s="300">
        <f t="shared" si="1"/>
        <v>0</v>
      </c>
      <c r="Y10" s="300">
        <f t="shared" si="1"/>
        <v>0</v>
      </c>
      <c r="Z10" s="300">
        <f t="shared" si="1"/>
        <v>0</v>
      </c>
      <c r="AA10" s="300">
        <f t="shared" si="1"/>
        <v>0</v>
      </c>
      <c r="AB10" s="300">
        <f t="shared" si="1"/>
        <v>0</v>
      </c>
      <c r="AC10" s="300">
        <f t="shared" si="1"/>
        <v>0</v>
      </c>
      <c r="AD10" s="300">
        <f t="shared" si="1"/>
        <v>35000</v>
      </c>
      <c r="AE10" s="300">
        <f t="shared" si="1"/>
        <v>35000</v>
      </c>
      <c r="AF10" s="300">
        <f t="shared" si="1"/>
        <v>35000</v>
      </c>
      <c r="AG10" s="300">
        <f t="shared" si="1"/>
        <v>35000</v>
      </c>
      <c r="AH10" s="300">
        <f t="shared" si="1"/>
        <v>0</v>
      </c>
      <c r="AI10" s="300">
        <f t="shared" si="1"/>
        <v>0</v>
      </c>
      <c r="AJ10" s="300">
        <f t="shared" si="1"/>
        <v>0</v>
      </c>
      <c r="AK10" s="300">
        <f t="shared" si="1"/>
        <v>0</v>
      </c>
      <c r="AL10" s="300">
        <f t="shared" si="1"/>
        <v>0</v>
      </c>
      <c r="AM10" s="239"/>
      <c r="AN10" s="300">
        <f t="shared" si="2"/>
        <v>0</v>
      </c>
      <c r="AO10" s="300">
        <f t="shared" si="2"/>
        <v>0</v>
      </c>
      <c r="AP10" s="300">
        <f t="shared" si="2"/>
        <v>0</v>
      </c>
      <c r="AQ10" s="300">
        <f t="shared" si="2"/>
        <v>0</v>
      </c>
      <c r="AR10" s="300">
        <f t="shared" si="2"/>
        <v>0</v>
      </c>
      <c r="AS10" s="300">
        <f t="shared" si="2"/>
        <v>0</v>
      </c>
      <c r="AT10" s="300">
        <f t="shared" si="2"/>
        <v>140000</v>
      </c>
      <c r="AU10" s="300">
        <f t="shared" si="2"/>
        <v>0</v>
      </c>
      <c r="AV10" s="300">
        <f t="shared" si="2"/>
        <v>0</v>
      </c>
      <c r="AW10" s="300">
        <f t="shared" si="2"/>
        <v>0</v>
      </c>
      <c r="AX10" s="300">
        <f t="shared" si="2"/>
        <v>0</v>
      </c>
      <c r="AY10" s="300">
        <f t="shared" si="2"/>
        <v>0</v>
      </c>
      <c r="AZ10" s="300">
        <f t="shared" si="2"/>
        <v>0</v>
      </c>
      <c r="BA10" s="300">
        <f t="shared" si="2"/>
        <v>0</v>
      </c>
      <c r="BB10" s="300">
        <f t="shared" si="2"/>
        <v>0</v>
      </c>
      <c r="BD10" s="299">
        <f t="shared" si="3"/>
        <v>0</v>
      </c>
    </row>
    <row r="11" spans="1:56" ht="15">
      <c r="A11" s="295" t="s">
        <v>135</v>
      </c>
      <c r="B11" s="307" t="str">
        <f>VLOOKUP(A11,'DFP-Com'!$A$16:$B$50,2,1)</f>
        <v xml:space="preserve">     2.1.a  Tax and Customs</v>
      </c>
      <c r="C11" s="295" t="s">
        <v>216</v>
      </c>
      <c r="D11" s="234">
        <v>4000</v>
      </c>
      <c r="E11" s="295" t="s">
        <v>167</v>
      </c>
      <c r="G11" s="298"/>
      <c r="H11" s="315">
        <v>1</v>
      </c>
      <c r="I11" s="298"/>
      <c r="J11" s="298"/>
      <c r="K11" s="298"/>
      <c r="L11" s="298"/>
      <c r="M11" s="298"/>
      <c r="N11" s="298"/>
      <c r="U11" s="298">
        <f t="shared" si="0"/>
        <v>1</v>
      </c>
      <c r="X11" s="300">
        <f t="shared" si="1"/>
        <v>0</v>
      </c>
      <c r="Y11" s="300">
        <f t="shared" si="1"/>
        <v>0</v>
      </c>
      <c r="Z11" s="300">
        <f t="shared" si="1"/>
        <v>4000</v>
      </c>
      <c r="AA11" s="300">
        <f t="shared" si="1"/>
        <v>0</v>
      </c>
      <c r="AB11" s="300">
        <f t="shared" si="1"/>
        <v>0</v>
      </c>
      <c r="AC11" s="300">
        <f t="shared" si="1"/>
        <v>0</v>
      </c>
      <c r="AD11" s="300">
        <f t="shared" si="1"/>
        <v>0</v>
      </c>
      <c r="AE11" s="300">
        <f t="shared" si="1"/>
        <v>0</v>
      </c>
      <c r="AF11" s="300">
        <f t="shared" si="1"/>
        <v>0</v>
      </c>
      <c r="AG11" s="300">
        <f t="shared" si="1"/>
        <v>0</v>
      </c>
      <c r="AH11" s="300">
        <f t="shared" si="1"/>
        <v>0</v>
      </c>
      <c r="AI11" s="300">
        <f t="shared" si="1"/>
        <v>0</v>
      </c>
      <c r="AJ11" s="300">
        <f t="shared" si="1"/>
        <v>0</v>
      </c>
      <c r="AK11" s="300">
        <f t="shared" si="1"/>
        <v>0</v>
      </c>
      <c r="AL11" s="300">
        <f t="shared" si="1"/>
        <v>0</v>
      </c>
      <c r="AM11" s="239"/>
      <c r="AN11" s="300">
        <f t="shared" si="2"/>
        <v>0</v>
      </c>
      <c r="AO11" s="300">
        <f t="shared" si="2"/>
        <v>0</v>
      </c>
      <c r="AP11" s="300">
        <f t="shared" si="2"/>
        <v>4000</v>
      </c>
      <c r="AQ11" s="300">
        <f t="shared" si="2"/>
        <v>0</v>
      </c>
      <c r="AR11" s="300">
        <f t="shared" si="2"/>
        <v>0</v>
      </c>
      <c r="AS11" s="300">
        <f t="shared" si="2"/>
        <v>0</v>
      </c>
      <c r="AT11" s="300">
        <f t="shared" si="2"/>
        <v>0</v>
      </c>
      <c r="AU11" s="300">
        <f t="shared" si="2"/>
        <v>0</v>
      </c>
      <c r="AV11" s="300">
        <f t="shared" si="2"/>
        <v>0</v>
      </c>
      <c r="AW11" s="300">
        <f t="shared" si="2"/>
        <v>0</v>
      </c>
      <c r="AX11" s="300">
        <f t="shared" si="2"/>
        <v>0</v>
      </c>
      <c r="AY11" s="300">
        <f t="shared" si="2"/>
        <v>0</v>
      </c>
      <c r="AZ11" s="300">
        <f t="shared" si="2"/>
        <v>0</v>
      </c>
      <c r="BA11" s="300">
        <f t="shared" si="2"/>
        <v>0</v>
      </c>
      <c r="BB11" s="300">
        <f t="shared" si="2"/>
        <v>0</v>
      </c>
      <c r="BD11" s="299">
        <f t="shared" si="3"/>
        <v>0</v>
      </c>
    </row>
    <row r="12" spans="1:56" ht="15">
      <c r="A12" s="295" t="s">
        <v>135</v>
      </c>
      <c r="B12" s="307" t="str">
        <f>VLOOKUP(A12,'DFP-Com'!$A$16:$B$50,2,1)</f>
        <v xml:space="preserve">     2.1.a  Tax and Customs</v>
      </c>
      <c r="C12" s="295" t="s">
        <v>217</v>
      </c>
      <c r="D12" s="234">
        <v>100000</v>
      </c>
      <c r="E12" s="295" t="s">
        <v>167</v>
      </c>
      <c r="G12" s="298"/>
      <c r="H12" s="315">
        <v>0.25</v>
      </c>
      <c r="I12" s="298">
        <v>0.25</v>
      </c>
      <c r="J12" s="298">
        <v>0.25</v>
      </c>
      <c r="K12" s="298">
        <v>0.25</v>
      </c>
      <c r="L12" s="298"/>
      <c r="M12" s="298"/>
      <c r="N12" s="298"/>
      <c r="U12" s="298">
        <f t="shared" si="0"/>
        <v>1</v>
      </c>
      <c r="X12" s="300">
        <f t="shared" si="1"/>
        <v>0</v>
      </c>
      <c r="Y12" s="300">
        <f t="shared" si="1"/>
        <v>0</v>
      </c>
      <c r="Z12" s="300">
        <f t="shared" si="1"/>
        <v>25000</v>
      </c>
      <c r="AA12" s="300">
        <f t="shared" si="1"/>
        <v>25000</v>
      </c>
      <c r="AB12" s="300">
        <f t="shared" si="1"/>
        <v>25000</v>
      </c>
      <c r="AC12" s="300">
        <f t="shared" si="1"/>
        <v>25000</v>
      </c>
      <c r="AD12" s="300">
        <f t="shared" si="1"/>
        <v>0</v>
      </c>
      <c r="AE12" s="300">
        <f t="shared" si="1"/>
        <v>0</v>
      </c>
      <c r="AF12" s="300">
        <f t="shared" si="1"/>
        <v>0</v>
      </c>
      <c r="AG12" s="300">
        <f t="shared" si="1"/>
        <v>0</v>
      </c>
      <c r="AH12" s="300">
        <f t="shared" si="1"/>
        <v>0</v>
      </c>
      <c r="AI12" s="300">
        <f t="shared" si="1"/>
        <v>0</v>
      </c>
      <c r="AJ12" s="300">
        <f t="shared" si="1"/>
        <v>0</v>
      </c>
      <c r="AK12" s="300">
        <f t="shared" si="1"/>
        <v>0</v>
      </c>
      <c r="AL12" s="300">
        <f t="shared" si="1"/>
        <v>0</v>
      </c>
      <c r="AM12" s="239"/>
      <c r="AN12" s="300">
        <f t="shared" si="2"/>
        <v>0</v>
      </c>
      <c r="AO12" s="300">
        <f t="shared" si="2"/>
        <v>0</v>
      </c>
      <c r="AP12" s="300">
        <f t="shared" si="2"/>
        <v>100000</v>
      </c>
      <c r="AQ12" s="300">
        <f t="shared" si="2"/>
        <v>0</v>
      </c>
      <c r="AR12" s="300">
        <f t="shared" si="2"/>
        <v>0</v>
      </c>
      <c r="AS12" s="300">
        <f t="shared" si="2"/>
        <v>0</v>
      </c>
      <c r="AT12" s="300">
        <f t="shared" si="2"/>
        <v>0</v>
      </c>
      <c r="AU12" s="300">
        <f t="shared" si="2"/>
        <v>0</v>
      </c>
      <c r="AV12" s="300">
        <f t="shared" si="2"/>
        <v>0</v>
      </c>
      <c r="AW12" s="300">
        <f t="shared" si="2"/>
        <v>0</v>
      </c>
      <c r="AX12" s="300">
        <f t="shared" si="2"/>
        <v>0</v>
      </c>
      <c r="AY12" s="300">
        <f t="shared" si="2"/>
        <v>0</v>
      </c>
      <c r="AZ12" s="300">
        <f t="shared" si="2"/>
        <v>0</v>
      </c>
      <c r="BA12" s="300">
        <f t="shared" si="2"/>
        <v>0</v>
      </c>
      <c r="BB12" s="300">
        <f t="shared" si="2"/>
        <v>0</v>
      </c>
      <c r="BD12" s="299">
        <f t="shared" si="3"/>
        <v>0</v>
      </c>
    </row>
    <row r="13" spans="1:56" ht="15">
      <c r="A13" s="295" t="s">
        <v>135</v>
      </c>
      <c r="B13" s="307" t="str">
        <f>VLOOKUP(A13,'DFP-Com'!$A$16:$B$50,2,1)</f>
        <v xml:space="preserve">     2.1.a  Tax and Customs</v>
      </c>
      <c r="D13" s="234"/>
      <c r="G13" s="298"/>
      <c r="H13" s="315"/>
      <c r="I13" s="298"/>
      <c r="J13" s="298"/>
      <c r="K13" s="298"/>
      <c r="L13" s="298"/>
      <c r="M13" s="298"/>
      <c r="N13" s="298"/>
      <c r="O13" s="298"/>
      <c r="P13" s="298"/>
      <c r="Q13" s="298"/>
      <c r="U13" s="298">
        <f t="shared" si="0"/>
        <v>0</v>
      </c>
      <c r="X13" s="300">
        <f t="shared" si="1"/>
        <v>0</v>
      </c>
      <c r="Y13" s="300">
        <f t="shared" si="1"/>
        <v>0</v>
      </c>
      <c r="Z13" s="300">
        <f t="shared" si="1"/>
        <v>0</v>
      </c>
      <c r="AA13" s="300">
        <f t="shared" si="1"/>
        <v>0</v>
      </c>
      <c r="AB13" s="300">
        <f t="shared" si="1"/>
        <v>0</v>
      </c>
      <c r="AC13" s="300">
        <f t="shared" si="1"/>
        <v>0</v>
      </c>
      <c r="AD13" s="300">
        <f t="shared" si="1"/>
        <v>0</v>
      </c>
      <c r="AE13" s="300">
        <f t="shared" si="1"/>
        <v>0</v>
      </c>
      <c r="AF13" s="300">
        <f t="shared" si="1"/>
        <v>0</v>
      </c>
      <c r="AG13" s="300">
        <f t="shared" si="1"/>
        <v>0</v>
      </c>
      <c r="AH13" s="300">
        <f t="shared" si="1"/>
        <v>0</v>
      </c>
      <c r="AI13" s="300">
        <f t="shared" si="1"/>
        <v>0</v>
      </c>
      <c r="AJ13" s="300">
        <f t="shared" si="1"/>
        <v>0</v>
      </c>
      <c r="AK13" s="300">
        <f t="shared" si="1"/>
        <v>0</v>
      </c>
      <c r="AL13" s="300">
        <f t="shared" si="1"/>
        <v>0</v>
      </c>
      <c r="AM13" s="239"/>
      <c r="AN13" s="300">
        <f t="shared" si="2"/>
        <v>0</v>
      </c>
      <c r="AO13" s="300">
        <f t="shared" si="2"/>
        <v>0</v>
      </c>
      <c r="AP13" s="300">
        <f t="shared" si="2"/>
        <v>0</v>
      </c>
      <c r="AQ13" s="300">
        <f t="shared" si="2"/>
        <v>0</v>
      </c>
      <c r="AR13" s="300">
        <f t="shared" si="2"/>
        <v>0</v>
      </c>
      <c r="AS13" s="300">
        <f t="shared" si="2"/>
        <v>0</v>
      </c>
      <c r="AT13" s="300">
        <f t="shared" si="2"/>
        <v>0</v>
      </c>
      <c r="AU13" s="300">
        <f t="shared" si="2"/>
        <v>0</v>
      </c>
      <c r="AV13" s="300">
        <f t="shared" si="2"/>
        <v>0</v>
      </c>
      <c r="AW13" s="300">
        <f t="shared" si="2"/>
        <v>0</v>
      </c>
      <c r="AX13" s="300">
        <f t="shared" si="2"/>
        <v>0</v>
      </c>
      <c r="AY13" s="300">
        <f t="shared" si="2"/>
        <v>0</v>
      </c>
      <c r="AZ13" s="300">
        <f t="shared" si="2"/>
        <v>0</v>
      </c>
      <c r="BA13" s="300">
        <f t="shared" si="2"/>
        <v>0</v>
      </c>
      <c r="BB13" s="300">
        <f t="shared" si="2"/>
        <v>0</v>
      </c>
      <c r="BD13" s="299">
        <f t="shared" si="3"/>
        <v>0</v>
      </c>
    </row>
    <row r="14" spans="1:56" ht="15">
      <c r="A14" s="295" t="s">
        <v>136</v>
      </c>
      <c r="B14" s="308" t="str">
        <f>VLOOKUP(A14,'DFP-Com'!$A$16:$B$50,2,1)</f>
        <v xml:space="preserve">     2.2.a  Advisors</v>
      </c>
      <c r="C14" s="295" t="s">
        <v>180</v>
      </c>
      <c r="D14" s="234">
        <v>150000</v>
      </c>
      <c r="E14" s="295" t="s">
        <v>167</v>
      </c>
      <c r="G14" s="298"/>
      <c r="H14" s="315">
        <v>0.25</v>
      </c>
      <c r="I14" s="298">
        <v>0.25</v>
      </c>
      <c r="J14" s="298">
        <v>0.25</v>
      </c>
      <c r="K14" s="298">
        <v>0.25</v>
      </c>
      <c r="U14" s="298">
        <f t="shared" si="0"/>
        <v>1</v>
      </c>
      <c r="X14" s="300">
        <f t="shared" si="1"/>
        <v>0</v>
      </c>
      <c r="Y14" s="300">
        <f t="shared" si="1"/>
        <v>0</v>
      </c>
      <c r="Z14" s="300">
        <f t="shared" si="1"/>
        <v>37500</v>
      </c>
      <c r="AA14" s="300">
        <f t="shared" si="1"/>
        <v>37500</v>
      </c>
      <c r="AB14" s="300">
        <f t="shared" si="1"/>
        <v>37500</v>
      </c>
      <c r="AC14" s="300">
        <f t="shared" si="1"/>
        <v>37500</v>
      </c>
      <c r="AD14" s="300">
        <f t="shared" si="1"/>
        <v>0</v>
      </c>
      <c r="AE14" s="300">
        <f t="shared" si="1"/>
        <v>0</v>
      </c>
      <c r="AF14" s="300">
        <f t="shared" si="1"/>
        <v>0</v>
      </c>
      <c r="AG14" s="300">
        <f t="shared" si="1"/>
        <v>0</v>
      </c>
      <c r="AH14" s="300">
        <f t="shared" si="1"/>
        <v>0</v>
      </c>
      <c r="AI14" s="300">
        <f t="shared" si="1"/>
        <v>0</v>
      </c>
      <c r="AJ14" s="300">
        <f t="shared" si="1"/>
        <v>0</v>
      </c>
      <c r="AK14" s="300">
        <f t="shared" si="1"/>
        <v>0</v>
      </c>
      <c r="AL14" s="300">
        <f t="shared" si="1"/>
        <v>0</v>
      </c>
      <c r="AM14" s="239"/>
      <c r="AN14" s="300">
        <f t="shared" si="2"/>
        <v>0</v>
      </c>
      <c r="AO14" s="300">
        <f t="shared" si="2"/>
        <v>0</v>
      </c>
      <c r="AP14" s="300">
        <f t="shared" si="2"/>
        <v>150000</v>
      </c>
      <c r="AQ14" s="300">
        <f t="shared" si="2"/>
        <v>0</v>
      </c>
      <c r="AR14" s="300">
        <f t="shared" si="2"/>
        <v>0</v>
      </c>
      <c r="AS14" s="300">
        <f t="shared" si="2"/>
        <v>0</v>
      </c>
      <c r="AT14" s="300">
        <f t="shared" si="2"/>
        <v>0</v>
      </c>
      <c r="AU14" s="300">
        <f t="shared" si="2"/>
        <v>0</v>
      </c>
      <c r="AV14" s="300">
        <f t="shared" si="2"/>
        <v>0</v>
      </c>
      <c r="AW14" s="300">
        <f t="shared" si="2"/>
        <v>0</v>
      </c>
      <c r="AX14" s="300">
        <f t="shared" si="2"/>
        <v>0</v>
      </c>
      <c r="AY14" s="300">
        <f t="shared" si="2"/>
        <v>0</v>
      </c>
      <c r="AZ14" s="300">
        <f t="shared" si="2"/>
        <v>0</v>
      </c>
      <c r="BA14" s="300">
        <f t="shared" si="2"/>
        <v>0</v>
      </c>
      <c r="BB14" s="300">
        <f t="shared" si="2"/>
        <v>0</v>
      </c>
      <c r="BD14" s="299">
        <f t="shared" si="3"/>
        <v>0</v>
      </c>
    </row>
    <row r="15" spans="1:56" ht="15">
      <c r="A15" s="295" t="s">
        <v>136</v>
      </c>
      <c r="B15" s="308" t="str">
        <f>VLOOKUP(A15,'DFP-Com'!$A$16:$B$50,2,1)</f>
        <v xml:space="preserve">     2.2.a  Advisors</v>
      </c>
      <c r="C15" s="295" t="s">
        <v>198</v>
      </c>
      <c r="D15" s="234">
        <v>150000</v>
      </c>
      <c r="E15" s="295" t="s">
        <v>169</v>
      </c>
      <c r="K15" s="298">
        <v>0.25</v>
      </c>
      <c r="L15" s="298">
        <v>0.25</v>
      </c>
      <c r="M15" s="298">
        <v>0.25</v>
      </c>
      <c r="N15" s="298">
        <v>0.25</v>
      </c>
      <c r="U15" s="298">
        <f t="shared" si="0"/>
        <v>1</v>
      </c>
      <c r="X15" s="300">
        <f t="shared" si="1"/>
        <v>0</v>
      </c>
      <c r="Y15" s="300">
        <f t="shared" si="1"/>
        <v>0</v>
      </c>
      <c r="Z15" s="300">
        <f t="shared" si="1"/>
        <v>0</v>
      </c>
      <c r="AA15" s="300">
        <f t="shared" si="1"/>
        <v>0</v>
      </c>
      <c r="AB15" s="300">
        <f t="shared" si="1"/>
        <v>0</v>
      </c>
      <c r="AC15" s="300">
        <f t="shared" si="1"/>
        <v>37500</v>
      </c>
      <c r="AD15" s="300">
        <f t="shared" si="1"/>
        <v>37500</v>
      </c>
      <c r="AE15" s="300">
        <f t="shared" si="1"/>
        <v>37500</v>
      </c>
      <c r="AF15" s="300">
        <f t="shared" si="1"/>
        <v>37500</v>
      </c>
      <c r="AG15" s="300">
        <f t="shared" si="1"/>
        <v>0</v>
      </c>
      <c r="AH15" s="300">
        <f t="shared" si="1"/>
        <v>0</v>
      </c>
      <c r="AI15" s="300">
        <f t="shared" si="1"/>
        <v>0</v>
      </c>
      <c r="AJ15" s="300">
        <f t="shared" si="1"/>
        <v>0</v>
      </c>
      <c r="AK15" s="300">
        <f t="shared" si="1"/>
        <v>0</v>
      </c>
      <c r="AL15" s="300">
        <f t="shared" si="1"/>
        <v>0</v>
      </c>
      <c r="AM15" s="239"/>
      <c r="AN15" s="300">
        <f t="shared" si="2"/>
        <v>0</v>
      </c>
      <c r="AO15" s="300">
        <f t="shared" si="2"/>
        <v>0</v>
      </c>
      <c r="AP15" s="300">
        <f t="shared" si="2"/>
        <v>0</v>
      </c>
      <c r="AQ15" s="300">
        <f t="shared" si="2"/>
        <v>0</v>
      </c>
      <c r="AR15" s="300">
        <f t="shared" si="2"/>
        <v>0</v>
      </c>
      <c r="AS15" s="300">
        <f t="shared" si="2"/>
        <v>150000</v>
      </c>
      <c r="AT15" s="300">
        <f t="shared" si="2"/>
        <v>0</v>
      </c>
      <c r="AU15" s="300">
        <f t="shared" si="2"/>
        <v>0</v>
      </c>
      <c r="AV15" s="300">
        <f t="shared" si="2"/>
        <v>0</v>
      </c>
      <c r="AW15" s="300">
        <f t="shared" si="2"/>
        <v>0</v>
      </c>
      <c r="AX15" s="300">
        <f t="shared" si="2"/>
        <v>0</v>
      </c>
      <c r="AY15" s="300">
        <f t="shared" si="2"/>
        <v>0</v>
      </c>
      <c r="AZ15" s="300">
        <f t="shared" si="2"/>
        <v>0</v>
      </c>
      <c r="BA15" s="300">
        <f t="shared" si="2"/>
        <v>0</v>
      </c>
      <c r="BB15" s="300">
        <f t="shared" si="2"/>
        <v>0</v>
      </c>
      <c r="BD15" s="299">
        <f t="shared" si="3"/>
        <v>0</v>
      </c>
    </row>
    <row r="16" spans="1:56" ht="15">
      <c r="A16" s="295" t="s">
        <v>136</v>
      </c>
      <c r="B16" s="308" t="str">
        <f>VLOOKUP(A16,'DFP-Com'!$A$16:$B$50,2,1)</f>
        <v xml:space="preserve">     2.2.a  Advisors</v>
      </c>
      <c r="C16" s="295" t="s">
        <v>172</v>
      </c>
      <c r="D16" s="234">
        <v>73500</v>
      </c>
      <c r="E16" s="295" t="s">
        <v>167</v>
      </c>
      <c r="F16" s="298"/>
      <c r="G16" s="298"/>
      <c r="H16" s="315">
        <v>0.166666666666667</v>
      </c>
      <c r="I16" s="298">
        <v>0.25</v>
      </c>
      <c r="J16" s="298">
        <v>0.25</v>
      </c>
      <c r="K16" s="298">
        <v>0.25</v>
      </c>
      <c r="L16" s="298">
        <v>0.08333333333333333</v>
      </c>
      <c r="M16" s="298"/>
      <c r="N16" s="298"/>
      <c r="O16" s="298"/>
      <c r="P16" s="298"/>
      <c r="Q16" s="298"/>
      <c r="U16" s="298">
        <f t="shared" si="0"/>
        <v>1.0000000000000002</v>
      </c>
      <c r="X16" s="249">
        <f t="shared" si="1"/>
        <v>0</v>
      </c>
      <c r="Y16" s="300">
        <f t="shared" si="1"/>
        <v>0</v>
      </c>
      <c r="Z16" s="300">
        <f t="shared" si="1"/>
        <v>12250.000000000024</v>
      </c>
      <c r="AA16" s="300">
        <f t="shared" si="1"/>
        <v>18375</v>
      </c>
      <c r="AB16" s="300">
        <f t="shared" si="1"/>
        <v>18375</v>
      </c>
      <c r="AC16" s="300">
        <f t="shared" si="1"/>
        <v>18375</v>
      </c>
      <c r="AD16" s="300">
        <f t="shared" si="1"/>
        <v>6125</v>
      </c>
      <c r="AE16" s="300">
        <f t="shared" si="1"/>
        <v>0</v>
      </c>
      <c r="AF16" s="300">
        <f t="shared" si="1"/>
        <v>0</v>
      </c>
      <c r="AG16" s="300">
        <f t="shared" si="1"/>
        <v>0</v>
      </c>
      <c r="AH16" s="300">
        <f t="shared" si="1"/>
        <v>0</v>
      </c>
      <c r="AI16" s="300">
        <f t="shared" si="1"/>
        <v>0</v>
      </c>
      <c r="AJ16" s="300">
        <f t="shared" si="1"/>
        <v>0</v>
      </c>
      <c r="AK16" s="300">
        <f t="shared" si="1"/>
        <v>0</v>
      </c>
      <c r="AL16" s="300">
        <f t="shared" si="1"/>
        <v>0</v>
      </c>
      <c r="AM16" s="239"/>
      <c r="AN16" s="300">
        <f t="shared" si="2"/>
        <v>0</v>
      </c>
      <c r="AO16" s="300">
        <f t="shared" si="2"/>
        <v>0</v>
      </c>
      <c r="AP16" s="300">
        <f t="shared" si="2"/>
        <v>73500</v>
      </c>
      <c r="AQ16" s="300">
        <f t="shared" si="2"/>
        <v>0</v>
      </c>
      <c r="AR16" s="300">
        <f t="shared" si="2"/>
        <v>0</v>
      </c>
      <c r="AS16" s="300">
        <f t="shared" si="2"/>
        <v>0</v>
      </c>
      <c r="AT16" s="300">
        <f t="shared" si="2"/>
        <v>0</v>
      </c>
      <c r="AU16" s="300">
        <f t="shared" si="2"/>
        <v>0</v>
      </c>
      <c r="AV16" s="300">
        <f t="shared" si="2"/>
        <v>0</v>
      </c>
      <c r="AW16" s="300">
        <f t="shared" si="2"/>
        <v>0</v>
      </c>
      <c r="AX16" s="300">
        <f t="shared" si="2"/>
        <v>0</v>
      </c>
      <c r="AY16" s="300">
        <f t="shared" si="2"/>
        <v>0</v>
      </c>
      <c r="AZ16" s="300">
        <f t="shared" si="2"/>
        <v>0</v>
      </c>
      <c r="BA16" s="300">
        <f t="shared" si="2"/>
        <v>0</v>
      </c>
      <c r="BB16" s="300">
        <f t="shared" si="2"/>
        <v>0</v>
      </c>
      <c r="BD16" s="299">
        <f t="shared" si="3"/>
        <v>0</v>
      </c>
    </row>
    <row r="17" spans="1:56" ht="15">
      <c r="A17" s="295" t="s">
        <v>136</v>
      </c>
      <c r="B17" s="308" t="str">
        <f>VLOOKUP(A17,'DFP-Com'!$A$16:$B$50,2,1)</f>
        <v xml:space="preserve">     2.2.a  Advisors</v>
      </c>
      <c r="C17" s="295" t="s">
        <v>219</v>
      </c>
      <c r="D17" s="234">
        <f>12250*12</f>
        <v>147000</v>
      </c>
      <c r="E17" s="295" t="s">
        <v>169</v>
      </c>
      <c r="F17" s="298"/>
      <c r="G17" s="298"/>
      <c r="H17" s="315"/>
      <c r="I17" s="298"/>
      <c r="J17" s="298"/>
      <c r="K17" s="298">
        <v>0.166666666666667</v>
      </c>
      <c r="L17" s="298">
        <v>0.25</v>
      </c>
      <c r="M17" s="298">
        <v>0.25</v>
      </c>
      <c r="N17" s="298">
        <v>0.25</v>
      </c>
      <c r="O17" s="298">
        <v>0.08333333333333333</v>
      </c>
      <c r="P17" s="298"/>
      <c r="Q17" s="298"/>
      <c r="U17" s="298">
        <f t="shared" si="0"/>
        <v>1.0000000000000002</v>
      </c>
      <c r="X17" s="249">
        <f t="shared" si="1"/>
        <v>0</v>
      </c>
      <c r="Y17" s="300">
        <f t="shared" si="1"/>
        <v>0</v>
      </c>
      <c r="Z17" s="300">
        <f t="shared" si="1"/>
        <v>0</v>
      </c>
      <c r="AA17" s="300">
        <f t="shared" si="1"/>
        <v>0</v>
      </c>
      <c r="AB17" s="300">
        <f t="shared" si="1"/>
        <v>0</v>
      </c>
      <c r="AC17" s="300">
        <f t="shared" si="1"/>
        <v>24500.000000000047</v>
      </c>
      <c r="AD17" s="300">
        <f t="shared" si="1"/>
        <v>36750</v>
      </c>
      <c r="AE17" s="300">
        <f t="shared" si="1"/>
        <v>36750</v>
      </c>
      <c r="AF17" s="300">
        <f t="shared" si="1"/>
        <v>36750</v>
      </c>
      <c r="AG17" s="300">
        <f t="shared" si="1"/>
        <v>12250</v>
      </c>
      <c r="AH17" s="300">
        <f t="shared" si="1"/>
        <v>0</v>
      </c>
      <c r="AI17" s="300">
        <f t="shared" si="1"/>
        <v>0</v>
      </c>
      <c r="AJ17" s="300">
        <f t="shared" si="1"/>
        <v>0</v>
      </c>
      <c r="AK17" s="300">
        <f t="shared" si="1"/>
        <v>0</v>
      </c>
      <c r="AL17" s="300">
        <f t="shared" si="1"/>
        <v>0</v>
      </c>
      <c r="AM17" s="239"/>
      <c r="AN17" s="300">
        <f t="shared" si="2"/>
        <v>0</v>
      </c>
      <c r="AO17" s="300">
        <f t="shared" si="2"/>
        <v>0</v>
      </c>
      <c r="AP17" s="300">
        <f t="shared" si="2"/>
        <v>0</v>
      </c>
      <c r="AQ17" s="300">
        <f t="shared" si="2"/>
        <v>0</v>
      </c>
      <c r="AR17" s="300">
        <f t="shared" si="2"/>
        <v>0</v>
      </c>
      <c r="AS17" s="300">
        <f t="shared" si="2"/>
        <v>147000</v>
      </c>
      <c r="AT17" s="300">
        <f t="shared" si="2"/>
        <v>0</v>
      </c>
      <c r="AU17" s="300">
        <f t="shared" si="2"/>
        <v>0</v>
      </c>
      <c r="AV17" s="300">
        <f t="shared" si="2"/>
        <v>0</v>
      </c>
      <c r="AW17" s="300">
        <f t="shared" si="2"/>
        <v>0</v>
      </c>
      <c r="AX17" s="300">
        <f t="shared" si="2"/>
        <v>0</v>
      </c>
      <c r="AY17" s="300">
        <f t="shared" si="2"/>
        <v>0</v>
      </c>
      <c r="AZ17" s="300">
        <f t="shared" si="2"/>
        <v>0</v>
      </c>
      <c r="BA17" s="300">
        <f t="shared" si="2"/>
        <v>0</v>
      </c>
      <c r="BB17" s="300">
        <f t="shared" si="2"/>
        <v>0</v>
      </c>
      <c r="BD17" s="299">
        <f t="shared" si="3"/>
        <v>0</v>
      </c>
    </row>
    <row r="18" spans="1:56" ht="15">
      <c r="A18" s="295" t="s">
        <v>136</v>
      </c>
      <c r="B18" s="308" t="str">
        <f>VLOOKUP(A18,'DFP-Com'!$A$16:$B$50,2,1)</f>
        <v xml:space="preserve">     2.2.a  Advisors</v>
      </c>
      <c r="C18" s="295" t="s">
        <v>220</v>
      </c>
      <c r="D18" s="234">
        <f>12250*12</f>
        <v>147000</v>
      </c>
      <c r="E18" s="295" t="s">
        <v>221</v>
      </c>
      <c r="F18" s="298"/>
      <c r="G18" s="298"/>
      <c r="H18" s="315"/>
      <c r="I18" s="298"/>
      <c r="J18" s="298"/>
      <c r="K18" s="298"/>
      <c r="L18" s="298"/>
      <c r="M18" s="298"/>
      <c r="N18" s="298"/>
      <c r="O18" s="298">
        <v>0.166666666666667</v>
      </c>
      <c r="P18" s="298">
        <v>0.25</v>
      </c>
      <c r="Q18" s="298">
        <v>0.25</v>
      </c>
      <c r="R18" s="298">
        <v>0.25</v>
      </c>
      <c r="S18" s="298">
        <v>0.08333333333333333</v>
      </c>
      <c r="U18" s="298">
        <f t="shared" si="0"/>
        <v>1.0000000000000002</v>
      </c>
      <c r="X18" s="249">
        <f t="shared" si="1"/>
        <v>0</v>
      </c>
      <c r="Y18" s="300">
        <f t="shared" si="1"/>
        <v>0</v>
      </c>
      <c r="Z18" s="300">
        <f t="shared" si="1"/>
        <v>0</v>
      </c>
      <c r="AA18" s="300">
        <f t="shared" si="1"/>
        <v>0</v>
      </c>
      <c r="AB18" s="300">
        <f t="shared" si="1"/>
        <v>0</v>
      </c>
      <c r="AC18" s="300">
        <f t="shared" si="1"/>
        <v>0</v>
      </c>
      <c r="AD18" s="300">
        <f t="shared" si="1"/>
        <v>0</v>
      </c>
      <c r="AE18" s="300">
        <f t="shared" si="1"/>
        <v>0</v>
      </c>
      <c r="AF18" s="300">
        <f t="shared" si="1"/>
        <v>0</v>
      </c>
      <c r="AG18" s="300">
        <f t="shared" si="1"/>
        <v>24500.000000000047</v>
      </c>
      <c r="AH18" s="300">
        <f t="shared" si="1"/>
        <v>36750</v>
      </c>
      <c r="AI18" s="300">
        <f t="shared" si="1"/>
        <v>36750</v>
      </c>
      <c r="AJ18" s="300">
        <f t="shared" si="1"/>
        <v>36750</v>
      </c>
      <c r="AK18" s="300">
        <f t="shared" si="1"/>
        <v>12250</v>
      </c>
      <c r="AL18" s="300">
        <f t="shared" si="1"/>
        <v>0</v>
      </c>
      <c r="AM18" s="239"/>
      <c r="AN18" s="300">
        <f t="shared" si="2"/>
        <v>0</v>
      </c>
      <c r="AO18" s="300">
        <f t="shared" si="2"/>
        <v>0</v>
      </c>
      <c r="AP18" s="300">
        <f t="shared" si="2"/>
        <v>0</v>
      </c>
      <c r="AQ18" s="300">
        <f t="shared" si="2"/>
        <v>0</v>
      </c>
      <c r="AR18" s="300">
        <f t="shared" si="2"/>
        <v>0</v>
      </c>
      <c r="AS18" s="300">
        <f t="shared" si="2"/>
        <v>0</v>
      </c>
      <c r="AT18" s="300">
        <f t="shared" si="2"/>
        <v>0</v>
      </c>
      <c r="AU18" s="300">
        <f t="shared" si="2"/>
        <v>147000</v>
      </c>
      <c r="AV18" s="300">
        <f t="shared" si="2"/>
        <v>0</v>
      </c>
      <c r="AW18" s="300">
        <f t="shared" si="2"/>
        <v>0</v>
      </c>
      <c r="AX18" s="300">
        <f t="shared" si="2"/>
        <v>0</v>
      </c>
      <c r="AY18" s="300">
        <f t="shared" si="2"/>
        <v>0</v>
      </c>
      <c r="AZ18" s="300">
        <f t="shared" si="2"/>
        <v>0</v>
      </c>
      <c r="BA18" s="300">
        <f t="shared" si="2"/>
        <v>0</v>
      </c>
      <c r="BB18" s="300">
        <f t="shared" si="2"/>
        <v>0</v>
      </c>
      <c r="BD18" s="299">
        <f t="shared" si="3"/>
        <v>0</v>
      </c>
    </row>
    <row r="19" spans="1:56" ht="15">
      <c r="A19" s="295" t="s">
        <v>136</v>
      </c>
      <c r="B19" s="308" t="str">
        <f>VLOOKUP(A19,'DFP-Com'!$A$16:$B$50,2,1)</f>
        <v xml:space="preserve">     2.2.a  Advisors</v>
      </c>
      <c r="C19" s="295" t="s">
        <v>173</v>
      </c>
      <c r="D19" s="234">
        <v>61250</v>
      </c>
      <c r="E19" s="295" t="s">
        <v>195</v>
      </c>
      <c r="F19" s="298"/>
      <c r="G19" s="298">
        <v>0.2</v>
      </c>
      <c r="H19" s="315">
        <v>0.6</v>
      </c>
      <c r="I19" s="298">
        <v>0.2</v>
      </c>
      <c r="J19" s="298"/>
      <c r="K19" s="298"/>
      <c r="L19" s="298"/>
      <c r="M19" s="298"/>
      <c r="N19" s="298"/>
      <c r="O19" s="298"/>
      <c r="P19" s="298"/>
      <c r="Q19" s="298"/>
      <c r="U19" s="298">
        <f t="shared" si="0"/>
        <v>1</v>
      </c>
      <c r="X19" s="300">
        <f t="shared" si="1"/>
        <v>0</v>
      </c>
      <c r="Y19" s="300">
        <f t="shared" si="1"/>
        <v>12250</v>
      </c>
      <c r="Z19" s="300">
        <f t="shared" si="1"/>
        <v>36750</v>
      </c>
      <c r="AA19" s="300">
        <f t="shared" si="1"/>
        <v>12250</v>
      </c>
      <c r="AB19" s="300">
        <f t="shared" si="1"/>
        <v>0</v>
      </c>
      <c r="AC19" s="300">
        <f t="shared" si="1"/>
        <v>0</v>
      </c>
      <c r="AD19" s="300">
        <f t="shared" si="1"/>
        <v>0</v>
      </c>
      <c r="AE19" s="300">
        <f t="shared" si="1"/>
        <v>0</v>
      </c>
      <c r="AF19" s="300">
        <f t="shared" si="1"/>
        <v>0</v>
      </c>
      <c r="AG19" s="300">
        <f t="shared" si="1"/>
        <v>0</v>
      </c>
      <c r="AH19" s="300">
        <f t="shared" si="1"/>
        <v>0</v>
      </c>
      <c r="AI19" s="300">
        <f t="shared" si="1"/>
        <v>0</v>
      </c>
      <c r="AJ19" s="300">
        <f t="shared" si="1"/>
        <v>0</v>
      </c>
      <c r="AK19" s="300">
        <f t="shared" si="1"/>
        <v>0</v>
      </c>
      <c r="AL19" s="300">
        <f t="shared" si="1"/>
        <v>0</v>
      </c>
      <c r="AM19" s="239"/>
      <c r="AN19" s="300">
        <f t="shared" si="2"/>
        <v>0</v>
      </c>
      <c r="AO19" s="300">
        <f t="shared" si="2"/>
        <v>61250</v>
      </c>
      <c r="AP19" s="300">
        <f t="shared" si="2"/>
        <v>0</v>
      </c>
      <c r="AQ19" s="300">
        <f t="shared" si="2"/>
        <v>0</v>
      </c>
      <c r="AR19" s="300">
        <f t="shared" si="2"/>
        <v>0</v>
      </c>
      <c r="AS19" s="300">
        <f t="shared" si="2"/>
        <v>0</v>
      </c>
      <c r="AT19" s="300">
        <f t="shared" si="2"/>
        <v>0</v>
      </c>
      <c r="AU19" s="300">
        <f t="shared" si="2"/>
        <v>0</v>
      </c>
      <c r="AV19" s="300">
        <f t="shared" si="2"/>
        <v>0</v>
      </c>
      <c r="AW19" s="300">
        <f t="shared" si="2"/>
        <v>0</v>
      </c>
      <c r="AX19" s="300">
        <f t="shared" si="2"/>
        <v>0</v>
      </c>
      <c r="AY19" s="300">
        <f t="shared" si="2"/>
        <v>0</v>
      </c>
      <c r="AZ19" s="300">
        <f t="shared" si="2"/>
        <v>0</v>
      </c>
      <c r="BA19" s="300">
        <f t="shared" si="2"/>
        <v>0</v>
      </c>
      <c r="BB19" s="300">
        <f t="shared" si="2"/>
        <v>0</v>
      </c>
      <c r="BD19" s="299">
        <f t="shared" si="3"/>
        <v>0</v>
      </c>
    </row>
    <row r="20" spans="1:56" ht="15">
      <c r="A20" s="295" t="s">
        <v>137</v>
      </c>
      <c r="B20" s="308" t="str">
        <f>VLOOKUP(A20,'DFP-Com'!$A$16:$B$50,2,1)</f>
        <v xml:space="preserve">     2.2.b  Feasiblity Studies/  Transaction Advisory Services</v>
      </c>
      <c r="C20" s="295" t="s">
        <v>174</v>
      </c>
      <c r="D20" s="234">
        <v>500000</v>
      </c>
      <c r="E20" s="295" t="s">
        <v>167</v>
      </c>
      <c r="F20" s="298"/>
      <c r="G20" s="298"/>
      <c r="H20" s="315">
        <v>0.25</v>
      </c>
      <c r="I20" s="298">
        <v>0.25</v>
      </c>
      <c r="J20" s="298">
        <v>0.25</v>
      </c>
      <c r="K20" s="298">
        <v>0.25</v>
      </c>
      <c r="L20" s="298"/>
      <c r="M20" s="298"/>
      <c r="N20" s="298"/>
      <c r="U20" s="298">
        <f t="shared" si="0"/>
        <v>1</v>
      </c>
      <c r="X20" s="300">
        <f t="shared" si="1"/>
        <v>0</v>
      </c>
      <c r="Y20" s="300">
        <f t="shared" si="1"/>
        <v>0</v>
      </c>
      <c r="Z20" s="300">
        <f t="shared" si="1"/>
        <v>125000</v>
      </c>
      <c r="AA20" s="300">
        <f t="shared" si="1"/>
        <v>125000</v>
      </c>
      <c r="AB20" s="300">
        <f t="shared" si="1"/>
        <v>125000</v>
      </c>
      <c r="AC20" s="300">
        <f t="shared" si="1"/>
        <v>125000</v>
      </c>
      <c r="AD20" s="300">
        <f t="shared" si="1"/>
        <v>0</v>
      </c>
      <c r="AE20" s="300">
        <f t="shared" si="1"/>
        <v>0</v>
      </c>
      <c r="AF20" s="300">
        <f t="shared" si="1"/>
        <v>0</v>
      </c>
      <c r="AG20" s="300">
        <f t="shared" si="1"/>
        <v>0</v>
      </c>
      <c r="AH20" s="300">
        <f t="shared" si="1"/>
        <v>0</v>
      </c>
      <c r="AI20" s="300">
        <f t="shared" si="1"/>
        <v>0</v>
      </c>
      <c r="AJ20" s="300">
        <f t="shared" si="1"/>
        <v>0</v>
      </c>
      <c r="AK20" s="300">
        <f t="shared" si="1"/>
        <v>0</v>
      </c>
      <c r="AL20" s="300">
        <f t="shared" si="1"/>
        <v>0</v>
      </c>
      <c r="AM20" s="239"/>
      <c r="AN20" s="300">
        <f aca="true" t="shared" si="4" ref="AN20:BB35">IF(AN$3=$E20,$D20,0)</f>
        <v>0</v>
      </c>
      <c r="AO20" s="300">
        <f t="shared" si="4"/>
        <v>0</v>
      </c>
      <c r="AP20" s="300">
        <f t="shared" si="4"/>
        <v>500000</v>
      </c>
      <c r="AQ20" s="300">
        <f t="shared" si="4"/>
        <v>0</v>
      </c>
      <c r="AR20" s="300">
        <f t="shared" si="4"/>
        <v>0</v>
      </c>
      <c r="AS20" s="300">
        <f t="shared" si="4"/>
        <v>0</v>
      </c>
      <c r="AT20" s="300">
        <f t="shared" si="4"/>
        <v>0</v>
      </c>
      <c r="AU20" s="300">
        <f t="shared" si="4"/>
        <v>0</v>
      </c>
      <c r="AV20" s="300">
        <f t="shared" si="4"/>
        <v>0</v>
      </c>
      <c r="AW20" s="300">
        <f t="shared" si="4"/>
        <v>0</v>
      </c>
      <c r="AX20" s="300">
        <f t="shared" si="4"/>
        <v>0</v>
      </c>
      <c r="AY20" s="300">
        <f t="shared" si="4"/>
        <v>0</v>
      </c>
      <c r="AZ20" s="300">
        <f t="shared" si="4"/>
        <v>0</v>
      </c>
      <c r="BA20" s="300">
        <f t="shared" si="4"/>
        <v>0</v>
      </c>
      <c r="BB20" s="300">
        <f t="shared" si="4"/>
        <v>0</v>
      </c>
      <c r="BD20" s="299">
        <f t="shared" si="3"/>
        <v>0</v>
      </c>
    </row>
    <row r="21" spans="1:56" ht="15">
      <c r="A21" s="295" t="s">
        <v>137</v>
      </c>
      <c r="B21" s="308" t="str">
        <f>VLOOKUP(A21,'DFP-Com'!$A$16:$B$50,2,1)</f>
        <v xml:space="preserve">     2.2.b  Feasiblity Studies/  Transaction Advisory Services</v>
      </c>
      <c r="C21" s="295" t="s">
        <v>175</v>
      </c>
      <c r="D21" s="234">
        <v>200000</v>
      </c>
      <c r="E21" s="295" t="s">
        <v>167</v>
      </c>
      <c r="F21" s="298"/>
      <c r="G21" s="298"/>
      <c r="H21" s="315"/>
      <c r="I21" s="298"/>
      <c r="J21" s="298">
        <v>0.25</v>
      </c>
      <c r="K21" s="298">
        <v>0.25</v>
      </c>
      <c r="L21" s="298">
        <v>0.25</v>
      </c>
      <c r="M21" s="298">
        <v>0.25</v>
      </c>
      <c r="U21" s="298">
        <f t="shared" si="0"/>
        <v>1</v>
      </c>
      <c r="X21" s="300">
        <f aca="true" t="shared" si="5" ref="X21:AL37">F21*$D21</f>
        <v>0</v>
      </c>
      <c r="Y21" s="300">
        <f t="shared" si="5"/>
        <v>0</v>
      </c>
      <c r="Z21" s="300">
        <f t="shared" si="5"/>
        <v>0</v>
      </c>
      <c r="AA21" s="300">
        <f t="shared" si="5"/>
        <v>0</v>
      </c>
      <c r="AB21" s="300">
        <f t="shared" si="5"/>
        <v>50000</v>
      </c>
      <c r="AC21" s="300">
        <f t="shared" si="5"/>
        <v>50000</v>
      </c>
      <c r="AD21" s="300">
        <f t="shared" si="5"/>
        <v>50000</v>
      </c>
      <c r="AE21" s="300">
        <f t="shared" si="5"/>
        <v>50000</v>
      </c>
      <c r="AF21" s="300">
        <f t="shared" si="5"/>
        <v>0</v>
      </c>
      <c r="AG21" s="300">
        <f t="shared" si="5"/>
        <v>0</v>
      </c>
      <c r="AH21" s="300">
        <f t="shared" si="5"/>
        <v>0</v>
      </c>
      <c r="AI21" s="300">
        <f t="shared" si="5"/>
        <v>0</v>
      </c>
      <c r="AJ21" s="300">
        <f t="shared" si="5"/>
        <v>0</v>
      </c>
      <c r="AK21" s="300">
        <f t="shared" si="5"/>
        <v>0</v>
      </c>
      <c r="AL21" s="300">
        <f t="shared" si="5"/>
        <v>0</v>
      </c>
      <c r="AM21" s="239"/>
      <c r="AN21" s="300">
        <f t="shared" si="4"/>
        <v>0</v>
      </c>
      <c r="AO21" s="300">
        <f t="shared" si="4"/>
        <v>0</v>
      </c>
      <c r="AP21" s="300">
        <f t="shared" si="4"/>
        <v>200000</v>
      </c>
      <c r="AQ21" s="300">
        <f t="shared" si="4"/>
        <v>0</v>
      </c>
      <c r="AR21" s="300">
        <f t="shared" si="4"/>
        <v>0</v>
      </c>
      <c r="AS21" s="300">
        <f t="shared" si="4"/>
        <v>0</v>
      </c>
      <c r="AT21" s="300">
        <f t="shared" si="4"/>
        <v>0</v>
      </c>
      <c r="AU21" s="300">
        <f t="shared" si="4"/>
        <v>0</v>
      </c>
      <c r="AV21" s="300">
        <f t="shared" si="4"/>
        <v>0</v>
      </c>
      <c r="AW21" s="300">
        <f t="shared" si="4"/>
        <v>0</v>
      </c>
      <c r="AX21" s="300">
        <f t="shared" si="4"/>
        <v>0</v>
      </c>
      <c r="AY21" s="300">
        <f t="shared" si="4"/>
        <v>0</v>
      </c>
      <c r="AZ21" s="300">
        <f t="shared" si="4"/>
        <v>0</v>
      </c>
      <c r="BA21" s="300">
        <f t="shared" si="4"/>
        <v>0</v>
      </c>
      <c r="BB21" s="300">
        <f t="shared" si="4"/>
        <v>0</v>
      </c>
      <c r="BD21" s="299">
        <f t="shared" si="3"/>
        <v>0</v>
      </c>
    </row>
    <row r="22" spans="1:56" ht="15">
      <c r="A22" s="295" t="s">
        <v>137</v>
      </c>
      <c r="B22" s="308" t="str">
        <f>VLOOKUP(A22,'DFP-Com'!$A$16:$B$50,2,1)</f>
        <v xml:space="preserve">     2.2.b  Feasiblity Studies/  Transaction Advisory Services</v>
      </c>
      <c r="C22" s="295" t="s">
        <v>176</v>
      </c>
      <c r="D22" s="234">
        <v>350000</v>
      </c>
      <c r="U22" s="298">
        <f t="shared" si="0"/>
        <v>0</v>
      </c>
      <c r="X22" s="300">
        <f t="shared" si="5"/>
        <v>0</v>
      </c>
      <c r="Y22" s="300">
        <f t="shared" si="5"/>
        <v>0</v>
      </c>
      <c r="Z22" s="300">
        <f t="shared" si="5"/>
        <v>0</v>
      </c>
      <c r="AA22" s="300">
        <f t="shared" si="5"/>
        <v>0</v>
      </c>
      <c r="AB22" s="300">
        <f t="shared" si="5"/>
        <v>0</v>
      </c>
      <c r="AC22" s="300">
        <f t="shared" si="5"/>
        <v>0</v>
      </c>
      <c r="AD22" s="300">
        <f t="shared" si="5"/>
        <v>0</v>
      </c>
      <c r="AE22" s="300">
        <f t="shared" si="5"/>
        <v>0</v>
      </c>
      <c r="AF22" s="300">
        <f t="shared" si="5"/>
        <v>0</v>
      </c>
      <c r="AG22" s="300">
        <f t="shared" si="5"/>
        <v>0</v>
      </c>
      <c r="AH22" s="300">
        <f t="shared" si="5"/>
        <v>0</v>
      </c>
      <c r="AI22" s="300">
        <f t="shared" si="5"/>
        <v>0</v>
      </c>
      <c r="AJ22" s="300">
        <f t="shared" si="5"/>
        <v>0</v>
      </c>
      <c r="AK22" s="300">
        <f t="shared" si="5"/>
        <v>0</v>
      </c>
      <c r="AL22" s="300">
        <f t="shared" si="5"/>
        <v>0</v>
      </c>
      <c r="AM22" s="239"/>
      <c r="AN22" s="300">
        <f t="shared" si="4"/>
        <v>0</v>
      </c>
      <c r="AO22" s="300">
        <f t="shared" si="4"/>
        <v>0</v>
      </c>
      <c r="AP22" s="300">
        <f t="shared" si="4"/>
        <v>0</v>
      </c>
      <c r="AQ22" s="300">
        <f t="shared" si="4"/>
        <v>0</v>
      </c>
      <c r="AR22" s="300">
        <f t="shared" si="4"/>
        <v>0</v>
      </c>
      <c r="AS22" s="300">
        <f t="shared" si="4"/>
        <v>0</v>
      </c>
      <c r="AT22" s="300">
        <f t="shared" si="4"/>
        <v>0</v>
      </c>
      <c r="AU22" s="300">
        <f t="shared" si="4"/>
        <v>0</v>
      </c>
      <c r="AV22" s="300">
        <f t="shared" si="4"/>
        <v>0</v>
      </c>
      <c r="AW22" s="300">
        <f t="shared" si="4"/>
        <v>0</v>
      </c>
      <c r="AX22" s="300">
        <f t="shared" si="4"/>
        <v>0</v>
      </c>
      <c r="AY22" s="300">
        <f t="shared" si="4"/>
        <v>0</v>
      </c>
      <c r="AZ22" s="300">
        <f t="shared" si="4"/>
        <v>0</v>
      </c>
      <c r="BA22" s="300">
        <f t="shared" si="4"/>
        <v>0</v>
      </c>
      <c r="BB22" s="300">
        <f t="shared" si="4"/>
        <v>0</v>
      </c>
      <c r="BD22" s="299">
        <f t="shared" si="3"/>
        <v>0</v>
      </c>
    </row>
    <row r="23" spans="1:56" ht="15">
      <c r="A23" s="295" t="s">
        <v>137</v>
      </c>
      <c r="B23" s="308" t="str">
        <f>VLOOKUP(A23,'DFP-Com'!$A$16:$B$50,2,1)</f>
        <v xml:space="preserve">     2.2.b  Feasiblity Studies/  Transaction Advisory Services</v>
      </c>
      <c r="C23" s="295" t="s">
        <v>177</v>
      </c>
      <c r="D23" s="234">
        <v>200000</v>
      </c>
      <c r="E23" s="295" t="s">
        <v>199</v>
      </c>
      <c r="I23" s="298">
        <v>0.25</v>
      </c>
      <c r="J23" s="298">
        <v>0.25</v>
      </c>
      <c r="K23" s="298">
        <v>0.25</v>
      </c>
      <c r="L23" s="298">
        <v>0.25</v>
      </c>
      <c r="U23" s="298">
        <f t="shared" si="0"/>
        <v>1</v>
      </c>
      <c r="X23" s="300">
        <f t="shared" si="5"/>
        <v>0</v>
      </c>
      <c r="Y23" s="300">
        <f t="shared" si="5"/>
        <v>0</v>
      </c>
      <c r="Z23" s="300">
        <f t="shared" si="5"/>
        <v>0</v>
      </c>
      <c r="AA23" s="300">
        <f t="shared" si="5"/>
        <v>50000</v>
      </c>
      <c r="AB23" s="300">
        <f t="shared" si="5"/>
        <v>50000</v>
      </c>
      <c r="AC23" s="300">
        <f t="shared" si="5"/>
        <v>50000</v>
      </c>
      <c r="AD23" s="300">
        <f t="shared" si="5"/>
        <v>50000</v>
      </c>
      <c r="AE23" s="300">
        <f t="shared" si="5"/>
        <v>0</v>
      </c>
      <c r="AF23" s="300">
        <f t="shared" si="5"/>
        <v>0</v>
      </c>
      <c r="AG23" s="300">
        <f t="shared" si="5"/>
        <v>0</v>
      </c>
      <c r="AH23" s="300">
        <f t="shared" si="5"/>
        <v>0</v>
      </c>
      <c r="AI23" s="300">
        <f t="shared" si="5"/>
        <v>0</v>
      </c>
      <c r="AJ23" s="300">
        <f t="shared" si="5"/>
        <v>0</v>
      </c>
      <c r="AK23" s="300">
        <f t="shared" si="5"/>
        <v>0</v>
      </c>
      <c r="AL23" s="300">
        <f t="shared" si="5"/>
        <v>0</v>
      </c>
      <c r="AM23" s="239"/>
      <c r="AN23" s="300">
        <f t="shared" si="4"/>
        <v>0</v>
      </c>
      <c r="AO23" s="300">
        <f t="shared" si="4"/>
        <v>0</v>
      </c>
      <c r="AP23" s="300">
        <f t="shared" si="4"/>
        <v>0</v>
      </c>
      <c r="AQ23" s="300">
        <f t="shared" si="4"/>
        <v>200000</v>
      </c>
      <c r="AR23" s="300">
        <f t="shared" si="4"/>
        <v>0</v>
      </c>
      <c r="AS23" s="300">
        <f t="shared" si="4"/>
        <v>0</v>
      </c>
      <c r="AT23" s="300">
        <f t="shared" si="4"/>
        <v>0</v>
      </c>
      <c r="AU23" s="300">
        <f t="shared" si="4"/>
        <v>0</v>
      </c>
      <c r="AV23" s="300">
        <f t="shared" si="4"/>
        <v>0</v>
      </c>
      <c r="AW23" s="300">
        <f t="shared" si="4"/>
        <v>0</v>
      </c>
      <c r="AX23" s="300">
        <f t="shared" si="4"/>
        <v>0</v>
      </c>
      <c r="AY23" s="300">
        <f t="shared" si="4"/>
        <v>0</v>
      </c>
      <c r="AZ23" s="300">
        <f t="shared" si="4"/>
        <v>0</v>
      </c>
      <c r="BA23" s="300">
        <f t="shared" si="4"/>
        <v>0</v>
      </c>
      <c r="BB23" s="300">
        <f t="shared" si="4"/>
        <v>0</v>
      </c>
      <c r="BD23" s="299">
        <f t="shared" si="3"/>
        <v>0</v>
      </c>
    </row>
    <row r="24" spans="1:56" ht="15">
      <c r="A24" s="295" t="s">
        <v>137</v>
      </c>
      <c r="B24" s="308" t="str">
        <f>VLOOKUP(A24,'DFP-Com'!$A$16:$B$50,2,1)</f>
        <v xml:space="preserve">     2.2.b  Feasiblity Studies/  Transaction Advisory Services</v>
      </c>
      <c r="C24" s="295" t="s">
        <v>178</v>
      </c>
      <c r="D24" s="234">
        <v>350000</v>
      </c>
      <c r="E24" s="295" t="s">
        <v>199</v>
      </c>
      <c r="H24" s="315"/>
      <c r="I24" s="298">
        <v>0.25</v>
      </c>
      <c r="J24" s="298">
        <v>0.25</v>
      </c>
      <c r="K24" s="298">
        <v>0.25</v>
      </c>
      <c r="L24" s="298">
        <v>0.25</v>
      </c>
      <c r="U24" s="298">
        <f t="shared" si="0"/>
        <v>1</v>
      </c>
      <c r="X24" s="300">
        <f t="shared" si="5"/>
        <v>0</v>
      </c>
      <c r="Y24" s="300">
        <f t="shared" si="5"/>
        <v>0</v>
      </c>
      <c r="Z24" s="300">
        <f t="shared" si="5"/>
        <v>0</v>
      </c>
      <c r="AA24" s="300">
        <f t="shared" si="5"/>
        <v>87500</v>
      </c>
      <c r="AB24" s="300">
        <f t="shared" si="5"/>
        <v>87500</v>
      </c>
      <c r="AC24" s="300">
        <f t="shared" si="5"/>
        <v>87500</v>
      </c>
      <c r="AD24" s="300">
        <f t="shared" si="5"/>
        <v>87500</v>
      </c>
      <c r="AE24" s="300">
        <f t="shared" si="5"/>
        <v>0</v>
      </c>
      <c r="AF24" s="300">
        <f t="shared" si="5"/>
        <v>0</v>
      </c>
      <c r="AG24" s="300">
        <f t="shared" si="5"/>
        <v>0</v>
      </c>
      <c r="AH24" s="300">
        <f t="shared" si="5"/>
        <v>0</v>
      </c>
      <c r="AI24" s="300">
        <f t="shared" si="5"/>
        <v>0</v>
      </c>
      <c r="AJ24" s="300">
        <f t="shared" si="5"/>
        <v>0</v>
      </c>
      <c r="AK24" s="300">
        <f t="shared" si="5"/>
        <v>0</v>
      </c>
      <c r="AL24" s="300">
        <f t="shared" si="5"/>
        <v>0</v>
      </c>
      <c r="AM24" s="239"/>
      <c r="AN24" s="300">
        <f t="shared" si="4"/>
        <v>0</v>
      </c>
      <c r="AO24" s="300">
        <f t="shared" si="4"/>
        <v>0</v>
      </c>
      <c r="AP24" s="300">
        <f t="shared" si="4"/>
        <v>0</v>
      </c>
      <c r="AQ24" s="300">
        <f t="shared" si="4"/>
        <v>350000</v>
      </c>
      <c r="AR24" s="300">
        <f t="shared" si="4"/>
        <v>0</v>
      </c>
      <c r="AS24" s="300">
        <f t="shared" si="4"/>
        <v>0</v>
      </c>
      <c r="AT24" s="300">
        <f t="shared" si="4"/>
        <v>0</v>
      </c>
      <c r="AU24" s="300">
        <f t="shared" si="4"/>
        <v>0</v>
      </c>
      <c r="AV24" s="300">
        <f t="shared" si="4"/>
        <v>0</v>
      </c>
      <c r="AW24" s="300">
        <f t="shared" si="4"/>
        <v>0</v>
      </c>
      <c r="AX24" s="300">
        <f t="shared" si="4"/>
        <v>0</v>
      </c>
      <c r="AY24" s="300">
        <f t="shared" si="4"/>
        <v>0</v>
      </c>
      <c r="AZ24" s="300">
        <f t="shared" si="4"/>
        <v>0</v>
      </c>
      <c r="BA24" s="300">
        <f t="shared" si="4"/>
        <v>0</v>
      </c>
      <c r="BB24" s="300">
        <f t="shared" si="4"/>
        <v>0</v>
      </c>
      <c r="BD24" s="299">
        <f t="shared" si="3"/>
        <v>0</v>
      </c>
    </row>
    <row r="25" spans="1:56" ht="15">
      <c r="A25" s="295" t="s">
        <v>137</v>
      </c>
      <c r="B25" s="308" t="str">
        <f>VLOOKUP(A25,'DFP-Com'!$A$16:$B$50,2,1)</f>
        <v xml:space="preserve">     2.2.b  Feasiblity Studies/  Transaction Advisory Services</v>
      </c>
      <c r="C25" s="295" t="s">
        <v>179</v>
      </c>
      <c r="D25" s="234">
        <v>50000</v>
      </c>
      <c r="E25" s="295" t="s">
        <v>196</v>
      </c>
      <c r="J25" s="298">
        <v>0.25</v>
      </c>
      <c r="K25" s="298">
        <v>0.25</v>
      </c>
      <c r="L25" s="298">
        <v>0.25</v>
      </c>
      <c r="M25" s="298">
        <v>0.25</v>
      </c>
      <c r="U25" s="298">
        <f t="shared" si="0"/>
        <v>1</v>
      </c>
      <c r="X25" s="300">
        <f t="shared" si="5"/>
        <v>0</v>
      </c>
      <c r="Y25" s="300">
        <f t="shared" si="5"/>
        <v>0</v>
      </c>
      <c r="Z25" s="300">
        <f t="shared" si="5"/>
        <v>0</v>
      </c>
      <c r="AA25" s="300">
        <f t="shared" si="5"/>
        <v>0</v>
      </c>
      <c r="AB25" s="300">
        <f t="shared" si="5"/>
        <v>12500</v>
      </c>
      <c r="AC25" s="300">
        <f t="shared" si="5"/>
        <v>12500</v>
      </c>
      <c r="AD25" s="300">
        <f t="shared" si="5"/>
        <v>12500</v>
      </c>
      <c r="AE25" s="300">
        <f t="shared" si="5"/>
        <v>12500</v>
      </c>
      <c r="AF25" s="300">
        <f t="shared" si="5"/>
        <v>0</v>
      </c>
      <c r="AG25" s="300">
        <f t="shared" si="5"/>
        <v>0</v>
      </c>
      <c r="AH25" s="300">
        <f t="shared" si="5"/>
        <v>0</v>
      </c>
      <c r="AI25" s="300">
        <f t="shared" si="5"/>
        <v>0</v>
      </c>
      <c r="AJ25" s="300">
        <f t="shared" si="5"/>
        <v>0</v>
      </c>
      <c r="AK25" s="300">
        <f t="shared" si="5"/>
        <v>0</v>
      </c>
      <c r="AL25" s="300">
        <f t="shared" si="5"/>
        <v>0</v>
      </c>
      <c r="AM25" s="239"/>
      <c r="AN25" s="300">
        <f t="shared" si="4"/>
        <v>0</v>
      </c>
      <c r="AO25" s="300">
        <f t="shared" si="4"/>
        <v>0</v>
      </c>
      <c r="AP25" s="300">
        <f t="shared" si="4"/>
        <v>0</v>
      </c>
      <c r="AQ25" s="300">
        <f t="shared" si="4"/>
        <v>0</v>
      </c>
      <c r="AR25" s="300">
        <f t="shared" si="4"/>
        <v>50000</v>
      </c>
      <c r="AS25" s="300">
        <f t="shared" si="4"/>
        <v>0</v>
      </c>
      <c r="AT25" s="300">
        <f t="shared" si="4"/>
        <v>0</v>
      </c>
      <c r="AU25" s="300">
        <f t="shared" si="4"/>
        <v>0</v>
      </c>
      <c r="AV25" s="300">
        <f t="shared" si="4"/>
        <v>0</v>
      </c>
      <c r="AW25" s="300">
        <f t="shared" si="4"/>
        <v>0</v>
      </c>
      <c r="AX25" s="300">
        <f t="shared" si="4"/>
        <v>0</v>
      </c>
      <c r="AY25" s="300">
        <f t="shared" si="4"/>
        <v>0</v>
      </c>
      <c r="AZ25" s="300">
        <f t="shared" si="4"/>
        <v>0</v>
      </c>
      <c r="BA25" s="300">
        <f t="shared" si="4"/>
        <v>0</v>
      </c>
      <c r="BB25" s="300">
        <f t="shared" si="4"/>
        <v>0</v>
      </c>
      <c r="BD25" s="299">
        <f t="shared" si="3"/>
        <v>0</v>
      </c>
    </row>
    <row r="26" spans="1:56" ht="15">
      <c r="A26" s="295" t="s">
        <v>139</v>
      </c>
      <c r="B26" s="254" t="str">
        <f>VLOOKUP(A26,'DFP-Com'!$A$16:$B$50,2,1)</f>
        <v xml:space="preserve">     3.1.a  Student Assessment</v>
      </c>
      <c r="C26" s="245" t="s">
        <v>212</v>
      </c>
      <c r="D26" s="301">
        <v>100000</v>
      </c>
      <c r="E26" s="295" t="s">
        <v>199</v>
      </c>
      <c r="H26" s="315"/>
      <c r="I26" s="298">
        <v>0.25</v>
      </c>
      <c r="J26" s="298">
        <v>0.25</v>
      </c>
      <c r="K26" s="298">
        <v>0.25</v>
      </c>
      <c r="L26" s="298">
        <v>0.25</v>
      </c>
      <c r="U26" s="298">
        <f t="shared" si="0"/>
        <v>1</v>
      </c>
      <c r="X26" s="300">
        <f t="shared" si="5"/>
        <v>0</v>
      </c>
      <c r="Y26" s="300">
        <f t="shared" si="5"/>
        <v>0</v>
      </c>
      <c r="Z26" s="300">
        <f t="shared" si="5"/>
        <v>0</v>
      </c>
      <c r="AA26" s="300">
        <f t="shared" si="5"/>
        <v>25000</v>
      </c>
      <c r="AB26" s="300">
        <f t="shared" si="5"/>
        <v>25000</v>
      </c>
      <c r="AC26" s="300">
        <f t="shared" si="5"/>
        <v>25000</v>
      </c>
      <c r="AD26" s="300">
        <f t="shared" si="5"/>
        <v>25000</v>
      </c>
      <c r="AE26" s="300">
        <f t="shared" si="5"/>
        <v>0</v>
      </c>
      <c r="AF26" s="300">
        <f t="shared" si="5"/>
        <v>0</v>
      </c>
      <c r="AG26" s="300">
        <f t="shared" si="5"/>
        <v>0</v>
      </c>
      <c r="AH26" s="300">
        <f t="shared" si="5"/>
        <v>0</v>
      </c>
      <c r="AI26" s="300">
        <f t="shared" si="5"/>
        <v>0</v>
      </c>
      <c r="AJ26" s="300">
        <f t="shared" si="5"/>
        <v>0</v>
      </c>
      <c r="AK26" s="300">
        <f t="shared" si="5"/>
        <v>0</v>
      </c>
      <c r="AL26" s="300">
        <f t="shared" si="5"/>
        <v>0</v>
      </c>
      <c r="AM26" s="239"/>
      <c r="AN26" s="300">
        <f t="shared" si="4"/>
        <v>0</v>
      </c>
      <c r="AO26" s="300">
        <f t="shared" si="4"/>
        <v>0</v>
      </c>
      <c r="AP26" s="300">
        <f t="shared" si="4"/>
        <v>0</v>
      </c>
      <c r="AQ26" s="300">
        <f t="shared" si="4"/>
        <v>100000</v>
      </c>
      <c r="AR26" s="300">
        <f t="shared" si="4"/>
        <v>0</v>
      </c>
      <c r="AS26" s="300">
        <f t="shared" si="4"/>
        <v>0</v>
      </c>
      <c r="AT26" s="300">
        <f t="shared" si="4"/>
        <v>0</v>
      </c>
      <c r="AU26" s="300">
        <f t="shared" si="4"/>
        <v>0</v>
      </c>
      <c r="AV26" s="300">
        <f t="shared" si="4"/>
        <v>0</v>
      </c>
      <c r="AW26" s="300">
        <f t="shared" si="4"/>
        <v>0</v>
      </c>
      <c r="AX26" s="300">
        <f t="shared" si="4"/>
        <v>0</v>
      </c>
      <c r="AY26" s="300">
        <f t="shared" si="4"/>
        <v>0</v>
      </c>
      <c r="AZ26" s="300">
        <f t="shared" si="4"/>
        <v>0</v>
      </c>
      <c r="BA26" s="300">
        <f t="shared" si="4"/>
        <v>0</v>
      </c>
      <c r="BB26" s="300">
        <f t="shared" si="4"/>
        <v>0</v>
      </c>
      <c r="BD26" s="299">
        <f t="shared" si="3"/>
        <v>0</v>
      </c>
    </row>
    <row r="27" spans="1:56" ht="15">
      <c r="A27" s="295" t="s">
        <v>139</v>
      </c>
      <c r="B27" s="254" t="str">
        <f>VLOOKUP(A27,'DFP-Com'!$A$16:$B$50,2,1)</f>
        <v xml:space="preserve">     3.1.a  Student Assessment</v>
      </c>
      <c r="C27" s="245" t="s">
        <v>212</v>
      </c>
      <c r="D27" s="301">
        <v>500000</v>
      </c>
      <c r="E27" s="295" t="s">
        <v>233</v>
      </c>
      <c r="Q27" s="298">
        <v>0.25</v>
      </c>
      <c r="R27" s="298">
        <v>0.25</v>
      </c>
      <c r="S27" s="298">
        <v>0.25</v>
      </c>
      <c r="T27" s="298">
        <v>0.25</v>
      </c>
      <c r="U27" s="298">
        <f t="shared" si="0"/>
        <v>1</v>
      </c>
      <c r="X27" s="300">
        <f t="shared" si="5"/>
        <v>0</v>
      </c>
      <c r="Y27" s="300">
        <f t="shared" si="5"/>
        <v>0</v>
      </c>
      <c r="Z27" s="300">
        <f t="shared" si="5"/>
        <v>0</v>
      </c>
      <c r="AA27" s="300">
        <f t="shared" si="5"/>
        <v>0</v>
      </c>
      <c r="AB27" s="300">
        <f t="shared" si="5"/>
        <v>0</v>
      </c>
      <c r="AC27" s="300">
        <f t="shared" si="5"/>
        <v>0</v>
      </c>
      <c r="AD27" s="300">
        <f t="shared" si="5"/>
        <v>0</v>
      </c>
      <c r="AE27" s="300">
        <f t="shared" si="5"/>
        <v>0</v>
      </c>
      <c r="AF27" s="300">
        <f t="shared" si="5"/>
        <v>0</v>
      </c>
      <c r="AG27" s="300">
        <f t="shared" si="5"/>
        <v>0</v>
      </c>
      <c r="AH27" s="300">
        <f t="shared" si="5"/>
        <v>0</v>
      </c>
      <c r="AI27" s="300">
        <f t="shared" si="5"/>
        <v>125000</v>
      </c>
      <c r="AJ27" s="300">
        <f t="shared" si="5"/>
        <v>125000</v>
      </c>
      <c r="AK27" s="300">
        <f t="shared" si="5"/>
        <v>125000</v>
      </c>
      <c r="AL27" s="300">
        <f t="shared" si="5"/>
        <v>125000</v>
      </c>
      <c r="AM27" s="239"/>
      <c r="AN27" s="300">
        <f t="shared" si="4"/>
        <v>0</v>
      </c>
      <c r="AO27" s="300">
        <f t="shared" si="4"/>
        <v>0</v>
      </c>
      <c r="AP27" s="300">
        <f t="shared" si="4"/>
        <v>0</v>
      </c>
      <c r="AQ27" s="300">
        <f t="shared" si="4"/>
        <v>0</v>
      </c>
      <c r="AR27" s="300">
        <f t="shared" si="4"/>
        <v>0</v>
      </c>
      <c r="AS27" s="300">
        <f t="shared" si="4"/>
        <v>0</v>
      </c>
      <c r="AT27" s="300">
        <f t="shared" si="4"/>
        <v>0</v>
      </c>
      <c r="AU27" s="300">
        <f t="shared" si="4"/>
        <v>0</v>
      </c>
      <c r="AV27" s="300">
        <f t="shared" si="4"/>
        <v>0</v>
      </c>
      <c r="AW27" s="300">
        <f t="shared" si="4"/>
        <v>0</v>
      </c>
      <c r="AX27" s="300">
        <f t="shared" si="4"/>
        <v>0</v>
      </c>
      <c r="AY27" s="300">
        <f t="shared" si="4"/>
        <v>500000</v>
      </c>
      <c r="AZ27" s="300">
        <f t="shared" si="4"/>
        <v>0</v>
      </c>
      <c r="BA27" s="300">
        <f t="shared" si="4"/>
        <v>0</v>
      </c>
      <c r="BB27" s="300">
        <f t="shared" si="4"/>
        <v>0</v>
      </c>
      <c r="BD27" s="299">
        <f t="shared" si="3"/>
        <v>0</v>
      </c>
    </row>
    <row r="28" spans="1:56" ht="15">
      <c r="A28" s="295" t="s">
        <v>139</v>
      </c>
      <c r="B28" s="254" t="str">
        <f>VLOOKUP(A28,'DFP-Com'!$A$16:$B$50,2,1)</f>
        <v xml:space="preserve">     3.1.a  Student Assessment</v>
      </c>
      <c r="C28" s="295" t="s">
        <v>223</v>
      </c>
      <c r="D28" s="234">
        <v>7200</v>
      </c>
      <c r="E28" s="295" t="s">
        <v>199</v>
      </c>
      <c r="H28" s="315"/>
      <c r="I28" s="298">
        <v>0.3</v>
      </c>
      <c r="J28" s="298">
        <v>0.7</v>
      </c>
      <c r="K28" s="298"/>
      <c r="Q28" s="298"/>
      <c r="R28" s="298"/>
      <c r="S28" s="298"/>
      <c r="T28" s="298"/>
      <c r="U28" s="298">
        <f t="shared" si="0"/>
        <v>1</v>
      </c>
      <c r="X28" s="300">
        <f t="shared" si="5"/>
        <v>0</v>
      </c>
      <c r="Y28" s="300">
        <f t="shared" si="5"/>
        <v>0</v>
      </c>
      <c r="Z28" s="300">
        <f t="shared" si="5"/>
        <v>0</v>
      </c>
      <c r="AA28" s="300">
        <f t="shared" si="5"/>
        <v>2160</v>
      </c>
      <c r="AB28" s="300">
        <f t="shared" si="5"/>
        <v>5040</v>
      </c>
      <c r="AC28" s="300">
        <f t="shared" si="5"/>
        <v>0</v>
      </c>
      <c r="AD28" s="300">
        <f t="shared" si="5"/>
        <v>0</v>
      </c>
      <c r="AE28" s="300">
        <f t="shared" si="5"/>
        <v>0</v>
      </c>
      <c r="AF28" s="300">
        <f t="shared" si="5"/>
        <v>0</v>
      </c>
      <c r="AG28" s="300">
        <f t="shared" si="5"/>
        <v>0</v>
      </c>
      <c r="AH28" s="300">
        <f t="shared" si="5"/>
        <v>0</v>
      </c>
      <c r="AI28" s="300">
        <f t="shared" si="5"/>
        <v>0</v>
      </c>
      <c r="AJ28" s="300">
        <f t="shared" si="5"/>
        <v>0</v>
      </c>
      <c r="AK28" s="300">
        <f t="shared" si="5"/>
        <v>0</v>
      </c>
      <c r="AL28" s="300">
        <f t="shared" si="5"/>
        <v>0</v>
      </c>
      <c r="AM28" s="239"/>
      <c r="AN28" s="300">
        <f t="shared" si="4"/>
        <v>0</v>
      </c>
      <c r="AO28" s="300">
        <f t="shared" si="4"/>
        <v>0</v>
      </c>
      <c r="AP28" s="300">
        <f t="shared" si="4"/>
        <v>0</v>
      </c>
      <c r="AQ28" s="300">
        <f t="shared" si="4"/>
        <v>7200</v>
      </c>
      <c r="AR28" s="300">
        <f t="shared" si="4"/>
        <v>0</v>
      </c>
      <c r="AS28" s="300">
        <f t="shared" si="4"/>
        <v>0</v>
      </c>
      <c r="AT28" s="300">
        <f t="shared" si="4"/>
        <v>0</v>
      </c>
      <c r="AU28" s="300">
        <f t="shared" si="4"/>
        <v>0</v>
      </c>
      <c r="AV28" s="300">
        <f t="shared" si="4"/>
        <v>0</v>
      </c>
      <c r="AW28" s="300">
        <f t="shared" si="4"/>
        <v>0</v>
      </c>
      <c r="AX28" s="300">
        <f t="shared" si="4"/>
        <v>0</v>
      </c>
      <c r="AY28" s="300">
        <f t="shared" si="4"/>
        <v>0</v>
      </c>
      <c r="AZ28" s="300">
        <f t="shared" si="4"/>
        <v>0</v>
      </c>
      <c r="BA28" s="300">
        <f t="shared" si="4"/>
        <v>0</v>
      </c>
      <c r="BB28" s="300">
        <f t="shared" si="4"/>
        <v>0</v>
      </c>
      <c r="BD28" s="299"/>
    </row>
    <row r="29" spans="1:56" ht="15">
      <c r="A29" s="295" t="s">
        <v>139</v>
      </c>
      <c r="B29" s="254" t="str">
        <f>VLOOKUP(A29,'DFP-Com'!$A$16:$B$50,2,1)</f>
        <v xml:space="preserve">     3.1.a  Student Assessment</v>
      </c>
      <c r="C29" s="295" t="s">
        <v>224</v>
      </c>
      <c r="D29" s="234">
        <v>19200</v>
      </c>
      <c r="E29" s="295" t="s">
        <v>199</v>
      </c>
      <c r="H29" s="315"/>
      <c r="I29" s="298">
        <v>0.3</v>
      </c>
      <c r="J29" s="298">
        <v>0.7</v>
      </c>
      <c r="K29" s="298"/>
      <c r="Q29" s="298"/>
      <c r="R29" s="298"/>
      <c r="S29" s="298"/>
      <c r="T29" s="298"/>
      <c r="U29" s="298">
        <f t="shared" si="0"/>
        <v>1</v>
      </c>
      <c r="X29" s="300">
        <f t="shared" si="5"/>
        <v>0</v>
      </c>
      <c r="Y29" s="300">
        <f t="shared" si="5"/>
        <v>0</v>
      </c>
      <c r="Z29" s="300">
        <f t="shared" si="5"/>
        <v>0</v>
      </c>
      <c r="AA29" s="300">
        <f t="shared" si="5"/>
        <v>5760</v>
      </c>
      <c r="AB29" s="300">
        <f t="shared" si="5"/>
        <v>13440</v>
      </c>
      <c r="AC29" s="300">
        <f t="shared" si="5"/>
        <v>0</v>
      </c>
      <c r="AD29" s="300">
        <f t="shared" si="5"/>
        <v>0</v>
      </c>
      <c r="AE29" s="300">
        <f t="shared" si="5"/>
        <v>0</v>
      </c>
      <c r="AF29" s="300">
        <f t="shared" si="5"/>
        <v>0</v>
      </c>
      <c r="AG29" s="300">
        <f t="shared" si="5"/>
        <v>0</v>
      </c>
      <c r="AH29" s="300">
        <f t="shared" si="5"/>
        <v>0</v>
      </c>
      <c r="AI29" s="300">
        <f t="shared" si="5"/>
        <v>0</v>
      </c>
      <c r="AJ29" s="300">
        <f t="shared" si="5"/>
        <v>0</v>
      </c>
      <c r="AK29" s="300">
        <f t="shared" si="5"/>
        <v>0</v>
      </c>
      <c r="AL29" s="300">
        <f t="shared" si="5"/>
        <v>0</v>
      </c>
      <c r="AM29" s="239"/>
      <c r="AN29" s="300">
        <f t="shared" si="4"/>
        <v>0</v>
      </c>
      <c r="AO29" s="300">
        <f t="shared" si="4"/>
        <v>0</v>
      </c>
      <c r="AP29" s="300">
        <f t="shared" si="4"/>
        <v>0</v>
      </c>
      <c r="AQ29" s="300">
        <f t="shared" si="4"/>
        <v>19200</v>
      </c>
      <c r="AR29" s="300">
        <f t="shared" si="4"/>
        <v>0</v>
      </c>
      <c r="AS29" s="300">
        <f t="shared" si="4"/>
        <v>0</v>
      </c>
      <c r="AT29" s="300">
        <f t="shared" si="4"/>
        <v>0</v>
      </c>
      <c r="AU29" s="300">
        <f t="shared" si="4"/>
        <v>0</v>
      </c>
      <c r="AV29" s="300">
        <f t="shared" si="4"/>
        <v>0</v>
      </c>
      <c r="AW29" s="300">
        <f t="shared" si="4"/>
        <v>0</v>
      </c>
      <c r="AX29" s="300">
        <f t="shared" si="4"/>
        <v>0</v>
      </c>
      <c r="AY29" s="300">
        <f t="shared" si="4"/>
        <v>0</v>
      </c>
      <c r="AZ29" s="300">
        <f t="shared" si="4"/>
        <v>0</v>
      </c>
      <c r="BA29" s="300">
        <f t="shared" si="4"/>
        <v>0</v>
      </c>
      <c r="BB29" s="300">
        <f t="shared" si="4"/>
        <v>0</v>
      </c>
      <c r="BD29" s="299"/>
    </row>
    <row r="30" spans="1:56" ht="15">
      <c r="A30" s="295" t="s">
        <v>139</v>
      </c>
      <c r="B30" s="254" t="str">
        <f>VLOOKUP(A30,'DFP-Com'!$A$16:$B$50,2,1)</f>
        <v xml:space="preserve">     3.1.a  Student Assessment</v>
      </c>
      <c r="C30" s="295" t="s">
        <v>225</v>
      </c>
      <c r="D30" s="234">
        <v>8000</v>
      </c>
      <c r="E30" s="295" t="s">
        <v>167</v>
      </c>
      <c r="H30" s="315">
        <v>0.5</v>
      </c>
      <c r="I30" s="298">
        <v>0.5</v>
      </c>
      <c r="Q30" s="298"/>
      <c r="R30" s="298"/>
      <c r="S30" s="298"/>
      <c r="T30" s="298"/>
      <c r="U30" s="298">
        <f t="shared" si="0"/>
        <v>1</v>
      </c>
      <c r="X30" s="300">
        <f t="shared" si="5"/>
        <v>0</v>
      </c>
      <c r="Y30" s="300">
        <f t="shared" si="5"/>
        <v>0</v>
      </c>
      <c r="Z30" s="300">
        <f t="shared" si="5"/>
        <v>4000</v>
      </c>
      <c r="AA30" s="300">
        <f t="shared" si="5"/>
        <v>4000</v>
      </c>
      <c r="AB30" s="300">
        <f t="shared" si="5"/>
        <v>0</v>
      </c>
      <c r="AC30" s="300">
        <f t="shared" si="5"/>
        <v>0</v>
      </c>
      <c r="AD30" s="300">
        <f t="shared" si="5"/>
        <v>0</v>
      </c>
      <c r="AE30" s="300">
        <f t="shared" si="5"/>
        <v>0</v>
      </c>
      <c r="AF30" s="300">
        <f t="shared" si="5"/>
        <v>0</v>
      </c>
      <c r="AG30" s="300">
        <f t="shared" si="5"/>
        <v>0</v>
      </c>
      <c r="AH30" s="300">
        <f t="shared" si="5"/>
        <v>0</v>
      </c>
      <c r="AI30" s="300">
        <f t="shared" si="5"/>
        <v>0</v>
      </c>
      <c r="AJ30" s="300">
        <f t="shared" si="5"/>
        <v>0</v>
      </c>
      <c r="AK30" s="300">
        <f t="shared" si="5"/>
        <v>0</v>
      </c>
      <c r="AL30" s="300">
        <f t="shared" si="5"/>
        <v>0</v>
      </c>
      <c r="AM30" s="239"/>
      <c r="AN30" s="300">
        <f t="shared" si="4"/>
        <v>0</v>
      </c>
      <c r="AO30" s="300">
        <f t="shared" si="4"/>
        <v>0</v>
      </c>
      <c r="AP30" s="300">
        <f t="shared" si="4"/>
        <v>8000</v>
      </c>
      <c r="AQ30" s="300">
        <f t="shared" si="4"/>
        <v>0</v>
      </c>
      <c r="AR30" s="300">
        <f t="shared" si="4"/>
        <v>0</v>
      </c>
      <c r="AS30" s="300">
        <f t="shared" si="4"/>
        <v>0</v>
      </c>
      <c r="AT30" s="300">
        <f t="shared" si="4"/>
        <v>0</v>
      </c>
      <c r="AU30" s="300">
        <f t="shared" si="4"/>
        <v>0</v>
      </c>
      <c r="AV30" s="300">
        <f t="shared" si="4"/>
        <v>0</v>
      </c>
      <c r="AW30" s="300">
        <f t="shared" si="4"/>
        <v>0</v>
      </c>
      <c r="AX30" s="300">
        <f t="shared" si="4"/>
        <v>0</v>
      </c>
      <c r="AY30" s="300">
        <f t="shared" si="4"/>
        <v>0</v>
      </c>
      <c r="AZ30" s="300">
        <f t="shared" si="4"/>
        <v>0</v>
      </c>
      <c r="BA30" s="300">
        <f t="shared" si="4"/>
        <v>0</v>
      </c>
      <c r="BB30" s="300">
        <f t="shared" si="4"/>
        <v>0</v>
      </c>
      <c r="BD30" s="299"/>
    </row>
    <row r="31" spans="1:56" ht="15">
      <c r="A31" s="295" t="s">
        <v>139</v>
      </c>
      <c r="B31" s="254" t="str">
        <f>VLOOKUP(A31,'DFP-Com'!$A$16:$B$50,2,1)</f>
        <v xml:space="preserve">     3.1.a  Student Assessment</v>
      </c>
      <c r="C31" s="295" t="s">
        <v>226</v>
      </c>
      <c r="D31" s="234">
        <v>72000</v>
      </c>
      <c r="E31" s="295" t="s">
        <v>167</v>
      </c>
      <c r="H31" s="315">
        <v>0.0833333333333333</v>
      </c>
      <c r="I31" s="298">
        <v>0.0833333333333333</v>
      </c>
      <c r="J31" s="298">
        <v>0.0833333333333333</v>
      </c>
      <c r="K31" s="298">
        <v>0.0833333333333333</v>
      </c>
      <c r="L31" s="298">
        <v>0.0833333333333333</v>
      </c>
      <c r="M31" s="298">
        <v>0.0833333333333333</v>
      </c>
      <c r="N31" s="298">
        <v>0.0833333333333333</v>
      </c>
      <c r="O31" s="298">
        <v>0.0833333333333333</v>
      </c>
      <c r="P31" s="298">
        <v>0.0833333333333333</v>
      </c>
      <c r="Q31" s="298">
        <v>0.0833333333333333</v>
      </c>
      <c r="R31" s="298">
        <v>0.0833333333333333</v>
      </c>
      <c r="S31" s="298">
        <v>0.0833333333333333</v>
      </c>
      <c r="T31" s="298"/>
      <c r="U31" s="298">
        <f t="shared" si="0"/>
        <v>0.9999999999999994</v>
      </c>
      <c r="X31" s="300">
        <f t="shared" si="5"/>
        <v>0</v>
      </c>
      <c r="Y31" s="300">
        <f t="shared" si="5"/>
        <v>0</v>
      </c>
      <c r="Z31" s="300">
        <f t="shared" si="5"/>
        <v>5999.999999999997</v>
      </c>
      <c r="AA31" s="300">
        <f t="shared" si="5"/>
        <v>5999.999999999997</v>
      </c>
      <c r="AB31" s="300">
        <f t="shared" si="5"/>
        <v>5999.999999999997</v>
      </c>
      <c r="AC31" s="300">
        <f t="shared" si="5"/>
        <v>5999.999999999997</v>
      </c>
      <c r="AD31" s="300">
        <f t="shared" si="5"/>
        <v>5999.999999999997</v>
      </c>
      <c r="AE31" s="300">
        <f t="shared" si="5"/>
        <v>5999.999999999997</v>
      </c>
      <c r="AF31" s="300">
        <f t="shared" si="5"/>
        <v>5999.999999999997</v>
      </c>
      <c r="AG31" s="300">
        <f t="shared" si="5"/>
        <v>5999.999999999997</v>
      </c>
      <c r="AH31" s="300">
        <f t="shared" si="5"/>
        <v>5999.999999999997</v>
      </c>
      <c r="AI31" s="300">
        <f t="shared" si="5"/>
        <v>5999.999999999997</v>
      </c>
      <c r="AJ31" s="300">
        <f t="shared" si="5"/>
        <v>5999.999999999997</v>
      </c>
      <c r="AK31" s="300">
        <f t="shared" si="5"/>
        <v>5999.999999999997</v>
      </c>
      <c r="AL31" s="300">
        <f t="shared" si="5"/>
        <v>0</v>
      </c>
      <c r="AM31" s="239"/>
      <c r="AN31" s="300">
        <f t="shared" si="4"/>
        <v>0</v>
      </c>
      <c r="AO31" s="300">
        <f t="shared" si="4"/>
        <v>0</v>
      </c>
      <c r="AP31" s="300">
        <f t="shared" si="4"/>
        <v>72000</v>
      </c>
      <c r="AQ31" s="300">
        <f t="shared" si="4"/>
        <v>0</v>
      </c>
      <c r="AR31" s="300">
        <f t="shared" si="4"/>
        <v>0</v>
      </c>
      <c r="AS31" s="300">
        <f t="shared" si="4"/>
        <v>0</v>
      </c>
      <c r="AT31" s="300">
        <f t="shared" si="4"/>
        <v>0</v>
      </c>
      <c r="AU31" s="300">
        <f t="shared" si="4"/>
        <v>0</v>
      </c>
      <c r="AV31" s="300">
        <f t="shared" si="4"/>
        <v>0</v>
      </c>
      <c r="AW31" s="300">
        <f t="shared" si="4"/>
        <v>0</v>
      </c>
      <c r="AX31" s="300">
        <f t="shared" si="4"/>
        <v>0</v>
      </c>
      <c r="AY31" s="300">
        <f t="shared" si="4"/>
        <v>0</v>
      </c>
      <c r="AZ31" s="300">
        <f t="shared" si="4"/>
        <v>0</v>
      </c>
      <c r="BA31" s="300">
        <f t="shared" si="4"/>
        <v>0</v>
      </c>
      <c r="BB31" s="300">
        <f t="shared" si="4"/>
        <v>0</v>
      </c>
      <c r="BD31" s="299"/>
    </row>
    <row r="32" spans="1:56" ht="15">
      <c r="A32" s="295" t="s">
        <v>140</v>
      </c>
      <c r="B32" s="254" t="str">
        <f>VLOOKUP(A32,'DFP-Com'!$A$16:$B$50,2,1)</f>
        <v xml:space="preserve">     3.1.b  Teacher Evaluations</v>
      </c>
      <c r="C32" s="245" t="s">
        <v>212</v>
      </c>
      <c r="D32" s="234">
        <v>100000</v>
      </c>
      <c r="E32" s="295" t="s">
        <v>199</v>
      </c>
      <c r="I32" s="298">
        <v>0.25</v>
      </c>
      <c r="J32" s="298">
        <v>0.25</v>
      </c>
      <c r="K32" s="298">
        <v>0.25</v>
      </c>
      <c r="L32" s="298">
        <v>0.25</v>
      </c>
      <c r="U32" s="298">
        <f t="shared" si="0"/>
        <v>1</v>
      </c>
      <c r="X32" s="300">
        <f t="shared" si="5"/>
        <v>0</v>
      </c>
      <c r="Y32" s="300">
        <f t="shared" si="5"/>
        <v>0</v>
      </c>
      <c r="Z32" s="300">
        <f t="shared" si="5"/>
        <v>0</v>
      </c>
      <c r="AA32" s="300">
        <f t="shared" si="5"/>
        <v>25000</v>
      </c>
      <c r="AB32" s="300">
        <f t="shared" si="5"/>
        <v>25000</v>
      </c>
      <c r="AC32" s="300">
        <f t="shared" si="5"/>
        <v>25000</v>
      </c>
      <c r="AD32" s="300">
        <f t="shared" si="5"/>
        <v>25000</v>
      </c>
      <c r="AE32" s="300">
        <f t="shared" si="5"/>
        <v>0</v>
      </c>
      <c r="AF32" s="300">
        <f t="shared" si="5"/>
        <v>0</v>
      </c>
      <c r="AG32" s="300">
        <f t="shared" si="5"/>
        <v>0</v>
      </c>
      <c r="AH32" s="300">
        <f t="shared" si="5"/>
        <v>0</v>
      </c>
      <c r="AI32" s="300">
        <f t="shared" si="5"/>
        <v>0</v>
      </c>
      <c r="AJ32" s="300">
        <f t="shared" si="5"/>
        <v>0</v>
      </c>
      <c r="AK32" s="300">
        <f t="shared" si="5"/>
        <v>0</v>
      </c>
      <c r="AL32" s="300">
        <f t="shared" si="5"/>
        <v>0</v>
      </c>
      <c r="AM32" s="239"/>
      <c r="AN32" s="300">
        <f t="shared" si="4"/>
        <v>0</v>
      </c>
      <c r="AO32" s="300">
        <f t="shared" si="4"/>
        <v>0</v>
      </c>
      <c r="AP32" s="300">
        <f t="shared" si="4"/>
        <v>0</v>
      </c>
      <c r="AQ32" s="300">
        <f t="shared" si="4"/>
        <v>100000</v>
      </c>
      <c r="AR32" s="300">
        <f t="shared" si="4"/>
        <v>0</v>
      </c>
      <c r="AS32" s="300">
        <f t="shared" si="4"/>
        <v>0</v>
      </c>
      <c r="AT32" s="300">
        <f t="shared" si="4"/>
        <v>0</v>
      </c>
      <c r="AU32" s="300">
        <f t="shared" si="4"/>
        <v>0</v>
      </c>
      <c r="AV32" s="300">
        <f t="shared" si="4"/>
        <v>0</v>
      </c>
      <c r="AW32" s="300">
        <f t="shared" si="4"/>
        <v>0</v>
      </c>
      <c r="AX32" s="300">
        <f t="shared" si="4"/>
        <v>0</v>
      </c>
      <c r="AY32" s="300">
        <f t="shared" si="4"/>
        <v>0</v>
      </c>
      <c r="AZ32" s="300">
        <f t="shared" si="4"/>
        <v>0</v>
      </c>
      <c r="BA32" s="300">
        <f t="shared" si="4"/>
        <v>0</v>
      </c>
      <c r="BB32" s="300">
        <f t="shared" si="4"/>
        <v>0</v>
      </c>
      <c r="BD32" s="299">
        <f aca="true" t="shared" si="6" ref="BD32:BD38">SUM(X32:AL32)-SUM(AN32:BB32)</f>
        <v>0</v>
      </c>
    </row>
    <row r="33" spans="1:56" ht="15">
      <c r="A33" s="295" t="s">
        <v>140</v>
      </c>
      <c r="B33" s="254" t="str">
        <f>VLOOKUP(A33,'DFP-Com'!$A$16:$B$50,2,1)</f>
        <v xml:space="preserve">     3.1.b  Teacher Evaluations</v>
      </c>
      <c r="C33" s="245" t="s">
        <v>212</v>
      </c>
      <c r="D33" s="234">
        <v>200000</v>
      </c>
      <c r="E33" s="295" t="s">
        <v>213</v>
      </c>
      <c r="Q33" s="298">
        <v>0.25</v>
      </c>
      <c r="R33" s="298">
        <v>0.25</v>
      </c>
      <c r="S33" s="298">
        <v>0.25</v>
      </c>
      <c r="T33" s="298">
        <v>0.25</v>
      </c>
      <c r="U33" s="298">
        <f t="shared" si="0"/>
        <v>1</v>
      </c>
      <c r="X33" s="300">
        <f t="shared" si="5"/>
        <v>0</v>
      </c>
      <c r="Y33" s="300">
        <f t="shared" si="5"/>
        <v>0</v>
      </c>
      <c r="Z33" s="300">
        <f t="shared" si="5"/>
        <v>0</v>
      </c>
      <c r="AA33" s="300">
        <f t="shared" si="5"/>
        <v>0</v>
      </c>
      <c r="AB33" s="300">
        <f t="shared" si="5"/>
        <v>0</v>
      </c>
      <c r="AC33" s="300">
        <f t="shared" si="5"/>
        <v>0</v>
      </c>
      <c r="AD33" s="300">
        <f t="shared" si="5"/>
        <v>0</v>
      </c>
      <c r="AE33" s="300">
        <f t="shared" si="5"/>
        <v>0</v>
      </c>
      <c r="AF33" s="300">
        <f t="shared" si="5"/>
        <v>0</v>
      </c>
      <c r="AG33" s="300">
        <f t="shared" si="5"/>
        <v>0</v>
      </c>
      <c r="AH33" s="300">
        <f t="shared" si="5"/>
        <v>0</v>
      </c>
      <c r="AI33" s="300">
        <f t="shared" si="5"/>
        <v>50000</v>
      </c>
      <c r="AJ33" s="300">
        <f t="shared" si="5"/>
        <v>50000</v>
      </c>
      <c r="AK33" s="300">
        <f t="shared" si="5"/>
        <v>50000</v>
      </c>
      <c r="AL33" s="300">
        <f t="shared" si="5"/>
        <v>50000</v>
      </c>
      <c r="AM33" s="239"/>
      <c r="AN33" s="300">
        <f t="shared" si="4"/>
        <v>0</v>
      </c>
      <c r="AO33" s="300">
        <f t="shared" si="4"/>
        <v>0</v>
      </c>
      <c r="AP33" s="300">
        <f t="shared" si="4"/>
        <v>0</v>
      </c>
      <c r="AQ33" s="300">
        <f t="shared" si="4"/>
        <v>0</v>
      </c>
      <c r="AR33" s="300">
        <f t="shared" si="4"/>
        <v>0</v>
      </c>
      <c r="AS33" s="300">
        <f t="shared" si="4"/>
        <v>0</v>
      </c>
      <c r="AT33" s="300">
        <f t="shared" si="4"/>
        <v>0</v>
      </c>
      <c r="AU33" s="300">
        <f t="shared" si="4"/>
        <v>0</v>
      </c>
      <c r="AV33" s="300">
        <f t="shared" si="4"/>
        <v>0</v>
      </c>
      <c r="AW33" s="300">
        <f t="shared" si="4"/>
        <v>0</v>
      </c>
      <c r="AX33" s="300">
        <f t="shared" si="4"/>
        <v>0</v>
      </c>
      <c r="AY33" s="300">
        <f t="shared" si="4"/>
        <v>0</v>
      </c>
      <c r="AZ33" s="300">
        <f t="shared" si="4"/>
        <v>0</v>
      </c>
      <c r="BA33" s="300">
        <f t="shared" si="4"/>
        <v>0</v>
      </c>
      <c r="BB33" s="300">
        <f t="shared" si="4"/>
        <v>200000</v>
      </c>
      <c r="BD33" s="299">
        <f t="shared" si="6"/>
        <v>0</v>
      </c>
    </row>
    <row r="34" spans="1:56" ht="15">
      <c r="A34" s="295" t="s">
        <v>141</v>
      </c>
      <c r="B34" s="254" t="str">
        <f>VLOOKUP(A34,'DFP-Com'!$A$16:$B$50,2,1)</f>
        <v xml:space="preserve">     3.1.c  Voc Ed Tracer Studies</v>
      </c>
      <c r="C34" s="245" t="s">
        <v>212</v>
      </c>
      <c r="D34" s="234">
        <v>100000</v>
      </c>
      <c r="E34" s="295" t="s">
        <v>181</v>
      </c>
      <c r="L34" s="298">
        <v>0.25</v>
      </c>
      <c r="M34" s="298">
        <v>0.25</v>
      </c>
      <c r="N34" s="298">
        <v>0.25</v>
      </c>
      <c r="O34" s="298">
        <v>0.25</v>
      </c>
      <c r="U34" s="298">
        <f t="shared" si="0"/>
        <v>1</v>
      </c>
      <c r="X34" s="300">
        <f t="shared" si="5"/>
        <v>0</v>
      </c>
      <c r="Y34" s="300">
        <f t="shared" si="5"/>
        <v>0</v>
      </c>
      <c r="Z34" s="300">
        <f t="shared" si="5"/>
        <v>0</v>
      </c>
      <c r="AA34" s="300">
        <f t="shared" si="5"/>
        <v>0</v>
      </c>
      <c r="AB34" s="300">
        <f t="shared" si="5"/>
        <v>0</v>
      </c>
      <c r="AC34" s="300">
        <f t="shared" si="5"/>
        <v>0</v>
      </c>
      <c r="AD34" s="300">
        <f t="shared" si="5"/>
        <v>25000</v>
      </c>
      <c r="AE34" s="300">
        <f t="shared" si="5"/>
        <v>25000</v>
      </c>
      <c r="AF34" s="300">
        <f t="shared" si="5"/>
        <v>25000</v>
      </c>
      <c r="AG34" s="300">
        <f t="shared" si="5"/>
        <v>25000</v>
      </c>
      <c r="AH34" s="300">
        <f t="shared" si="5"/>
        <v>0</v>
      </c>
      <c r="AI34" s="300">
        <f t="shared" si="5"/>
        <v>0</v>
      </c>
      <c r="AJ34" s="300">
        <f t="shared" si="5"/>
        <v>0</v>
      </c>
      <c r="AK34" s="300">
        <f t="shared" si="5"/>
        <v>0</v>
      </c>
      <c r="AL34" s="300">
        <f t="shared" si="5"/>
        <v>0</v>
      </c>
      <c r="AM34" s="239"/>
      <c r="AN34" s="300">
        <f t="shared" si="4"/>
        <v>0</v>
      </c>
      <c r="AO34" s="300">
        <f t="shared" si="4"/>
        <v>0</v>
      </c>
      <c r="AP34" s="300">
        <f t="shared" si="4"/>
        <v>0</v>
      </c>
      <c r="AQ34" s="300">
        <f t="shared" si="4"/>
        <v>0</v>
      </c>
      <c r="AR34" s="300">
        <f t="shared" si="4"/>
        <v>0</v>
      </c>
      <c r="AS34" s="300">
        <f t="shared" si="4"/>
        <v>0</v>
      </c>
      <c r="AT34" s="300">
        <f t="shared" si="4"/>
        <v>100000</v>
      </c>
      <c r="AU34" s="300">
        <f t="shared" si="4"/>
        <v>0</v>
      </c>
      <c r="AV34" s="300">
        <f t="shared" si="4"/>
        <v>0</v>
      </c>
      <c r="AW34" s="300">
        <f t="shared" si="4"/>
        <v>0</v>
      </c>
      <c r="AX34" s="300">
        <f t="shared" si="4"/>
        <v>0</v>
      </c>
      <c r="AY34" s="300">
        <f t="shared" si="4"/>
        <v>0</v>
      </c>
      <c r="AZ34" s="300">
        <f t="shared" si="4"/>
        <v>0</v>
      </c>
      <c r="BA34" s="300">
        <f t="shared" si="4"/>
        <v>0</v>
      </c>
      <c r="BB34" s="300">
        <f t="shared" si="4"/>
        <v>0</v>
      </c>
      <c r="BD34" s="299">
        <f t="shared" si="6"/>
        <v>0</v>
      </c>
    </row>
    <row r="35" spans="1:56" ht="15">
      <c r="A35" s="295" t="s">
        <v>141</v>
      </c>
      <c r="B35" s="254" t="str">
        <f>VLOOKUP(A35,'DFP-Com'!$A$16:$B$50,2,1)</f>
        <v xml:space="preserve">     3.1.c  Voc Ed Tracer Studies</v>
      </c>
      <c r="C35" s="245" t="s">
        <v>212</v>
      </c>
      <c r="D35" s="234">
        <v>200000</v>
      </c>
      <c r="E35" s="295" t="s">
        <v>213</v>
      </c>
      <c r="Q35" s="298">
        <v>0.25</v>
      </c>
      <c r="R35" s="298">
        <v>0.25</v>
      </c>
      <c r="S35" s="298">
        <v>0.25</v>
      </c>
      <c r="T35" s="298">
        <v>0.25</v>
      </c>
      <c r="U35" s="298">
        <f t="shared" si="0"/>
        <v>1</v>
      </c>
      <c r="X35" s="300">
        <f t="shared" si="5"/>
        <v>0</v>
      </c>
      <c r="Y35" s="300">
        <f t="shared" si="5"/>
        <v>0</v>
      </c>
      <c r="Z35" s="300">
        <f t="shared" si="5"/>
        <v>0</v>
      </c>
      <c r="AA35" s="300">
        <f t="shared" si="5"/>
        <v>0</v>
      </c>
      <c r="AB35" s="300">
        <f t="shared" si="5"/>
        <v>0</v>
      </c>
      <c r="AC35" s="300">
        <f t="shared" si="5"/>
        <v>0</v>
      </c>
      <c r="AD35" s="300">
        <f t="shared" si="5"/>
        <v>0</v>
      </c>
      <c r="AE35" s="300">
        <f t="shared" si="5"/>
        <v>0</v>
      </c>
      <c r="AF35" s="300">
        <f t="shared" si="5"/>
        <v>0</v>
      </c>
      <c r="AG35" s="300">
        <f t="shared" si="5"/>
        <v>0</v>
      </c>
      <c r="AH35" s="300">
        <f t="shared" si="5"/>
        <v>0</v>
      </c>
      <c r="AI35" s="300">
        <f t="shared" si="5"/>
        <v>50000</v>
      </c>
      <c r="AJ35" s="300">
        <f t="shared" si="5"/>
        <v>50000</v>
      </c>
      <c r="AK35" s="300">
        <f t="shared" si="5"/>
        <v>50000</v>
      </c>
      <c r="AL35" s="300">
        <f t="shared" si="5"/>
        <v>50000</v>
      </c>
      <c r="AM35" s="239"/>
      <c r="AN35" s="300">
        <f t="shared" si="4"/>
        <v>0</v>
      </c>
      <c r="AO35" s="300">
        <f t="shared" si="4"/>
        <v>0</v>
      </c>
      <c r="AP35" s="300">
        <f t="shared" si="4"/>
        <v>0</v>
      </c>
      <c r="AQ35" s="300">
        <f t="shared" si="4"/>
        <v>0</v>
      </c>
      <c r="AR35" s="300">
        <f t="shared" si="4"/>
        <v>0</v>
      </c>
      <c r="AS35" s="300">
        <f t="shared" si="4"/>
        <v>0</v>
      </c>
      <c r="AT35" s="300">
        <f t="shared" si="4"/>
        <v>0</v>
      </c>
      <c r="AU35" s="300">
        <f t="shared" si="4"/>
        <v>0</v>
      </c>
      <c r="AV35" s="300">
        <f t="shared" si="4"/>
        <v>0</v>
      </c>
      <c r="AW35" s="300">
        <f t="shared" si="4"/>
        <v>0</v>
      </c>
      <c r="AX35" s="300">
        <f t="shared" si="4"/>
        <v>0</v>
      </c>
      <c r="AY35" s="300">
        <f t="shared" si="4"/>
        <v>0</v>
      </c>
      <c r="AZ35" s="300">
        <f t="shared" si="4"/>
        <v>0</v>
      </c>
      <c r="BA35" s="300">
        <f t="shared" si="4"/>
        <v>0</v>
      </c>
      <c r="BB35" s="300">
        <f t="shared" si="4"/>
        <v>200000</v>
      </c>
      <c r="BD35" s="299">
        <f t="shared" si="6"/>
        <v>0</v>
      </c>
    </row>
    <row r="36" spans="1:56" ht="15">
      <c r="A36" s="295" t="s">
        <v>142</v>
      </c>
      <c r="B36" s="254" t="str">
        <f>VLOOKUP(A36,'DFP-Com'!$A$16:$B$50,2,1)</f>
        <v xml:space="preserve">     3.1 d Other</v>
      </c>
      <c r="C36" s="245" t="s">
        <v>212</v>
      </c>
      <c r="D36" s="234">
        <v>200000</v>
      </c>
      <c r="E36" s="295" t="s">
        <v>213</v>
      </c>
      <c r="Q36" s="298">
        <v>0.25</v>
      </c>
      <c r="R36" s="298">
        <v>0.25</v>
      </c>
      <c r="S36" s="298">
        <v>0.25</v>
      </c>
      <c r="T36" s="298">
        <v>0.25</v>
      </c>
      <c r="U36" s="298">
        <f t="shared" si="0"/>
        <v>1</v>
      </c>
      <c r="X36" s="300">
        <f t="shared" si="5"/>
        <v>0</v>
      </c>
      <c r="Y36" s="300">
        <f t="shared" si="5"/>
        <v>0</v>
      </c>
      <c r="Z36" s="300">
        <f t="shared" si="5"/>
        <v>0</v>
      </c>
      <c r="AA36" s="300">
        <f t="shared" si="5"/>
        <v>0</v>
      </c>
      <c r="AB36" s="300">
        <f t="shared" si="5"/>
        <v>0</v>
      </c>
      <c r="AC36" s="300">
        <f t="shared" si="5"/>
        <v>0</v>
      </c>
      <c r="AD36" s="300">
        <f t="shared" si="5"/>
        <v>0</v>
      </c>
      <c r="AE36" s="300">
        <f t="shared" si="5"/>
        <v>0</v>
      </c>
      <c r="AF36" s="300">
        <f t="shared" si="5"/>
        <v>0</v>
      </c>
      <c r="AG36" s="300">
        <f t="shared" si="5"/>
        <v>0</v>
      </c>
      <c r="AH36" s="300">
        <f t="shared" si="5"/>
        <v>0</v>
      </c>
      <c r="AI36" s="300">
        <f t="shared" si="5"/>
        <v>50000</v>
      </c>
      <c r="AJ36" s="300">
        <f t="shared" si="5"/>
        <v>50000</v>
      </c>
      <c r="AK36" s="300">
        <f t="shared" si="5"/>
        <v>50000</v>
      </c>
      <c r="AL36" s="300">
        <f t="shared" si="5"/>
        <v>50000</v>
      </c>
      <c r="AM36" s="239"/>
      <c r="AN36" s="300">
        <f aca="true" t="shared" si="7" ref="AN36:BB38">IF(AN$3=$E36,$D36,0)</f>
        <v>0</v>
      </c>
      <c r="AO36" s="300">
        <f t="shared" si="7"/>
        <v>0</v>
      </c>
      <c r="AP36" s="300">
        <f t="shared" si="7"/>
        <v>0</v>
      </c>
      <c r="AQ36" s="300">
        <f t="shared" si="7"/>
        <v>0</v>
      </c>
      <c r="AR36" s="300">
        <f t="shared" si="7"/>
        <v>0</v>
      </c>
      <c r="AS36" s="300">
        <f t="shared" si="7"/>
        <v>0</v>
      </c>
      <c r="AT36" s="300">
        <f t="shared" si="7"/>
        <v>0</v>
      </c>
      <c r="AU36" s="300">
        <f t="shared" si="7"/>
        <v>0</v>
      </c>
      <c r="AV36" s="300">
        <f t="shared" si="7"/>
        <v>0</v>
      </c>
      <c r="AW36" s="300">
        <f t="shared" si="7"/>
        <v>0</v>
      </c>
      <c r="AX36" s="300">
        <f t="shared" si="7"/>
        <v>0</v>
      </c>
      <c r="AY36" s="300">
        <f t="shared" si="7"/>
        <v>0</v>
      </c>
      <c r="AZ36" s="300">
        <f t="shared" si="7"/>
        <v>0</v>
      </c>
      <c r="BA36" s="300">
        <f t="shared" si="7"/>
        <v>0</v>
      </c>
      <c r="BB36" s="300">
        <f t="shared" si="7"/>
        <v>200000</v>
      </c>
      <c r="BD36" s="299">
        <f t="shared" si="6"/>
        <v>0</v>
      </c>
    </row>
    <row r="37" spans="1:56" ht="15">
      <c r="A37" s="295" t="s">
        <v>145</v>
      </c>
      <c r="B37" s="254" t="str">
        <f>VLOOKUP(A37,'DFP-Com'!$A$16:$B$50,2,1)</f>
        <v xml:space="preserve">     4.1.c  Audit</v>
      </c>
      <c r="C37" s="245" t="s">
        <v>183</v>
      </c>
      <c r="D37" s="321">
        <v>90000</v>
      </c>
      <c r="E37" s="295" t="s">
        <v>196</v>
      </c>
      <c r="K37" s="237"/>
      <c r="L37" s="237">
        <f>1/6</f>
        <v>0.16666666666666666</v>
      </c>
      <c r="M37" s="237">
        <f>1/6</f>
        <v>0.16666666666666666</v>
      </c>
      <c r="P37" s="237">
        <f>1/6</f>
        <v>0.16666666666666666</v>
      </c>
      <c r="Q37" s="237">
        <f>1/6</f>
        <v>0.16666666666666666</v>
      </c>
      <c r="T37" s="237">
        <f>1/3</f>
        <v>0.3333333333333333</v>
      </c>
      <c r="U37" s="298">
        <f t="shared" si="0"/>
        <v>1</v>
      </c>
      <c r="X37" s="300">
        <f t="shared" si="5"/>
        <v>0</v>
      </c>
      <c r="Y37" s="300">
        <f t="shared" si="5"/>
        <v>0</v>
      </c>
      <c r="Z37" s="300">
        <f t="shared" si="5"/>
        <v>0</v>
      </c>
      <c r="AA37" s="300">
        <f t="shared" si="5"/>
        <v>0</v>
      </c>
      <c r="AB37" s="300">
        <f t="shared" si="5"/>
        <v>0</v>
      </c>
      <c r="AC37" s="300">
        <f t="shared" si="5"/>
        <v>0</v>
      </c>
      <c r="AD37" s="300">
        <f t="shared" si="5"/>
        <v>15000</v>
      </c>
      <c r="AE37" s="300">
        <f t="shared" si="5"/>
        <v>15000</v>
      </c>
      <c r="AF37" s="300">
        <f t="shared" si="5"/>
        <v>0</v>
      </c>
      <c r="AG37" s="300">
        <f t="shared" si="5"/>
        <v>0</v>
      </c>
      <c r="AH37" s="300">
        <f t="shared" si="5"/>
        <v>15000</v>
      </c>
      <c r="AI37" s="300">
        <f t="shared" si="5"/>
        <v>15000</v>
      </c>
      <c r="AJ37" s="300">
        <f t="shared" si="5"/>
        <v>0</v>
      </c>
      <c r="AK37" s="300">
        <f t="shared" si="5"/>
        <v>0</v>
      </c>
      <c r="AL37" s="300">
        <f t="shared" si="5"/>
        <v>30000</v>
      </c>
      <c r="AM37" s="239"/>
      <c r="AN37" s="300">
        <f t="shared" si="7"/>
        <v>0</v>
      </c>
      <c r="AO37" s="300">
        <f t="shared" si="7"/>
        <v>0</v>
      </c>
      <c r="AP37" s="300">
        <f t="shared" si="7"/>
        <v>0</v>
      </c>
      <c r="AQ37" s="300">
        <f t="shared" si="7"/>
        <v>0</v>
      </c>
      <c r="AR37" s="300">
        <f t="shared" si="7"/>
        <v>90000</v>
      </c>
      <c r="AS37" s="300">
        <f t="shared" si="7"/>
        <v>0</v>
      </c>
      <c r="AT37" s="300">
        <f t="shared" si="7"/>
        <v>0</v>
      </c>
      <c r="AU37" s="300">
        <f t="shared" si="7"/>
        <v>0</v>
      </c>
      <c r="AV37" s="300">
        <f t="shared" si="7"/>
        <v>0</v>
      </c>
      <c r="AW37" s="300">
        <f t="shared" si="7"/>
        <v>0</v>
      </c>
      <c r="AX37" s="300">
        <f t="shared" si="7"/>
        <v>0</v>
      </c>
      <c r="AY37" s="300">
        <f t="shared" si="7"/>
        <v>0</v>
      </c>
      <c r="AZ37" s="300">
        <f t="shared" si="7"/>
        <v>0</v>
      </c>
      <c r="BA37" s="300">
        <f t="shared" si="7"/>
        <v>0</v>
      </c>
      <c r="BB37" s="300">
        <f t="shared" si="7"/>
        <v>0</v>
      </c>
      <c r="BD37" s="299">
        <f t="shared" si="6"/>
        <v>0</v>
      </c>
    </row>
    <row r="38" spans="1:56" ht="15">
      <c r="A38" s="295" t="s">
        <v>146</v>
      </c>
      <c r="B38" s="254" t="str">
        <f>VLOOKUP(A38,'DFP-Com'!$A$16:$B$50,2,1)</f>
        <v xml:space="preserve">     4.1.d  Other</v>
      </c>
      <c r="C38" s="245" t="s">
        <v>184</v>
      </c>
      <c r="D38" s="311">
        <v>11500</v>
      </c>
      <c r="E38" s="295" t="s">
        <v>195</v>
      </c>
      <c r="G38" s="310">
        <v>0.67</v>
      </c>
      <c r="H38" s="316">
        <v>0.33</v>
      </c>
      <c r="U38" s="298">
        <f t="shared" si="0"/>
        <v>1</v>
      </c>
      <c r="X38" s="300">
        <f aca="true" t="shared" si="8" ref="X38:AL38">F38*$D38</f>
        <v>0</v>
      </c>
      <c r="Y38" s="300">
        <f t="shared" si="8"/>
        <v>7705.000000000001</v>
      </c>
      <c r="Z38" s="300">
        <f t="shared" si="8"/>
        <v>3795</v>
      </c>
      <c r="AA38" s="300">
        <f t="shared" si="8"/>
        <v>0</v>
      </c>
      <c r="AB38" s="300">
        <f t="shared" si="8"/>
        <v>0</v>
      </c>
      <c r="AC38" s="300">
        <f t="shared" si="8"/>
        <v>0</v>
      </c>
      <c r="AD38" s="300">
        <f t="shared" si="8"/>
        <v>0</v>
      </c>
      <c r="AE38" s="300">
        <f t="shared" si="8"/>
        <v>0</v>
      </c>
      <c r="AF38" s="300">
        <f t="shared" si="8"/>
        <v>0</v>
      </c>
      <c r="AG38" s="300">
        <f t="shared" si="8"/>
        <v>0</v>
      </c>
      <c r="AH38" s="300">
        <f t="shared" si="8"/>
        <v>0</v>
      </c>
      <c r="AI38" s="300">
        <f t="shared" si="8"/>
        <v>0</v>
      </c>
      <c r="AJ38" s="300">
        <f t="shared" si="8"/>
        <v>0</v>
      </c>
      <c r="AK38" s="300">
        <f t="shared" si="8"/>
        <v>0</v>
      </c>
      <c r="AL38" s="300">
        <f t="shared" si="8"/>
        <v>0</v>
      </c>
      <c r="AM38" s="239"/>
      <c r="AN38" s="300">
        <f t="shared" si="7"/>
        <v>0</v>
      </c>
      <c r="AO38" s="300">
        <f t="shared" si="7"/>
        <v>11500</v>
      </c>
      <c r="AP38" s="300">
        <f t="shared" si="7"/>
        <v>0</v>
      </c>
      <c r="AQ38" s="300">
        <f t="shared" si="7"/>
        <v>0</v>
      </c>
      <c r="AR38" s="300">
        <f t="shared" si="7"/>
        <v>0</v>
      </c>
      <c r="AS38" s="300">
        <f t="shared" si="7"/>
        <v>0</v>
      </c>
      <c r="AT38" s="300">
        <f t="shared" si="7"/>
        <v>0</v>
      </c>
      <c r="AU38" s="300">
        <f t="shared" si="7"/>
        <v>0</v>
      </c>
      <c r="AV38" s="300">
        <f t="shared" si="7"/>
        <v>0</v>
      </c>
      <c r="AW38" s="300">
        <f t="shared" si="7"/>
        <v>0</v>
      </c>
      <c r="AX38" s="300">
        <f t="shared" si="7"/>
        <v>0</v>
      </c>
      <c r="AY38" s="300">
        <f t="shared" si="7"/>
        <v>0</v>
      </c>
      <c r="AZ38" s="300">
        <f t="shared" si="7"/>
        <v>0</v>
      </c>
      <c r="BA38" s="300">
        <f t="shared" si="7"/>
        <v>0</v>
      </c>
      <c r="BB38" s="300">
        <f t="shared" si="7"/>
        <v>0</v>
      </c>
      <c r="BD38" s="299">
        <f t="shared" si="6"/>
        <v>0</v>
      </c>
    </row>
    <row r="39" spans="2:56" ht="15">
      <c r="B39" s="254"/>
      <c r="C39" s="245"/>
      <c r="D39" s="234"/>
      <c r="Q39" s="298"/>
      <c r="R39" s="298"/>
      <c r="S39" s="298"/>
      <c r="T39" s="298"/>
      <c r="U39" s="298"/>
      <c r="X39" s="300"/>
      <c r="Y39" s="300"/>
      <c r="Z39" s="300"/>
      <c r="AA39" s="300"/>
      <c r="AB39" s="300"/>
      <c r="AC39" s="300"/>
      <c r="AD39" s="300"/>
      <c r="AE39" s="300"/>
      <c r="AF39" s="300"/>
      <c r="AG39" s="300"/>
      <c r="AH39" s="300"/>
      <c r="AI39" s="300"/>
      <c r="AJ39" s="300"/>
      <c r="AK39" s="300"/>
      <c r="AL39" s="300"/>
      <c r="AM39" s="239"/>
      <c r="AN39" s="300"/>
      <c r="AO39" s="300"/>
      <c r="AP39" s="300"/>
      <c r="AQ39" s="300"/>
      <c r="AR39" s="300"/>
      <c r="AS39" s="300"/>
      <c r="AT39" s="300"/>
      <c r="AU39" s="300"/>
      <c r="AV39" s="300"/>
      <c r="AW39" s="300"/>
      <c r="AX39" s="300"/>
      <c r="AY39" s="300"/>
      <c r="AZ39" s="300"/>
      <c r="BA39" s="300"/>
      <c r="BB39" s="300"/>
      <c r="BD39" s="299"/>
    </row>
    <row r="40" spans="2:56" ht="15">
      <c r="B40" s="236" t="e">
        <f>VLOOKUP(A40,'DFP-Com'!$A$16:$B$50,2,1)</f>
        <v>#N/A</v>
      </c>
      <c r="C40" s="295" t="s">
        <v>200</v>
      </c>
      <c r="D40" s="234"/>
      <c r="X40" s="300">
        <f aca="true" t="shared" si="9" ref="X40:AL40">F40*$D40</f>
        <v>0</v>
      </c>
      <c r="Y40" s="300">
        <f t="shared" si="9"/>
        <v>0</v>
      </c>
      <c r="Z40" s="300">
        <f t="shared" si="9"/>
        <v>0</v>
      </c>
      <c r="AA40" s="300">
        <f t="shared" si="9"/>
        <v>0</v>
      </c>
      <c r="AB40" s="300">
        <f t="shared" si="9"/>
        <v>0</v>
      </c>
      <c r="AC40" s="300">
        <f t="shared" si="9"/>
        <v>0</v>
      </c>
      <c r="AD40" s="300">
        <f t="shared" si="9"/>
        <v>0</v>
      </c>
      <c r="AE40" s="300">
        <f t="shared" si="9"/>
        <v>0</v>
      </c>
      <c r="AF40" s="300">
        <f t="shared" si="9"/>
        <v>0</v>
      </c>
      <c r="AG40" s="300">
        <f t="shared" si="9"/>
        <v>0</v>
      </c>
      <c r="AH40" s="300">
        <f t="shared" si="9"/>
        <v>0</v>
      </c>
      <c r="AI40" s="300">
        <f t="shared" si="9"/>
        <v>0</v>
      </c>
      <c r="AJ40" s="300">
        <f t="shared" si="9"/>
        <v>0</v>
      </c>
      <c r="AK40" s="300">
        <f t="shared" si="9"/>
        <v>0</v>
      </c>
      <c r="AL40" s="300">
        <f t="shared" si="9"/>
        <v>0</v>
      </c>
      <c r="AM40" s="239"/>
      <c r="AN40" s="300">
        <f aca="true" t="shared" si="10" ref="AN40:BB40">IF(AN$3=$E40,$D40,0)</f>
        <v>0</v>
      </c>
      <c r="AO40" s="300">
        <f t="shared" si="10"/>
        <v>0</v>
      </c>
      <c r="AP40" s="300">
        <f t="shared" si="10"/>
        <v>0</v>
      </c>
      <c r="AQ40" s="300">
        <f t="shared" si="10"/>
        <v>0</v>
      </c>
      <c r="AR40" s="300">
        <f t="shared" si="10"/>
        <v>0</v>
      </c>
      <c r="AS40" s="300">
        <f t="shared" si="10"/>
        <v>0</v>
      </c>
      <c r="AT40" s="300">
        <f t="shared" si="10"/>
        <v>0</v>
      </c>
      <c r="AU40" s="300">
        <f t="shared" si="10"/>
        <v>0</v>
      </c>
      <c r="AV40" s="300">
        <f t="shared" si="10"/>
        <v>0</v>
      </c>
      <c r="AW40" s="300">
        <f t="shared" si="10"/>
        <v>0</v>
      </c>
      <c r="AX40" s="300">
        <f t="shared" si="10"/>
        <v>0</v>
      </c>
      <c r="AY40" s="300">
        <f t="shared" si="10"/>
        <v>0</v>
      </c>
      <c r="AZ40" s="300">
        <f t="shared" si="10"/>
        <v>0</v>
      </c>
      <c r="BA40" s="300">
        <f t="shared" si="10"/>
        <v>0</v>
      </c>
      <c r="BB40" s="300">
        <f t="shared" si="10"/>
        <v>0</v>
      </c>
      <c r="BD40" s="299">
        <f aca="true" t="shared" si="11" ref="BD40:BD55">SUM(X40:AL40)-SUM(AN40:BB40)</f>
        <v>0</v>
      </c>
    </row>
    <row r="41" spans="4:56" ht="15">
      <c r="D41" s="295" t="s">
        <v>165</v>
      </c>
      <c r="F41" s="295" t="s">
        <v>148</v>
      </c>
      <c r="G41" s="295" t="s">
        <v>152</v>
      </c>
      <c r="H41" s="312" t="s">
        <v>153</v>
      </c>
      <c r="I41" s="295" t="s">
        <v>154</v>
      </c>
      <c r="J41" s="295" t="s">
        <v>155</v>
      </c>
      <c r="K41" s="295" t="s">
        <v>156</v>
      </c>
      <c r="L41" s="295" t="s">
        <v>157</v>
      </c>
      <c r="M41" s="295" t="s">
        <v>158</v>
      </c>
      <c r="N41" s="295" t="s">
        <v>159</v>
      </c>
      <c r="O41" s="295" t="s">
        <v>160</v>
      </c>
      <c r="P41" s="295" t="s">
        <v>161</v>
      </c>
      <c r="Q41" s="295" t="s">
        <v>162</v>
      </c>
      <c r="R41" s="295" t="s">
        <v>163</v>
      </c>
      <c r="S41" s="295" t="s">
        <v>164</v>
      </c>
      <c r="T41" s="295" t="s">
        <v>166</v>
      </c>
      <c r="U41" s="295" t="s">
        <v>165</v>
      </c>
      <c r="X41" s="300"/>
      <c r="Y41" s="300"/>
      <c r="Z41" s="300"/>
      <c r="AA41" s="300"/>
      <c r="AB41" s="300"/>
      <c r="AC41" s="300"/>
      <c r="AD41" s="300"/>
      <c r="AE41" s="300"/>
      <c r="AF41" s="300"/>
      <c r="AG41" s="300"/>
      <c r="AH41" s="300"/>
      <c r="AI41" s="300"/>
      <c r="AJ41" s="300"/>
      <c r="AK41" s="300"/>
      <c r="AL41" s="300"/>
      <c r="AM41" s="239"/>
      <c r="AN41" s="239"/>
      <c r="AO41" s="239"/>
      <c r="AP41" s="239"/>
      <c r="AQ41" s="239"/>
      <c r="AR41" s="239"/>
      <c r="AS41" s="239"/>
      <c r="AT41" s="239"/>
      <c r="AU41" s="239"/>
      <c r="AV41" s="239"/>
      <c r="AW41" s="239"/>
      <c r="AX41" s="239"/>
      <c r="AY41" s="239"/>
      <c r="AZ41" s="239"/>
      <c r="BA41" s="239"/>
      <c r="BB41" s="239"/>
      <c r="BD41" s="299">
        <f t="shared" si="11"/>
        <v>0</v>
      </c>
    </row>
    <row r="42" spans="1:56" ht="15">
      <c r="A42" s="235" t="s">
        <v>192</v>
      </c>
      <c r="B42" s="235"/>
      <c r="D42" s="234"/>
      <c r="X42" s="249"/>
      <c r="Y42" s="300"/>
      <c r="Z42" s="300"/>
      <c r="AA42" s="300"/>
      <c r="AB42" s="300"/>
      <c r="AC42" s="300"/>
      <c r="AD42" s="300"/>
      <c r="AE42" s="300"/>
      <c r="AF42" s="300"/>
      <c r="AG42" s="300"/>
      <c r="AH42" s="300"/>
      <c r="AI42" s="300"/>
      <c r="AJ42" s="300"/>
      <c r="AK42" s="300"/>
      <c r="AL42" s="300"/>
      <c r="AM42" s="239"/>
      <c r="AN42" s="238" t="s">
        <v>148</v>
      </c>
      <c r="AO42" s="238" t="s">
        <v>152</v>
      </c>
      <c r="AP42" s="238" t="s">
        <v>153</v>
      </c>
      <c r="AQ42" s="238" t="s">
        <v>154</v>
      </c>
      <c r="AR42" s="238" t="s">
        <v>148</v>
      </c>
      <c r="AS42" s="238" t="s">
        <v>152</v>
      </c>
      <c r="AT42" s="238" t="s">
        <v>153</v>
      </c>
      <c r="AU42" s="238" t="s">
        <v>154</v>
      </c>
      <c r="AV42" s="238" t="s">
        <v>148</v>
      </c>
      <c r="AW42" s="238" t="s">
        <v>152</v>
      </c>
      <c r="AX42" s="238" t="s">
        <v>153</v>
      </c>
      <c r="AY42" s="238" t="s">
        <v>154</v>
      </c>
      <c r="AZ42" s="238" t="s">
        <v>148</v>
      </c>
      <c r="BA42" s="238" t="s">
        <v>152</v>
      </c>
      <c r="BB42" s="238" t="s">
        <v>153</v>
      </c>
      <c r="BD42" s="299">
        <f t="shared" si="11"/>
        <v>0</v>
      </c>
    </row>
    <row r="43" spans="1:56" ht="15">
      <c r="A43" s="295" t="s">
        <v>133</v>
      </c>
      <c r="B43" s="243" t="str">
        <f>VLOOKUP(A43,'DFP-Com'!$A$16:$B$50,2,1)</f>
        <v xml:space="preserve">     1.3.b  Education Project Coordination team*</v>
      </c>
      <c r="C43" s="295" t="s">
        <v>171</v>
      </c>
      <c r="D43" s="234">
        <f aca="true" t="shared" si="12" ref="D43:D49">SUM(F43:T43)</f>
        <v>121400</v>
      </c>
      <c r="E43" s="295" t="s">
        <v>195</v>
      </c>
      <c r="G43" s="302">
        <v>4400</v>
      </c>
      <c r="H43" s="317">
        <v>9000</v>
      </c>
      <c r="I43" s="302">
        <v>9000</v>
      </c>
      <c r="J43" s="302">
        <v>9000</v>
      </c>
      <c r="K43" s="302">
        <v>9000</v>
      </c>
      <c r="L43" s="302">
        <v>9000</v>
      </c>
      <c r="M43" s="302">
        <v>9000</v>
      </c>
      <c r="N43" s="302">
        <v>9000</v>
      </c>
      <c r="O43" s="302">
        <v>9000</v>
      </c>
      <c r="P43" s="302">
        <v>9000</v>
      </c>
      <c r="Q43" s="302">
        <v>9000</v>
      </c>
      <c r="R43" s="302">
        <v>9000</v>
      </c>
      <c r="S43" s="302">
        <v>9000</v>
      </c>
      <c r="T43" s="302">
        <v>9000</v>
      </c>
      <c r="U43" s="302">
        <f>SUM(F43:T43)</f>
        <v>121400</v>
      </c>
      <c r="X43" s="249">
        <f aca="true" t="shared" si="13" ref="X43:AL51">F43</f>
        <v>0</v>
      </c>
      <c r="Y43" s="300">
        <f t="shared" si="13"/>
        <v>4400</v>
      </c>
      <c r="Z43" s="300">
        <f t="shared" si="13"/>
        <v>9000</v>
      </c>
      <c r="AA43" s="300">
        <f t="shared" si="13"/>
        <v>9000</v>
      </c>
      <c r="AB43" s="300">
        <f t="shared" si="13"/>
        <v>9000</v>
      </c>
      <c r="AC43" s="300">
        <f t="shared" si="13"/>
        <v>9000</v>
      </c>
      <c r="AD43" s="300">
        <f t="shared" si="13"/>
        <v>9000</v>
      </c>
      <c r="AE43" s="300">
        <f t="shared" si="13"/>
        <v>9000</v>
      </c>
      <c r="AF43" s="300">
        <f t="shared" si="13"/>
        <v>9000</v>
      </c>
      <c r="AG43" s="300">
        <f t="shared" si="13"/>
        <v>9000</v>
      </c>
      <c r="AH43" s="300">
        <f t="shared" si="13"/>
        <v>9000</v>
      </c>
      <c r="AI43" s="300">
        <f t="shared" si="13"/>
        <v>9000</v>
      </c>
      <c r="AJ43" s="300">
        <f t="shared" si="13"/>
        <v>9000</v>
      </c>
      <c r="AK43" s="300">
        <f t="shared" si="13"/>
        <v>9000</v>
      </c>
      <c r="AL43" s="300">
        <f t="shared" si="13"/>
        <v>9000</v>
      </c>
      <c r="AM43" s="239"/>
      <c r="AN43" s="300">
        <f>IF(AN$42=$E43,SUM(X43:AA43),0)</f>
        <v>0</v>
      </c>
      <c r="AO43" s="300">
        <f aca="true" t="shared" si="14" ref="AO43:AY51">IF(AO$42=$E43,SUM(Y43:AB43),0)</f>
        <v>31400</v>
      </c>
      <c r="AP43" s="300">
        <f t="shared" si="14"/>
        <v>0</v>
      </c>
      <c r="AQ43" s="300">
        <f t="shared" si="14"/>
        <v>0</v>
      </c>
      <c r="AR43" s="300">
        <f t="shared" si="14"/>
        <v>0</v>
      </c>
      <c r="AS43" s="300">
        <f t="shared" si="14"/>
        <v>36000</v>
      </c>
      <c r="AT43" s="300">
        <f t="shared" si="14"/>
        <v>0</v>
      </c>
      <c r="AU43" s="300">
        <f t="shared" si="14"/>
        <v>0</v>
      </c>
      <c r="AV43" s="300">
        <f t="shared" si="14"/>
        <v>0</v>
      </c>
      <c r="AW43" s="300">
        <f t="shared" si="14"/>
        <v>36000</v>
      </c>
      <c r="AX43" s="300">
        <f t="shared" si="14"/>
        <v>0</v>
      </c>
      <c r="AY43" s="300">
        <f t="shared" si="14"/>
        <v>0</v>
      </c>
      <c r="AZ43" s="300">
        <f>IF(AZ$42=$E43,SUM(AJ43:$AL43),0)</f>
        <v>0</v>
      </c>
      <c r="BA43" s="300">
        <f>IF(BA$42=$E43,SUM(AK43:$AL43),0)</f>
        <v>18000</v>
      </c>
      <c r="BB43" s="300">
        <f>IF(BB$42=$E43,SUM(AL43:$AL43),0)</f>
        <v>0</v>
      </c>
      <c r="BD43" s="299">
        <f t="shared" si="11"/>
        <v>0</v>
      </c>
    </row>
    <row r="44" spans="1:56" ht="15">
      <c r="A44" s="295" t="s">
        <v>133</v>
      </c>
      <c r="B44" s="243" t="str">
        <f>VLOOKUP(A44,'DFP-Com'!$A$16:$B$50,2,1)</f>
        <v xml:space="preserve">     1.3.b  Education Project Coordination team*</v>
      </c>
      <c r="C44" s="295" t="s">
        <v>190</v>
      </c>
      <c r="D44" s="234">
        <f t="shared" si="12"/>
        <v>57000</v>
      </c>
      <c r="E44" s="295" t="s">
        <v>167</v>
      </c>
      <c r="G44" s="295">
        <v>0</v>
      </c>
      <c r="H44" s="317">
        <v>3000</v>
      </c>
      <c r="I44" s="302">
        <v>4500</v>
      </c>
      <c r="J44" s="302">
        <v>4500</v>
      </c>
      <c r="K44" s="302">
        <v>4500</v>
      </c>
      <c r="L44" s="302">
        <v>4500</v>
      </c>
      <c r="M44" s="302">
        <v>4500</v>
      </c>
      <c r="N44" s="302">
        <v>4500</v>
      </c>
      <c r="O44" s="302">
        <v>4500</v>
      </c>
      <c r="P44" s="302">
        <v>4500</v>
      </c>
      <c r="Q44" s="302">
        <v>4500</v>
      </c>
      <c r="R44" s="302">
        <v>4500</v>
      </c>
      <c r="S44" s="302">
        <v>4500</v>
      </c>
      <c r="T44" s="302">
        <v>4500</v>
      </c>
      <c r="U44" s="302">
        <f aca="true" t="shared" si="15" ref="U44:U55">SUM(F44:T44)</f>
        <v>57000</v>
      </c>
      <c r="X44" s="249">
        <f t="shared" si="13"/>
        <v>0</v>
      </c>
      <c r="Y44" s="300">
        <f t="shared" si="13"/>
        <v>0</v>
      </c>
      <c r="Z44" s="300">
        <f t="shared" si="13"/>
        <v>3000</v>
      </c>
      <c r="AA44" s="300">
        <f t="shared" si="13"/>
        <v>4500</v>
      </c>
      <c r="AB44" s="300">
        <f t="shared" si="13"/>
        <v>4500</v>
      </c>
      <c r="AC44" s="300">
        <f t="shared" si="13"/>
        <v>4500</v>
      </c>
      <c r="AD44" s="300">
        <f t="shared" si="13"/>
        <v>4500</v>
      </c>
      <c r="AE44" s="300">
        <f t="shared" si="13"/>
        <v>4500</v>
      </c>
      <c r="AF44" s="300">
        <f t="shared" si="13"/>
        <v>4500</v>
      </c>
      <c r="AG44" s="300">
        <f t="shared" si="13"/>
        <v>4500</v>
      </c>
      <c r="AH44" s="300">
        <f t="shared" si="13"/>
        <v>4500</v>
      </c>
      <c r="AI44" s="300">
        <f t="shared" si="13"/>
        <v>4500</v>
      </c>
      <c r="AJ44" s="300">
        <f t="shared" si="13"/>
        <v>4500</v>
      </c>
      <c r="AK44" s="300">
        <f t="shared" si="13"/>
        <v>4500</v>
      </c>
      <c r="AL44" s="300">
        <f t="shared" si="13"/>
        <v>4500</v>
      </c>
      <c r="AM44" s="239"/>
      <c r="AN44" s="300">
        <f aca="true" t="shared" si="16" ref="AN44:AN51">IF(AN$42=$E44,SUM(X44:AA44),0)</f>
        <v>0</v>
      </c>
      <c r="AO44" s="300">
        <f t="shared" si="14"/>
        <v>0</v>
      </c>
      <c r="AP44" s="300">
        <f t="shared" si="14"/>
        <v>16500</v>
      </c>
      <c r="AQ44" s="300">
        <f t="shared" si="14"/>
        <v>0</v>
      </c>
      <c r="AR44" s="300">
        <f t="shared" si="14"/>
        <v>0</v>
      </c>
      <c r="AS44" s="300">
        <f t="shared" si="14"/>
        <v>0</v>
      </c>
      <c r="AT44" s="300">
        <f t="shared" si="14"/>
        <v>18000</v>
      </c>
      <c r="AU44" s="300">
        <f t="shared" si="14"/>
        <v>0</v>
      </c>
      <c r="AV44" s="300">
        <f t="shared" si="14"/>
        <v>0</v>
      </c>
      <c r="AW44" s="300">
        <f t="shared" si="14"/>
        <v>0</v>
      </c>
      <c r="AX44" s="300">
        <f t="shared" si="14"/>
        <v>18000</v>
      </c>
      <c r="AY44" s="300">
        <f t="shared" si="14"/>
        <v>0</v>
      </c>
      <c r="AZ44" s="300">
        <f>IF(AZ$42=$E44,SUM(AJ44:$AL44),0)</f>
        <v>0</v>
      </c>
      <c r="BA44" s="300">
        <f>IF(BA$42=$E44,SUM(AK44:$AL44),0)</f>
        <v>0</v>
      </c>
      <c r="BB44" s="300">
        <f>IF(BB$42=$E44,SUM(AL44:$AL44),0)</f>
        <v>4500</v>
      </c>
      <c r="BD44" s="299">
        <f t="shared" si="11"/>
        <v>0</v>
      </c>
    </row>
    <row r="45" spans="1:56" ht="15">
      <c r="A45" s="295" t="s">
        <v>143</v>
      </c>
      <c r="B45" s="254" t="str">
        <f>VLOOKUP(A45,'DFP-Com'!$A$16:$B$50,2,1)</f>
        <v xml:space="preserve">     4.1.a  Staff Compensation*</v>
      </c>
      <c r="C45" s="295" t="s">
        <v>182</v>
      </c>
      <c r="D45" s="234">
        <f t="shared" si="12"/>
        <v>181000</v>
      </c>
      <c r="E45" s="295" t="s">
        <v>197</v>
      </c>
      <c r="F45" s="302">
        <v>10000</v>
      </c>
      <c r="G45" s="302">
        <f>15000</f>
        <v>15000</v>
      </c>
      <c r="H45" s="317">
        <v>12000</v>
      </c>
      <c r="I45" s="302">
        <v>12000</v>
      </c>
      <c r="J45" s="302">
        <v>12000</v>
      </c>
      <c r="K45" s="302">
        <v>12000</v>
      </c>
      <c r="L45" s="302">
        <v>12000</v>
      </c>
      <c r="M45" s="302">
        <v>12000</v>
      </c>
      <c r="N45" s="302">
        <v>12000</v>
      </c>
      <c r="O45" s="302">
        <v>12000</v>
      </c>
      <c r="P45" s="302">
        <v>12000</v>
      </c>
      <c r="Q45" s="302">
        <v>12000</v>
      </c>
      <c r="R45" s="302">
        <v>12000</v>
      </c>
      <c r="S45" s="302">
        <v>12000</v>
      </c>
      <c r="T45" s="302">
        <v>12000</v>
      </c>
      <c r="U45" s="302">
        <f t="shared" si="15"/>
        <v>181000</v>
      </c>
      <c r="X45" s="249">
        <f t="shared" si="13"/>
        <v>10000</v>
      </c>
      <c r="Y45" s="300">
        <f t="shared" si="13"/>
        <v>15000</v>
      </c>
      <c r="Z45" s="300">
        <f t="shared" si="13"/>
        <v>12000</v>
      </c>
      <c r="AA45" s="300">
        <f t="shared" si="13"/>
        <v>12000</v>
      </c>
      <c r="AB45" s="300">
        <f t="shared" si="13"/>
        <v>12000</v>
      </c>
      <c r="AC45" s="300">
        <f t="shared" si="13"/>
        <v>12000</v>
      </c>
      <c r="AD45" s="300">
        <f t="shared" si="13"/>
        <v>12000</v>
      </c>
      <c r="AE45" s="300">
        <f t="shared" si="13"/>
        <v>12000</v>
      </c>
      <c r="AF45" s="300">
        <f t="shared" si="13"/>
        <v>12000</v>
      </c>
      <c r="AG45" s="300">
        <f t="shared" si="13"/>
        <v>12000</v>
      </c>
      <c r="AH45" s="300">
        <f t="shared" si="13"/>
        <v>12000</v>
      </c>
      <c r="AI45" s="300">
        <f t="shared" si="13"/>
        <v>12000</v>
      </c>
      <c r="AJ45" s="300">
        <f t="shared" si="13"/>
        <v>12000</v>
      </c>
      <c r="AK45" s="300">
        <f t="shared" si="13"/>
        <v>12000</v>
      </c>
      <c r="AL45" s="300">
        <f t="shared" si="13"/>
        <v>12000</v>
      </c>
      <c r="AM45" s="239"/>
      <c r="AN45" s="300">
        <f t="shared" si="16"/>
        <v>49000</v>
      </c>
      <c r="AO45" s="300">
        <f t="shared" si="14"/>
        <v>0</v>
      </c>
      <c r="AP45" s="300">
        <f t="shared" si="14"/>
        <v>0</v>
      </c>
      <c r="AQ45" s="300">
        <f t="shared" si="14"/>
        <v>0</v>
      </c>
      <c r="AR45" s="300">
        <f t="shared" si="14"/>
        <v>48000</v>
      </c>
      <c r="AS45" s="300">
        <f t="shared" si="14"/>
        <v>0</v>
      </c>
      <c r="AT45" s="300">
        <f t="shared" si="14"/>
        <v>0</v>
      </c>
      <c r="AU45" s="300">
        <f t="shared" si="14"/>
        <v>0</v>
      </c>
      <c r="AV45" s="300">
        <f t="shared" si="14"/>
        <v>48000</v>
      </c>
      <c r="AW45" s="300">
        <f t="shared" si="14"/>
        <v>0</v>
      </c>
      <c r="AX45" s="300">
        <f t="shared" si="14"/>
        <v>0</v>
      </c>
      <c r="AY45" s="300">
        <f t="shared" si="14"/>
        <v>0</v>
      </c>
      <c r="AZ45" s="300">
        <f>IF(AZ$42=$E45,SUM(AJ45:$AL45),0)</f>
        <v>36000</v>
      </c>
      <c r="BA45" s="300">
        <f>IF(BA$42=$E45,SUM(AK45:$AL45),0)</f>
        <v>0</v>
      </c>
      <c r="BB45" s="300">
        <f>IF(BB$42=$E45,SUM(AL45:$AL45),0)</f>
        <v>0</v>
      </c>
      <c r="BD45" s="299">
        <f t="shared" si="11"/>
        <v>0</v>
      </c>
    </row>
    <row r="46" spans="1:56" ht="15">
      <c r="A46" s="295" t="s">
        <v>143</v>
      </c>
      <c r="B46" s="254" t="str">
        <f>VLOOKUP(A46,'DFP-Com'!$A$16:$B$50,2,1)</f>
        <v xml:space="preserve">     4.1.a  Staff Compensation*</v>
      </c>
      <c r="C46" s="295" t="s">
        <v>232</v>
      </c>
      <c r="D46" s="234">
        <f t="shared" si="12"/>
        <v>57000</v>
      </c>
      <c r="E46" s="295" t="s">
        <v>167</v>
      </c>
      <c r="G46" s="302">
        <v>0</v>
      </c>
      <c r="H46" s="317">
        <f>3000</f>
        <v>3000</v>
      </c>
      <c r="I46" s="302">
        <v>4500</v>
      </c>
      <c r="J46" s="302">
        <v>4500</v>
      </c>
      <c r="K46" s="302">
        <v>4500</v>
      </c>
      <c r="L46" s="302">
        <v>4500</v>
      </c>
      <c r="M46" s="302">
        <v>4500</v>
      </c>
      <c r="N46" s="302">
        <v>4500</v>
      </c>
      <c r="O46" s="302">
        <v>4500</v>
      </c>
      <c r="P46" s="302">
        <v>4500</v>
      </c>
      <c r="Q46" s="302">
        <v>4500</v>
      </c>
      <c r="R46" s="302">
        <v>4500</v>
      </c>
      <c r="S46" s="302">
        <v>4500</v>
      </c>
      <c r="T46" s="302">
        <v>4500</v>
      </c>
      <c r="U46" s="302">
        <f t="shared" si="15"/>
        <v>57000</v>
      </c>
      <c r="X46" s="249">
        <f t="shared" si="13"/>
        <v>0</v>
      </c>
      <c r="Y46" s="300">
        <f t="shared" si="13"/>
        <v>0</v>
      </c>
      <c r="Z46" s="300">
        <f t="shared" si="13"/>
        <v>3000</v>
      </c>
      <c r="AA46" s="300">
        <f t="shared" si="13"/>
        <v>4500</v>
      </c>
      <c r="AB46" s="300">
        <f t="shared" si="13"/>
        <v>4500</v>
      </c>
      <c r="AC46" s="300">
        <f t="shared" si="13"/>
        <v>4500</v>
      </c>
      <c r="AD46" s="300">
        <f t="shared" si="13"/>
        <v>4500</v>
      </c>
      <c r="AE46" s="300">
        <f t="shared" si="13"/>
        <v>4500</v>
      </c>
      <c r="AF46" s="300">
        <f t="shared" si="13"/>
        <v>4500</v>
      </c>
      <c r="AG46" s="300">
        <f t="shared" si="13"/>
        <v>4500</v>
      </c>
      <c r="AH46" s="300">
        <f t="shared" si="13"/>
        <v>4500</v>
      </c>
      <c r="AI46" s="300">
        <f t="shared" si="13"/>
        <v>4500</v>
      </c>
      <c r="AJ46" s="300">
        <f t="shared" si="13"/>
        <v>4500</v>
      </c>
      <c r="AK46" s="300">
        <f t="shared" si="13"/>
        <v>4500</v>
      </c>
      <c r="AL46" s="300">
        <f t="shared" si="13"/>
        <v>4500</v>
      </c>
      <c r="AM46" s="239"/>
      <c r="AN46" s="300">
        <f t="shared" si="16"/>
        <v>0</v>
      </c>
      <c r="AO46" s="300">
        <f t="shared" si="14"/>
        <v>0</v>
      </c>
      <c r="AP46" s="300">
        <f>IF(AP$42=$E46,SUM(Z46:AC46),0)</f>
        <v>16500</v>
      </c>
      <c r="AQ46" s="300">
        <f t="shared" si="14"/>
        <v>0</v>
      </c>
      <c r="AR46" s="300">
        <f t="shared" si="14"/>
        <v>0</v>
      </c>
      <c r="AS46" s="300">
        <f t="shared" si="14"/>
        <v>0</v>
      </c>
      <c r="AT46" s="300">
        <f t="shared" si="14"/>
        <v>18000</v>
      </c>
      <c r="AU46" s="300">
        <f t="shared" si="14"/>
        <v>0</v>
      </c>
      <c r="AV46" s="300">
        <f t="shared" si="14"/>
        <v>0</v>
      </c>
      <c r="AW46" s="300">
        <f t="shared" si="14"/>
        <v>0</v>
      </c>
      <c r="AX46" s="300">
        <f t="shared" si="14"/>
        <v>18000</v>
      </c>
      <c r="AY46" s="300">
        <f t="shared" si="14"/>
        <v>0</v>
      </c>
      <c r="AZ46" s="300">
        <f>IF(AZ$42=$E46,SUM(AJ46:$AL46),0)</f>
        <v>0</v>
      </c>
      <c r="BA46" s="300">
        <f>IF(BA$42=$E46,SUM(AK46:$AL46),0)</f>
        <v>0</v>
      </c>
      <c r="BB46" s="300">
        <f>IF(BB$42=$E46,SUM(AL46:$AL46),0)</f>
        <v>4500</v>
      </c>
      <c r="BD46" s="299">
        <f t="shared" si="11"/>
        <v>0</v>
      </c>
    </row>
    <row r="47" spans="1:56" ht="15">
      <c r="A47" s="295" t="s">
        <v>143</v>
      </c>
      <c r="B47" s="254" t="str">
        <f>VLOOKUP(A47,'DFP-Com'!$A$16:$B$50,2,1)</f>
        <v xml:space="preserve">     4.1.a  Staff Compensation*</v>
      </c>
      <c r="C47" s="295" t="s">
        <v>187</v>
      </c>
      <c r="D47" s="234">
        <f t="shared" si="12"/>
        <v>147000</v>
      </c>
      <c r="E47" s="295" t="s">
        <v>195</v>
      </c>
      <c r="G47" s="302">
        <v>10500</v>
      </c>
      <c r="H47" s="317">
        <f>3500*3</f>
        <v>10500</v>
      </c>
      <c r="I47" s="302">
        <v>10500</v>
      </c>
      <c r="J47" s="302">
        <v>10500</v>
      </c>
      <c r="K47" s="302">
        <v>10500</v>
      </c>
      <c r="L47" s="302">
        <v>10500</v>
      </c>
      <c r="M47" s="302">
        <v>10500</v>
      </c>
      <c r="N47" s="302">
        <v>10500</v>
      </c>
      <c r="O47" s="302">
        <v>10500</v>
      </c>
      <c r="P47" s="302">
        <v>10500</v>
      </c>
      <c r="Q47" s="302">
        <v>10500</v>
      </c>
      <c r="R47" s="302">
        <v>10500</v>
      </c>
      <c r="S47" s="302">
        <v>10500</v>
      </c>
      <c r="T47" s="302">
        <v>10500</v>
      </c>
      <c r="U47" s="302">
        <f t="shared" si="15"/>
        <v>147000</v>
      </c>
      <c r="X47" s="249">
        <f t="shared" si="13"/>
        <v>0</v>
      </c>
      <c r="Y47" s="300">
        <f t="shared" si="13"/>
        <v>10500</v>
      </c>
      <c r="Z47" s="300">
        <f t="shared" si="13"/>
        <v>10500</v>
      </c>
      <c r="AA47" s="300">
        <f t="shared" si="13"/>
        <v>10500</v>
      </c>
      <c r="AB47" s="300">
        <f t="shared" si="13"/>
        <v>10500</v>
      </c>
      <c r="AC47" s="300">
        <f t="shared" si="13"/>
        <v>10500</v>
      </c>
      <c r="AD47" s="300">
        <f t="shared" si="13"/>
        <v>10500</v>
      </c>
      <c r="AE47" s="300">
        <f t="shared" si="13"/>
        <v>10500</v>
      </c>
      <c r="AF47" s="300">
        <f t="shared" si="13"/>
        <v>10500</v>
      </c>
      <c r="AG47" s="300">
        <f t="shared" si="13"/>
        <v>10500</v>
      </c>
      <c r="AH47" s="300">
        <f t="shared" si="13"/>
        <v>10500</v>
      </c>
      <c r="AI47" s="300">
        <f t="shared" si="13"/>
        <v>10500</v>
      </c>
      <c r="AJ47" s="300">
        <f t="shared" si="13"/>
        <v>10500</v>
      </c>
      <c r="AK47" s="300">
        <f t="shared" si="13"/>
        <v>10500</v>
      </c>
      <c r="AL47" s="300">
        <f t="shared" si="13"/>
        <v>10500</v>
      </c>
      <c r="AM47" s="239"/>
      <c r="AN47" s="300">
        <f t="shared" si="16"/>
        <v>0</v>
      </c>
      <c r="AO47" s="300">
        <f t="shared" si="14"/>
        <v>42000</v>
      </c>
      <c r="AP47" s="300">
        <f t="shared" si="14"/>
        <v>0</v>
      </c>
      <c r="AQ47" s="300">
        <f t="shared" si="14"/>
        <v>0</v>
      </c>
      <c r="AR47" s="300">
        <f t="shared" si="14"/>
        <v>0</v>
      </c>
      <c r="AS47" s="300">
        <f t="shared" si="14"/>
        <v>42000</v>
      </c>
      <c r="AT47" s="300">
        <f t="shared" si="14"/>
        <v>0</v>
      </c>
      <c r="AU47" s="300">
        <f t="shared" si="14"/>
        <v>0</v>
      </c>
      <c r="AV47" s="300">
        <f t="shared" si="14"/>
        <v>0</v>
      </c>
      <c r="AW47" s="300">
        <f t="shared" si="14"/>
        <v>42000</v>
      </c>
      <c r="AX47" s="300">
        <f t="shared" si="14"/>
        <v>0</v>
      </c>
      <c r="AY47" s="300">
        <f t="shared" si="14"/>
        <v>0</v>
      </c>
      <c r="AZ47" s="300">
        <f>IF(AZ$42=$E47,SUM(AJ47:$AL47),0)</f>
        <v>0</v>
      </c>
      <c r="BA47" s="300">
        <f>IF(BA$42=$E47,SUM(AK47:$AL47),0)</f>
        <v>21000</v>
      </c>
      <c r="BB47" s="300">
        <f>IF(BB$42=$E47,SUM(AL47:$AL47),0)</f>
        <v>0</v>
      </c>
      <c r="BD47" s="299">
        <f t="shared" si="11"/>
        <v>0</v>
      </c>
    </row>
    <row r="48" spans="1:56" ht="15">
      <c r="A48" s="295" t="s">
        <v>143</v>
      </c>
      <c r="B48" s="254" t="str">
        <f>VLOOKUP(A48,'DFP-Com'!$A$16:$B$50,2,1)</f>
        <v xml:space="preserve">     4.1.a  Staff Compensation*</v>
      </c>
      <c r="C48" s="295" t="s">
        <v>188</v>
      </c>
      <c r="D48" s="234">
        <f t="shared" si="12"/>
        <v>89760</v>
      </c>
      <c r="E48" s="295" t="s">
        <v>195</v>
      </c>
      <c r="G48" s="302">
        <v>3960</v>
      </c>
      <c r="H48" s="317">
        <f>2200*3</f>
        <v>6600</v>
      </c>
      <c r="I48" s="302">
        <f aca="true" t="shared" si="17" ref="I48:T49">2200*3</f>
        <v>6600</v>
      </c>
      <c r="J48" s="302">
        <f t="shared" si="17"/>
        <v>6600</v>
      </c>
      <c r="K48" s="302">
        <f t="shared" si="17"/>
        <v>6600</v>
      </c>
      <c r="L48" s="302">
        <f t="shared" si="17"/>
        <v>6600</v>
      </c>
      <c r="M48" s="302">
        <f t="shared" si="17"/>
        <v>6600</v>
      </c>
      <c r="N48" s="302">
        <f t="shared" si="17"/>
        <v>6600</v>
      </c>
      <c r="O48" s="302">
        <f t="shared" si="17"/>
        <v>6600</v>
      </c>
      <c r="P48" s="302">
        <f t="shared" si="17"/>
        <v>6600</v>
      </c>
      <c r="Q48" s="302">
        <f t="shared" si="17"/>
        <v>6600</v>
      </c>
      <c r="R48" s="302">
        <f t="shared" si="17"/>
        <v>6600</v>
      </c>
      <c r="S48" s="302">
        <f t="shared" si="17"/>
        <v>6600</v>
      </c>
      <c r="T48" s="302">
        <f t="shared" si="17"/>
        <v>6600</v>
      </c>
      <c r="U48" s="302">
        <f t="shared" si="15"/>
        <v>89760</v>
      </c>
      <c r="X48" s="249">
        <f t="shared" si="13"/>
        <v>0</v>
      </c>
      <c r="Y48" s="300">
        <f t="shared" si="13"/>
        <v>3960</v>
      </c>
      <c r="Z48" s="300">
        <f t="shared" si="13"/>
        <v>6600</v>
      </c>
      <c r="AA48" s="300">
        <f t="shared" si="13"/>
        <v>6600</v>
      </c>
      <c r="AB48" s="300">
        <f t="shared" si="13"/>
        <v>6600</v>
      </c>
      <c r="AC48" s="300">
        <f t="shared" si="13"/>
        <v>6600</v>
      </c>
      <c r="AD48" s="300">
        <f t="shared" si="13"/>
        <v>6600</v>
      </c>
      <c r="AE48" s="300">
        <f t="shared" si="13"/>
        <v>6600</v>
      </c>
      <c r="AF48" s="300">
        <f t="shared" si="13"/>
        <v>6600</v>
      </c>
      <c r="AG48" s="300">
        <f t="shared" si="13"/>
        <v>6600</v>
      </c>
      <c r="AH48" s="300">
        <f t="shared" si="13"/>
        <v>6600</v>
      </c>
      <c r="AI48" s="300">
        <f t="shared" si="13"/>
        <v>6600</v>
      </c>
      <c r="AJ48" s="300">
        <f t="shared" si="13"/>
        <v>6600</v>
      </c>
      <c r="AK48" s="300">
        <f t="shared" si="13"/>
        <v>6600</v>
      </c>
      <c r="AL48" s="300">
        <f t="shared" si="13"/>
        <v>6600</v>
      </c>
      <c r="AM48" s="239"/>
      <c r="AN48" s="300">
        <f t="shared" si="16"/>
        <v>0</v>
      </c>
      <c r="AO48" s="300">
        <f t="shared" si="14"/>
        <v>23760</v>
      </c>
      <c r="AP48" s="300">
        <f t="shared" si="14"/>
        <v>0</v>
      </c>
      <c r="AQ48" s="300">
        <f t="shared" si="14"/>
        <v>0</v>
      </c>
      <c r="AR48" s="300">
        <f t="shared" si="14"/>
        <v>0</v>
      </c>
      <c r="AS48" s="300">
        <f t="shared" si="14"/>
        <v>26400</v>
      </c>
      <c r="AT48" s="300">
        <f t="shared" si="14"/>
        <v>0</v>
      </c>
      <c r="AU48" s="300">
        <f t="shared" si="14"/>
        <v>0</v>
      </c>
      <c r="AV48" s="300">
        <f t="shared" si="14"/>
        <v>0</v>
      </c>
      <c r="AW48" s="300">
        <f t="shared" si="14"/>
        <v>26400</v>
      </c>
      <c r="AX48" s="300">
        <f t="shared" si="14"/>
        <v>0</v>
      </c>
      <c r="AY48" s="300">
        <f t="shared" si="14"/>
        <v>0</v>
      </c>
      <c r="AZ48" s="300">
        <f>IF(AZ$42=$E48,SUM(AJ48:$AL48),0)</f>
        <v>0</v>
      </c>
      <c r="BA48" s="300">
        <f>IF(BA$42=$E48,SUM(AK48:$AL48),0)</f>
        <v>13200</v>
      </c>
      <c r="BB48" s="300">
        <f>IF(BB$42=$E48,SUM(AL48:$AL48),0)</f>
        <v>0</v>
      </c>
      <c r="BD48" s="299">
        <f t="shared" si="11"/>
        <v>0</v>
      </c>
    </row>
    <row r="49" spans="1:56" ht="15">
      <c r="A49" s="295" t="s">
        <v>143</v>
      </c>
      <c r="B49" s="254" t="str">
        <f>VLOOKUP(A49,'DFP-Com'!$A$16:$B$50,2,1)</f>
        <v xml:space="preserve">     4.1.a  Staff Compensation*</v>
      </c>
      <c r="C49" s="295" t="s">
        <v>189</v>
      </c>
      <c r="D49" s="234">
        <f t="shared" si="12"/>
        <v>89760</v>
      </c>
      <c r="E49" s="295" t="s">
        <v>195</v>
      </c>
      <c r="G49" s="302">
        <v>3960</v>
      </c>
      <c r="H49" s="317">
        <f>2200*3</f>
        <v>6600</v>
      </c>
      <c r="I49" s="302">
        <f t="shared" si="17"/>
        <v>6600</v>
      </c>
      <c r="J49" s="302">
        <f t="shared" si="17"/>
        <v>6600</v>
      </c>
      <c r="K49" s="302">
        <f t="shared" si="17"/>
        <v>6600</v>
      </c>
      <c r="L49" s="302">
        <f t="shared" si="17"/>
        <v>6600</v>
      </c>
      <c r="M49" s="302">
        <f t="shared" si="17"/>
        <v>6600</v>
      </c>
      <c r="N49" s="302">
        <f t="shared" si="17"/>
        <v>6600</v>
      </c>
      <c r="O49" s="302">
        <f t="shared" si="17"/>
        <v>6600</v>
      </c>
      <c r="P49" s="302">
        <f t="shared" si="17"/>
        <v>6600</v>
      </c>
      <c r="Q49" s="302">
        <f t="shared" si="17"/>
        <v>6600</v>
      </c>
      <c r="R49" s="302">
        <f t="shared" si="17"/>
        <v>6600</v>
      </c>
      <c r="S49" s="302">
        <f t="shared" si="17"/>
        <v>6600</v>
      </c>
      <c r="T49" s="302">
        <f t="shared" si="17"/>
        <v>6600</v>
      </c>
      <c r="U49" s="302">
        <f t="shared" si="15"/>
        <v>89760</v>
      </c>
      <c r="X49" s="249">
        <f t="shared" si="13"/>
        <v>0</v>
      </c>
      <c r="Y49" s="300">
        <f t="shared" si="13"/>
        <v>3960</v>
      </c>
      <c r="Z49" s="300">
        <f t="shared" si="13"/>
        <v>6600</v>
      </c>
      <c r="AA49" s="300">
        <f t="shared" si="13"/>
        <v>6600</v>
      </c>
      <c r="AB49" s="300">
        <f t="shared" si="13"/>
        <v>6600</v>
      </c>
      <c r="AC49" s="300">
        <f t="shared" si="13"/>
        <v>6600</v>
      </c>
      <c r="AD49" s="300">
        <f t="shared" si="13"/>
        <v>6600</v>
      </c>
      <c r="AE49" s="300">
        <f t="shared" si="13"/>
        <v>6600</v>
      </c>
      <c r="AF49" s="300">
        <f t="shared" si="13"/>
        <v>6600</v>
      </c>
      <c r="AG49" s="300">
        <f t="shared" si="13"/>
        <v>6600</v>
      </c>
      <c r="AH49" s="300">
        <f t="shared" si="13"/>
        <v>6600</v>
      </c>
      <c r="AI49" s="300">
        <f t="shared" si="13"/>
        <v>6600</v>
      </c>
      <c r="AJ49" s="300">
        <f t="shared" si="13"/>
        <v>6600</v>
      </c>
      <c r="AK49" s="300">
        <f t="shared" si="13"/>
        <v>6600</v>
      </c>
      <c r="AL49" s="300">
        <f t="shared" si="13"/>
        <v>6600</v>
      </c>
      <c r="AM49" s="239"/>
      <c r="AN49" s="300">
        <f t="shared" si="16"/>
        <v>0</v>
      </c>
      <c r="AO49" s="300">
        <f t="shared" si="14"/>
        <v>23760</v>
      </c>
      <c r="AP49" s="300">
        <f t="shared" si="14"/>
        <v>0</v>
      </c>
      <c r="AQ49" s="300">
        <f t="shared" si="14"/>
        <v>0</v>
      </c>
      <c r="AR49" s="300">
        <f t="shared" si="14"/>
        <v>0</v>
      </c>
      <c r="AS49" s="300">
        <f t="shared" si="14"/>
        <v>26400</v>
      </c>
      <c r="AT49" s="300">
        <f t="shared" si="14"/>
        <v>0</v>
      </c>
      <c r="AU49" s="300">
        <f t="shared" si="14"/>
        <v>0</v>
      </c>
      <c r="AV49" s="300">
        <f t="shared" si="14"/>
        <v>0</v>
      </c>
      <c r="AW49" s="300">
        <f t="shared" si="14"/>
        <v>26400</v>
      </c>
      <c r="AX49" s="300">
        <f t="shared" si="14"/>
        <v>0</v>
      </c>
      <c r="AY49" s="300">
        <f t="shared" si="14"/>
        <v>0</v>
      </c>
      <c r="AZ49" s="300">
        <f>IF(AZ$42=$E49,SUM(AJ49:$AL49),0)</f>
        <v>0</v>
      </c>
      <c r="BA49" s="300">
        <f>IF(BA$42=$E49,SUM(AK49:$AL49),0)</f>
        <v>13200</v>
      </c>
      <c r="BB49" s="300">
        <f>IF(BB$42=$E49,SUM(AL49:$AL49),0)</f>
        <v>0</v>
      </c>
      <c r="BD49" s="299">
        <f t="shared" si="11"/>
        <v>0</v>
      </c>
    </row>
    <row r="50" spans="1:56" ht="15">
      <c r="A50" s="295" t="s">
        <v>143</v>
      </c>
      <c r="B50" s="254" t="str">
        <f>VLOOKUP(A50,'DFP-Com'!$A$16:$B$50,2,1)</f>
        <v xml:space="preserve">     4.1.a  Staff Compensation*</v>
      </c>
      <c r="C50" s="295" t="s">
        <v>234</v>
      </c>
      <c r="D50" s="234">
        <f>3000*24</f>
        <v>72000</v>
      </c>
      <c r="E50" s="295" t="s">
        <v>199</v>
      </c>
      <c r="G50" s="302"/>
      <c r="H50" s="317"/>
      <c r="I50" s="302">
        <f>3000*3</f>
        <v>9000</v>
      </c>
      <c r="J50" s="302">
        <f aca="true" t="shared" si="18" ref="J50:P50">3000*3</f>
        <v>9000</v>
      </c>
      <c r="K50" s="302">
        <f t="shared" si="18"/>
        <v>9000</v>
      </c>
      <c r="L50" s="302">
        <f t="shared" si="18"/>
        <v>9000</v>
      </c>
      <c r="M50" s="302">
        <f t="shared" si="18"/>
        <v>9000</v>
      </c>
      <c r="N50" s="302">
        <f t="shared" si="18"/>
        <v>9000</v>
      </c>
      <c r="O50" s="302">
        <f t="shared" si="18"/>
        <v>9000</v>
      </c>
      <c r="P50" s="302">
        <f t="shared" si="18"/>
        <v>9000</v>
      </c>
      <c r="Q50" s="302"/>
      <c r="R50" s="302"/>
      <c r="S50" s="302"/>
      <c r="T50" s="302"/>
      <c r="U50" s="302">
        <f t="shared" si="15"/>
        <v>72000</v>
      </c>
      <c r="X50" s="249"/>
      <c r="Y50" s="300"/>
      <c r="Z50" s="300"/>
      <c r="AA50" s="300"/>
      <c r="AB50" s="300"/>
      <c r="AC50" s="300"/>
      <c r="AD50" s="300"/>
      <c r="AE50" s="300"/>
      <c r="AF50" s="300"/>
      <c r="AG50" s="300"/>
      <c r="AH50" s="300"/>
      <c r="AI50" s="300"/>
      <c r="AJ50" s="300"/>
      <c r="AK50" s="300"/>
      <c r="AL50" s="300"/>
      <c r="AM50" s="239"/>
      <c r="AN50" s="300"/>
      <c r="AO50" s="300"/>
      <c r="AP50" s="300"/>
      <c r="AQ50" s="300"/>
      <c r="AR50" s="300"/>
      <c r="AS50" s="300"/>
      <c r="AT50" s="300"/>
      <c r="AU50" s="300"/>
      <c r="AV50" s="300"/>
      <c r="AW50" s="300"/>
      <c r="AX50" s="300"/>
      <c r="AY50" s="300"/>
      <c r="AZ50" s="300"/>
      <c r="BA50" s="300"/>
      <c r="BB50" s="300"/>
      <c r="BD50" s="299"/>
    </row>
    <row r="51" spans="1:56" ht="15">
      <c r="A51" s="295" t="s">
        <v>131</v>
      </c>
      <c r="B51" s="243" t="str">
        <f>VLOOKUP(A51,'DFP-Com'!$A$16:$B$50,2,1)</f>
        <v xml:space="preserve">     1.2.a  TVET</v>
      </c>
      <c r="C51" s="295" t="s">
        <v>206</v>
      </c>
      <c r="D51" s="234">
        <f aca="true" t="shared" si="19" ref="D51">SUM(F51:T51)</f>
        <v>144000</v>
      </c>
      <c r="E51" s="295" t="s">
        <v>199</v>
      </c>
      <c r="G51" s="302"/>
      <c r="H51" s="317">
        <v>0</v>
      </c>
      <c r="I51" s="302">
        <v>12000</v>
      </c>
      <c r="J51" s="302">
        <v>12000</v>
      </c>
      <c r="K51" s="302">
        <v>12000</v>
      </c>
      <c r="L51" s="302">
        <v>12000</v>
      </c>
      <c r="M51" s="302">
        <v>12000</v>
      </c>
      <c r="N51" s="302">
        <v>12000</v>
      </c>
      <c r="O51" s="302">
        <v>12000</v>
      </c>
      <c r="P51" s="302">
        <v>12000</v>
      </c>
      <c r="Q51" s="302">
        <v>12000</v>
      </c>
      <c r="R51" s="302">
        <v>12000</v>
      </c>
      <c r="S51" s="302">
        <v>12000</v>
      </c>
      <c r="T51" s="302">
        <v>12000</v>
      </c>
      <c r="U51" s="302">
        <f t="shared" si="15"/>
        <v>144000</v>
      </c>
      <c r="X51" s="249">
        <f t="shared" si="13"/>
        <v>0</v>
      </c>
      <c r="Y51" s="300">
        <f t="shared" si="13"/>
        <v>0</v>
      </c>
      <c r="Z51" s="300">
        <f t="shared" si="13"/>
        <v>0</v>
      </c>
      <c r="AA51" s="300">
        <f t="shared" si="13"/>
        <v>12000</v>
      </c>
      <c r="AB51" s="300">
        <f t="shared" si="13"/>
        <v>12000</v>
      </c>
      <c r="AC51" s="300">
        <f t="shared" si="13"/>
        <v>12000</v>
      </c>
      <c r="AD51" s="300">
        <f t="shared" si="13"/>
        <v>12000</v>
      </c>
      <c r="AE51" s="300">
        <f t="shared" si="13"/>
        <v>12000</v>
      </c>
      <c r="AF51" s="300">
        <f t="shared" si="13"/>
        <v>12000</v>
      </c>
      <c r="AG51" s="300">
        <f t="shared" si="13"/>
        <v>12000</v>
      </c>
      <c r="AH51" s="300">
        <f t="shared" si="13"/>
        <v>12000</v>
      </c>
      <c r="AI51" s="300">
        <f t="shared" si="13"/>
        <v>12000</v>
      </c>
      <c r="AJ51" s="300">
        <f t="shared" si="13"/>
        <v>12000</v>
      </c>
      <c r="AK51" s="300">
        <f t="shared" si="13"/>
        <v>12000</v>
      </c>
      <c r="AL51" s="300">
        <f t="shared" si="13"/>
        <v>12000</v>
      </c>
      <c r="AM51" s="239"/>
      <c r="AN51" s="300">
        <f t="shared" si="16"/>
        <v>0</v>
      </c>
      <c r="AO51" s="300">
        <f t="shared" si="14"/>
        <v>0</v>
      </c>
      <c r="AP51" s="300">
        <f t="shared" si="14"/>
        <v>0</v>
      </c>
      <c r="AQ51" s="300">
        <f t="shared" si="14"/>
        <v>48000</v>
      </c>
      <c r="AR51" s="300">
        <f t="shared" si="14"/>
        <v>0</v>
      </c>
      <c r="AS51" s="300">
        <f t="shared" si="14"/>
        <v>0</v>
      </c>
      <c r="AT51" s="300">
        <f t="shared" si="14"/>
        <v>0</v>
      </c>
      <c r="AU51" s="300">
        <f t="shared" si="14"/>
        <v>48000</v>
      </c>
      <c r="AV51" s="300">
        <f t="shared" si="14"/>
        <v>0</v>
      </c>
      <c r="AW51" s="300">
        <f t="shared" si="14"/>
        <v>0</v>
      </c>
      <c r="AX51" s="300">
        <f t="shared" si="14"/>
        <v>0</v>
      </c>
      <c r="AY51" s="300">
        <f t="shared" si="14"/>
        <v>48000</v>
      </c>
      <c r="AZ51" s="300">
        <f>IF(AZ$42=$E51,SUM(AJ51:$AL51),0)</f>
        <v>0</v>
      </c>
      <c r="BA51" s="300">
        <f>IF(BA$42=$E51,SUM(AK51:$AL51),0)</f>
        <v>0</v>
      </c>
      <c r="BB51" s="300">
        <f>IF(BB$42=$E51,SUM(AL51:$AL51),0)</f>
        <v>0</v>
      </c>
      <c r="BD51" s="299">
        <f t="shared" si="11"/>
        <v>0</v>
      </c>
    </row>
    <row r="52" spans="7:56" ht="15">
      <c r="G52" s="302"/>
      <c r="H52" s="317"/>
      <c r="I52" s="302"/>
      <c r="J52" s="302"/>
      <c r="K52" s="302"/>
      <c r="L52" s="302"/>
      <c r="M52" s="302"/>
      <c r="N52" s="302"/>
      <c r="O52" s="302"/>
      <c r="P52" s="302"/>
      <c r="Q52" s="302"/>
      <c r="R52" s="302"/>
      <c r="S52" s="302"/>
      <c r="T52" s="302"/>
      <c r="U52" s="302"/>
      <c r="X52" s="238"/>
      <c r="Y52" s="239"/>
      <c r="Z52" s="239"/>
      <c r="AA52" s="239"/>
      <c r="AB52" s="239"/>
      <c r="AC52" s="239"/>
      <c r="AD52" s="239"/>
      <c r="AE52" s="239"/>
      <c r="AF52" s="239"/>
      <c r="AG52" s="239"/>
      <c r="AH52" s="239"/>
      <c r="AI52" s="239"/>
      <c r="AJ52" s="239"/>
      <c r="AK52" s="239"/>
      <c r="AL52" s="239"/>
      <c r="AM52" s="239"/>
      <c r="AN52" s="239"/>
      <c r="AO52" s="239"/>
      <c r="AP52" s="239"/>
      <c r="AQ52" s="239"/>
      <c r="AR52" s="239"/>
      <c r="AS52" s="239"/>
      <c r="AT52" s="239"/>
      <c r="AU52" s="239"/>
      <c r="AV52" s="239"/>
      <c r="AW52" s="239"/>
      <c r="AX52" s="239"/>
      <c r="AY52" s="239"/>
      <c r="AZ52" s="239"/>
      <c r="BA52" s="239"/>
      <c r="BB52" s="239"/>
      <c r="BD52" s="299">
        <f t="shared" si="11"/>
        <v>0</v>
      </c>
    </row>
    <row r="53" spans="1:56" ht="15">
      <c r="A53" s="235" t="s">
        <v>191</v>
      </c>
      <c r="B53" s="235"/>
      <c r="C53" s="235"/>
      <c r="D53" s="235"/>
      <c r="E53" s="235"/>
      <c r="G53" s="302"/>
      <c r="H53" s="317"/>
      <c r="I53" s="302"/>
      <c r="J53" s="302"/>
      <c r="K53" s="302"/>
      <c r="L53" s="302"/>
      <c r="M53" s="302"/>
      <c r="N53" s="302"/>
      <c r="O53" s="302"/>
      <c r="P53" s="302"/>
      <c r="Q53" s="302"/>
      <c r="R53" s="302"/>
      <c r="S53" s="302"/>
      <c r="T53" s="302"/>
      <c r="U53" s="302"/>
      <c r="X53" s="238"/>
      <c r="Y53" s="239"/>
      <c r="Z53" s="239"/>
      <c r="AA53" s="239"/>
      <c r="AB53" s="239"/>
      <c r="AC53" s="239"/>
      <c r="AD53" s="239"/>
      <c r="AE53" s="239"/>
      <c r="AF53" s="239"/>
      <c r="AG53" s="239"/>
      <c r="AH53" s="239"/>
      <c r="AI53" s="239"/>
      <c r="AJ53" s="239"/>
      <c r="AK53" s="239"/>
      <c r="AL53" s="239"/>
      <c r="AM53" s="239"/>
      <c r="AN53" s="239"/>
      <c r="AO53" s="239"/>
      <c r="AP53" s="239"/>
      <c r="AQ53" s="239"/>
      <c r="AR53" s="239"/>
      <c r="AS53" s="239"/>
      <c r="AT53" s="239"/>
      <c r="AU53" s="239"/>
      <c r="AV53" s="239"/>
      <c r="AW53" s="239"/>
      <c r="AX53" s="239"/>
      <c r="AY53" s="239"/>
      <c r="AZ53" s="239"/>
      <c r="BA53" s="239"/>
      <c r="BB53" s="239"/>
      <c r="BD53" s="299">
        <f t="shared" si="11"/>
        <v>0</v>
      </c>
    </row>
    <row r="54" spans="1:56" ht="15">
      <c r="A54" s="295" t="s">
        <v>146</v>
      </c>
      <c r="B54" s="254" t="str">
        <f>VLOOKUP(A54,'DFP-Com'!$A$16:$B$50,2,1)</f>
        <v xml:space="preserve">     4.1.d  Other</v>
      </c>
      <c r="C54" s="295" t="s">
        <v>185</v>
      </c>
      <c r="D54" s="234">
        <v>20000</v>
      </c>
      <c r="G54" s="302">
        <v>1267.82</v>
      </c>
      <c r="H54" s="317">
        <v>2000</v>
      </c>
      <c r="I54" s="302">
        <v>1400</v>
      </c>
      <c r="J54" s="302">
        <v>1400</v>
      </c>
      <c r="K54" s="302">
        <v>1400</v>
      </c>
      <c r="L54" s="302">
        <v>1400</v>
      </c>
      <c r="M54" s="302">
        <v>1400</v>
      </c>
      <c r="N54" s="302">
        <v>1400</v>
      </c>
      <c r="O54" s="302">
        <v>1400</v>
      </c>
      <c r="P54" s="302">
        <v>1400</v>
      </c>
      <c r="Q54" s="302">
        <v>1400</v>
      </c>
      <c r="R54" s="302">
        <v>1400</v>
      </c>
      <c r="S54" s="302">
        <v>1400</v>
      </c>
      <c r="T54" s="302">
        <f>1400-68</f>
        <v>1332</v>
      </c>
      <c r="U54" s="302">
        <f t="shared" si="15"/>
        <v>19999.82</v>
      </c>
      <c r="X54" s="249">
        <f aca="true" t="shared" si="20" ref="X54:AL55">F54</f>
        <v>0</v>
      </c>
      <c r="Y54" s="300">
        <f t="shared" si="20"/>
        <v>1267.82</v>
      </c>
      <c r="Z54" s="300">
        <f t="shared" si="20"/>
        <v>2000</v>
      </c>
      <c r="AA54" s="300">
        <f t="shared" si="20"/>
        <v>1400</v>
      </c>
      <c r="AB54" s="300">
        <f t="shared" si="20"/>
        <v>1400</v>
      </c>
      <c r="AC54" s="300">
        <f t="shared" si="20"/>
        <v>1400</v>
      </c>
      <c r="AD54" s="300">
        <f t="shared" si="20"/>
        <v>1400</v>
      </c>
      <c r="AE54" s="300">
        <f t="shared" si="20"/>
        <v>1400</v>
      </c>
      <c r="AF54" s="300">
        <f t="shared" si="20"/>
        <v>1400</v>
      </c>
      <c r="AG54" s="300">
        <f t="shared" si="20"/>
        <v>1400</v>
      </c>
      <c r="AH54" s="300">
        <f t="shared" si="20"/>
        <v>1400</v>
      </c>
      <c r="AI54" s="300">
        <f t="shared" si="20"/>
        <v>1400</v>
      </c>
      <c r="AJ54" s="300">
        <f t="shared" si="20"/>
        <v>1400</v>
      </c>
      <c r="AK54" s="300">
        <f t="shared" si="20"/>
        <v>1400</v>
      </c>
      <c r="AL54" s="300">
        <f t="shared" si="20"/>
        <v>1332</v>
      </c>
      <c r="AM54" s="239"/>
      <c r="AN54" s="300">
        <f>X54</f>
        <v>0</v>
      </c>
      <c r="AO54" s="300">
        <f aca="true" t="shared" si="21" ref="AO54:BB55">Y54</f>
        <v>1267.82</v>
      </c>
      <c r="AP54" s="300">
        <f t="shared" si="21"/>
        <v>2000</v>
      </c>
      <c r="AQ54" s="300">
        <f t="shared" si="21"/>
        <v>1400</v>
      </c>
      <c r="AR54" s="300">
        <f t="shared" si="21"/>
        <v>1400</v>
      </c>
      <c r="AS54" s="300">
        <f t="shared" si="21"/>
        <v>1400</v>
      </c>
      <c r="AT54" s="300">
        <f t="shared" si="21"/>
        <v>1400</v>
      </c>
      <c r="AU54" s="300">
        <f t="shared" si="21"/>
        <v>1400</v>
      </c>
      <c r="AV54" s="300">
        <f t="shared" si="21"/>
        <v>1400</v>
      </c>
      <c r="AW54" s="300">
        <f t="shared" si="21"/>
        <v>1400</v>
      </c>
      <c r="AX54" s="300">
        <f t="shared" si="21"/>
        <v>1400</v>
      </c>
      <c r="AY54" s="300">
        <f t="shared" si="21"/>
        <v>1400</v>
      </c>
      <c r="AZ54" s="300">
        <f t="shared" si="21"/>
        <v>1400</v>
      </c>
      <c r="BA54" s="300">
        <f t="shared" si="21"/>
        <v>1400</v>
      </c>
      <c r="BB54" s="300">
        <f t="shared" si="21"/>
        <v>1332</v>
      </c>
      <c r="BD54" s="299">
        <f t="shared" si="11"/>
        <v>0</v>
      </c>
    </row>
    <row r="55" spans="1:56" ht="15">
      <c r="A55" s="295" t="s">
        <v>144</v>
      </c>
      <c r="B55" s="254" t="str">
        <f>VLOOKUP(A55,'DFP-Com'!$A$16:$B$50,2,1)</f>
        <v xml:space="preserve">     4.1.b  Travel*</v>
      </c>
      <c r="C55" s="295" t="s">
        <v>186</v>
      </c>
      <c r="D55" s="234">
        <v>35000</v>
      </c>
      <c r="G55" s="302">
        <v>0</v>
      </c>
      <c r="H55" s="317">
        <v>4000</v>
      </c>
      <c r="I55" s="302">
        <v>2500</v>
      </c>
      <c r="J55" s="302">
        <v>2500</v>
      </c>
      <c r="K55" s="302">
        <v>2500</v>
      </c>
      <c r="L55" s="302">
        <v>3500</v>
      </c>
      <c r="M55" s="302">
        <v>2500</v>
      </c>
      <c r="N55" s="302">
        <v>2500</v>
      </c>
      <c r="O55" s="302">
        <v>2500</v>
      </c>
      <c r="P55" s="302">
        <v>2500</v>
      </c>
      <c r="Q55" s="302">
        <v>2500</v>
      </c>
      <c r="R55" s="302">
        <v>2500</v>
      </c>
      <c r="S55" s="302">
        <v>2500</v>
      </c>
      <c r="T55" s="302">
        <v>2500</v>
      </c>
      <c r="U55" s="302">
        <f t="shared" si="15"/>
        <v>35000</v>
      </c>
      <c r="X55" s="249">
        <f t="shared" si="20"/>
        <v>0</v>
      </c>
      <c r="Y55" s="300">
        <f t="shared" si="20"/>
        <v>0</v>
      </c>
      <c r="Z55" s="300">
        <f t="shared" si="20"/>
        <v>4000</v>
      </c>
      <c r="AA55" s="300">
        <f t="shared" si="20"/>
        <v>2500</v>
      </c>
      <c r="AB55" s="300">
        <f t="shared" si="20"/>
        <v>2500</v>
      </c>
      <c r="AC55" s="300">
        <f t="shared" si="20"/>
        <v>2500</v>
      </c>
      <c r="AD55" s="300">
        <f t="shared" si="20"/>
        <v>3500</v>
      </c>
      <c r="AE55" s="300">
        <f t="shared" si="20"/>
        <v>2500</v>
      </c>
      <c r="AF55" s="300">
        <f t="shared" si="20"/>
        <v>2500</v>
      </c>
      <c r="AG55" s="300">
        <f t="shared" si="20"/>
        <v>2500</v>
      </c>
      <c r="AH55" s="300">
        <f t="shared" si="20"/>
        <v>2500</v>
      </c>
      <c r="AI55" s="300">
        <f t="shared" si="20"/>
        <v>2500</v>
      </c>
      <c r="AJ55" s="300">
        <f t="shared" si="20"/>
        <v>2500</v>
      </c>
      <c r="AK55" s="300">
        <f t="shared" si="20"/>
        <v>2500</v>
      </c>
      <c r="AL55" s="300">
        <f t="shared" si="20"/>
        <v>2500</v>
      </c>
      <c r="AM55" s="239"/>
      <c r="AN55" s="300">
        <f>X55</f>
        <v>0</v>
      </c>
      <c r="AO55" s="300">
        <f t="shared" si="21"/>
        <v>0</v>
      </c>
      <c r="AP55" s="300">
        <f t="shared" si="21"/>
        <v>4000</v>
      </c>
      <c r="AQ55" s="300">
        <f t="shared" si="21"/>
        <v>2500</v>
      </c>
      <c r="AR55" s="300">
        <f t="shared" si="21"/>
        <v>2500</v>
      </c>
      <c r="AS55" s="300">
        <f t="shared" si="21"/>
        <v>2500</v>
      </c>
      <c r="AT55" s="300">
        <f t="shared" si="21"/>
        <v>3500</v>
      </c>
      <c r="AU55" s="300">
        <f t="shared" si="21"/>
        <v>2500</v>
      </c>
      <c r="AV55" s="300">
        <f t="shared" si="21"/>
        <v>2500</v>
      </c>
      <c r="AW55" s="300">
        <f t="shared" si="21"/>
        <v>2500</v>
      </c>
      <c r="AX55" s="300">
        <f t="shared" si="21"/>
        <v>2500</v>
      </c>
      <c r="AY55" s="300">
        <f t="shared" si="21"/>
        <v>2500</v>
      </c>
      <c r="AZ55" s="300">
        <f t="shared" si="21"/>
        <v>2500</v>
      </c>
      <c r="BA55" s="300">
        <f t="shared" si="21"/>
        <v>2500</v>
      </c>
      <c r="BB55" s="300">
        <f t="shared" si="21"/>
        <v>2500</v>
      </c>
      <c r="BD55" s="299">
        <f t="shared" si="11"/>
        <v>0</v>
      </c>
    </row>
    <row r="56" spans="1:38" s="245" customFormat="1" ht="15">
      <c r="A56" s="246"/>
      <c r="D56" s="247"/>
      <c r="H56" s="318"/>
      <c r="U56" s="248"/>
      <c r="V56" s="295"/>
      <c r="W56" s="295"/>
      <c r="X56" s="242"/>
      <c r="Y56" s="242"/>
      <c r="Z56" s="242"/>
      <c r="AA56" s="242"/>
      <c r="AB56" s="242"/>
      <c r="AC56" s="242"/>
      <c r="AD56" s="242"/>
      <c r="AE56" s="242"/>
      <c r="AF56" s="242"/>
      <c r="AG56" s="242"/>
      <c r="AH56" s="242"/>
      <c r="AI56" s="242"/>
      <c r="AJ56" s="242"/>
      <c r="AK56" s="242"/>
      <c r="AL56" s="242"/>
    </row>
    <row r="57" spans="2:24" ht="15">
      <c r="B57" s="238" t="s">
        <v>210</v>
      </c>
      <c r="D57" s="249">
        <f>SUM(D4:D55)</f>
        <v>23584570</v>
      </c>
      <c r="E57" s="238"/>
      <c r="F57" s="238"/>
      <c r="G57" s="238"/>
      <c r="H57" s="319"/>
      <c r="I57" s="238"/>
      <c r="J57" s="238"/>
      <c r="K57" s="238"/>
      <c r="L57" s="238"/>
      <c r="M57" s="238"/>
      <c r="N57" s="238"/>
      <c r="O57" s="238"/>
      <c r="P57" s="238"/>
      <c r="Q57" s="238"/>
      <c r="R57" s="238"/>
      <c r="T57" s="238"/>
      <c r="U57" s="238"/>
      <c r="X57" s="299" t="s">
        <v>104</v>
      </c>
    </row>
    <row r="58" spans="4:24" ht="15">
      <c r="D58" s="252"/>
      <c r="E58" s="253"/>
      <c r="F58" s="253"/>
      <c r="G58" s="253"/>
      <c r="H58" s="318"/>
      <c r="I58" s="253"/>
      <c r="J58" s="253"/>
      <c r="K58" s="253"/>
      <c r="L58" s="253"/>
      <c r="M58" s="253"/>
      <c r="N58" s="253"/>
      <c r="O58" s="253"/>
      <c r="P58" s="253"/>
      <c r="Q58" s="253"/>
      <c r="R58" s="253"/>
      <c r="S58" s="253"/>
      <c r="T58" s="253"/>
      <c r="U58" s="253"/>
      <c r="X58" s="299"/>
    </row>
    <row r="59" spans="1:4" ht="15">
      <c r="A59" s="295" t="s">
        <v>128</v>
      </c>
      <c r="B59" s="566" t="str">
        <f>VLOOKUP(A59,'DFP-Com'!$A$16:$B$50,2,1)</f>
        <v xml:space="preserve">     1.1.a  Education Project Implementation Contract</v>
      </c>
      <c r="C59" s="566"/>
      <c r="D59" s="234">
        <f>SUMIF($A$4:$A$56,"="&amp;A59,$D$4:$D$56)</f>
        <v>8700000</v>
      </c>
    </row>
    <row r="60" spans="1:4" ht="15">
      <c r="A60" s="295" t="s">
        <v>129</v>
      </c>
      <c r="B60" s="566" t="str">
        <f>VLOOKUP(A60,'DFP-Com'!$A$16:$B$50,2,1)</f>
        <v xml:space="preserve">     1.1.b  Grants to Universities for Teacher Training (Diplomados)</v>
      </c>
      <c r="C60" s="566"/>
      <c r="D60" s="234">
        <f>SUMIF($A$4:$A$56,"="&amp;A60,$D$4:$D$56)</f>
        <v>3000000</v>
      </c>
    </row>
    <row r="61" spans="1:4" ht="15">
      <c r="A61" s="295" t="s">
        <v>131</v>
      </c>
      <c r="B61" s="566" t="str">
        <f>VLOOKUP(A61,'DFP-Com'!$A$16:$B$50,2,1)</f>
        <v xml:space="preserve">     1.2.a  TVET</v>
      </c>
      <c r="C61" s="566"/>
      <c r="D61" s="234">
        <f>SUMIF($A$4:$A$56,"="&amp;A61,$D$4:$D$56)</f>
        <v>4144000</v>
      </c>
    </row>
    <row r="62" spans="1:4" ht="15">
      <c r="A62" s="295" t="s">
        <v>132</v>
      </c>
      <c r="B62" s="566" t="str">
        <f>VLOOKUP(A62,'DFP-Com'!$A$16:$B$50,2,1)</f>
        <v xml:space="preserve">     1.3.a  Education Project Implementation Contract</v>
      </c>
      <c r="C62" s="566"/>
      <c r="D62" s="234">
        <f>SUMIF($A$4:$A$56,"="&amp;A62,$D$4:$D$56)</f>
        <v>2500000</v>
      </c>
    </row>
    <row r="63" spans="1:4" ht="15">
      <c r="A63" s="295" t="s">
        <v>133</v>
      </c>
      <c r="B63" s="566" t="str">
        <f>VLOOKUP(A63,'DFP-Com'!$A$16:$B$50,2,1)</f>
        <v xml:space="preserve">     1.3.b  Education Project Coordination team*</v>
      </c>
      <c r="C63" s="566"/>
      <c r="D63" s="234">
        <f>SUMIF($A$4:$A$56,"="&amp;A63,$D$4:$D$56)</f>
        <v>178400</v>
      </c>
    </row>
    <row r="64" spans="2:6" ht="15">
      <c r="B64" s="304" t="s">
        <v>227</v>
      </c>
      <c r="C64" s="304"/>
      <c r="D64" s="305">
        <f>SUM(D59:D63)</f>
        <v>18522400</v>
      </c>
      <c r="E64" s="241">
        <f>'QFR - B'!H14</f>
        <v>19346000</v>
      </c>
      <c r="F64" s="299">
        <f>E64-D64</f>
        <v>823600</v>
      </c>
    </row>
    <row r="65" spans="1:4" ht="15">
      <c r="A65" s="295" t="s">
        <v>135</v>
      </c>
      <c r="B65" s="566" t="str">
        <f>VLOOKUP(A65,'DFP-Com'!$A$16:$B$50,2,1)</f>
        <v xml:space="preserve">     2.1.a  Tax and Customs</v>
      </c>
      <c r="C65" s="566"/>
      <c r="D65" s="234">
        <f>SUMIF($A$4:$A$56,"="&amp;A65,$D$4:$D$56)</f>
        <v>384000</v>
      </c>
    </row>
    <row r="66" spans="2:6" ht="15">
      <c r="B66" s="304" t="s">
        <v>228</v>
      </c>
      <c r="C66" s="304"/>
      <c r="D66" s="306">
        <f>D65</f>
        <v>384000</v>
      </c>
      <c r="E66" s="241">
        <f>'QFR - B'!H20</f>
        <v>800000</v>
      </c>
      <c r="F66" s="299">
        <f>E66-D66</f>
        <v>416000</v>
      </c>
    </row>
    <row r="67" spans="1:4" ht="15">
      <c r="A67" s="295" t="s">
        <v>136</v>
      </c>
      <c r="B67" s="566" t="str">
        <f>VLOOKUP(A67,'DFP-Com'!$A$16:$B$50,2,1)</f>
        <v xml:space="preserve">     2.2.a  Advisors</v>
      </c>
      <c r="C67" s="566"/>
      <c r="D67" s="234">
        <f>SUMIF($A$4:$A$56,"="&amp;A67,$D$4:$D$56)</f>
        <v>728750</v>
      </c>
    </row>
    <row r="68" spans="1:4" ht="15">
      <c r="A68" s="295" t="s">
        <v>137</v>
      </c>
      <c r="B68" s="566" t="str">
        <f>VLOOKUP(A68,'DFP-Com'!$A$16:$B$50,2,1)</f>
        <v xml:space="preserve">     2.2.b  Feasiblity Studies/  Transaction Advisory Services</v>
      </c>
      <c r="C68" s="566"/>
      <c r="D68" s="234">
        <f>SUMIF($A$4:$A$56,"="&amp;A68,$D$4:$D$56)</f>
        <v>1650000</v>
      </c>
    </row>
    <row r="69" spans="2:6" ht="15">
      <c r="B69" s="304" t="s">
        <v>229</v>
      </c>
      <c r="C69" s="304"/>
      <c r="D69" s="306">
        <f>SUM(D67:D68)</f>
        <v>2378750</v>
      </c>
      <c r="E69" s="241">
        <f>'QFR - B'!H21</f>
        <v>3560000</v>
      </c>
      <c r="F69" s="299">
        <f>E69-D69</f>
        <v>1181250</v>
      </c>
    </row>
    <row r="70" spans="1:4" ht="15">
      <c r="A70" s="295" t="s">
        <v>139</v>
      </c>
      <c r="B70" s="566" t="str">
        <f>VLOOKUP(A70,'DFP-Com'!$A$16:$B$50,2,1)</f>
        <v xml:space="preserve">     3.1.a  Student Assessment</v>
      </c>
      <c r="C70" s="566"/>
      <c r="D70" s="234">
        <f>SUMIF($A$4:$A$56,"="&amp;A70,$D$4:$D$56)</f>
        <v>706400</v>
      </c>
    </row>
    <row r="71" spans="1:4" ht="15">
      <c r="A71" s="295" t="s">
        <v>140</v>
      </c>
      <c r="B71" s="566" t="str">
        <f>VLOOKUP(A71,'DFP-Com'!$A$16:$B$50,2,1)</f>
        <v xml:space="preserve">     3.1.b  Teacher Evaluations</v>
      </c>
      <c r="C71" s="566"/>
      <c r="D71" s="234">
        <f>SUMIF($A$4:$A$56,"="&amp;A71,$D$4:$D$56)</f>
        <v>300000</v>
      </c>
    </row>
    <row r="72" spans="1:4" ht="15">
      <c r="A72" s="295" t="s">
        <v>141</v>
      </c>
      <c r="B72" s="566" t="str">
        <f>VLOOKUP(A72,'DFP-Com'!$A$16:$B$50,2,1)</f>
        <v xml:space="preserve">     3.1.c  Voc Ed Tracer Studies</v>
      </c>
      <c r="C72" s="566"/>
      <c r="D72" s="234">
        <f>SUMIF($A$4:$A$56,"="&amp;A72,$D$4:$D$56)</f>
        <v>300000</v>
      </c>
    </row>
    <row r="73" spans="1:4" ht="15">
      <c r="A73" s="295" t="s">
        <v>142</v>
      </c>
      <c r="B73" s="566" t="str">
        <f>VLOOKUP(A73,'DFP-Com'!$A$16:$B$50,2,1)</f>
        <v xml:space="preserve">     3.1 d Other</v>
      </c>
      <c r="C73" s="566"/>
      <c r="D73" s="234">
        <f>SUMIF($A$4:$A$56,"="&amp;A73,$D$4:$D$56)</f>
        <v>200000</v>
      </c>
    </row>
    <row r="74" spans="2:6" ht="15">
      <c r="B74" s="304" t="s">
        <v>209</v>
      </c>
      <c r="C74" s="304"/>
      <c r="D74" s="306">
        <f>SUM(D70:D73)</f>
        <v>1506400</v>
      </c>
      <c r="E74" s="241">
        <f>'QFR - B'!H24</f>
        <v>1431000</v>
      </c>
      <c r="F74" s="299">
        <f>E74-D74</f>
        <v>-75400</v>
      </c>
    </row>
    <row r="75" spans="1:4" ht="15">
      <c r="A75" s="295" t="s">
        <v>143</v>
      </c>
      <c r="B75" s="566" t="str">
        <f>VLOOKUP(A75,'DFP-Com'!$A$16:$B$50,2,1)</f>
        <v xml:space="preserve">     4.1.a  Staff Compensation*</v>
      </c>
      <c r="C75" s="566"/>
      <c r="D75" s="234">
        <f>SUMIF($A$4:$A$56,"="&amp;A75,$D$4:$D$56)</f>
        <v>636520</v>
      </c>
    </row>
    <row r="76" spans="1:4" ht="15">
      <c r="A76" s="295" t="s">
        <v>144</v>
      </c>
      <c r="B76" s="566" t="str">
        <f>VLOOKUP(A76,'DFP-Com'!$A$16:$B$50,2,1)</f>
        <v xml:space="preserve">     4.1.b  Travel*</v>
      </c>
      <c r="C76" s="566"/>
      <c r="D76" s="234">
        <f>SUMIF($A$4:$A$56,"="&amp;A76,$D$4:$D$56)</f>
        <v>35000</v>
      </c>
    </row>
    <row r="77" spans="1:4" ht="15">
      <c r="A77" s="295" t="s">
        <v>145</v>
      </c>
      <c r="B77" s="566" t="str">
        <f>VLOOKUP(A77,'DFP-Com'!$A$16:$B$50,2,1)</f>
        <v xml:space="preserve">     4.1.c  Audit</v>
      </c>
      <c r="C77" s="566"/>
      <c r="D77" s="234">
        <f>SUMIF($A$4:$A$56,"="&amp;A77,$D$4:$D$56)</f>
        <v>90000</v>
      </c>
    </row>
    <row r="78" spans="1:4" ht="15">
      <c r="A78" s="295" t="s">
        <v>146</v>
      </c>
      <c r="B78" s="566" t="str">
        <f>VLOOKUP(A78,'DFP-Com'!$A$16:$B$50,2,1)</f>
        <v xml:space="preserve">     4.1.d  Other</v>
      </c>
      <c r="C78" s="566"/>
      <c r="D78" s="234">
        <f>SUMIF($A$4:$A$56,"="&amp;A78,$D$4:$D$56)</f>
        <v>31500</v>
      </c>
    </row>
    <row r="79" spans="2:6" ht="15">
      <c r="B79" s="304" t="s">
        <v>230</v>
      </c>
      <c r="C79" s="304"/>
      <c r="D79" s="306">
        <f>SUM(D75:D78)</f>
        <v>793020</v>
      </c>
      <c r="E79" s="241">
        <f>'QFR - B'!H27</f>
        <v>1060500</v>
      </c>
      <c r="F79" s="299">
        <f>E79-D79</f>
        <v>267480</v>
      </c>
    </row>
  </sheetData>
  <autoFilter ref="A3:BD38"/>
  <mergeCells count="16">
    <mergeCell ref="B75:C75"/>
    <mergeCell ref="B76:C76"/>
    <mergeCell ref="B77:C77"/>
    <mergeCell ref="B78:C78"/>
    <mergeCell ref="B67:C67"/>
    <mergeCell ref="B68:C68"/>
    <mergeCell ref="B70:C70"/>
    <mergeCell ref="B71:C71"/>
    <mergeCell ref="B72:C72"/>
    <mergeCell ref="B73:C73"/>
    <mergeCell ref="B65:C65"/>
    <mergeCell ref="B59:C59"/>
    <mergeCell ref="B60:C60"/>
    <mergeCell ref="B61:C61"/>
    <mergeCell ref="B62:C62"/>
    <mergeCell ref="B63:C63"/>
  </mergeCells>
  <printOptions/>
  <pageMargins left="0.7" right="0.7" top="0.75" bottom="0.75" header="0.3" footer="0.3"/>
  <pageSetup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ThresholdDocs" ma:contentTypeID="0x01010060F0C3B9C1A6634EB9ABC54E876D711E003DCEA2CA0D72C4489A479CA46ABC2FD4" ma:contentTypeVersion="11" ma:contentTypeDescription="" ma:contentTypeScope="" ma:versionID="4fea394353aa98332856157fb3b026c7">
  <xsd:schema xmlns:xsd="http://www.w3.org/2001/XMLSchema" xmlns:xs="http://www.w3.org/2001/XMLSchema" xmlns:p="http://schemas.microsoft.com/office/2006/metadata/properties" xmlns:ns2="133de3ae-5bb8-4cbb-9752-c1040d721e37" xmlns:ns3="c6aa829a-de30-4eeb-a917-5f1e16f11f75" xmlns:ns4="d3b91ed5-3f36-4885-8f16-366304d6a523" targetNamespace="http://schemas.microsoft.com/office/2006/metadata/properties" ma:root="true" ma:fieldsID="3d40a0d8e27d163d789eaf5eece8350e" ns2:_="" ns3:_="" ns4:_="">
    <xsd:import namespace="133de3ae-5bb8-4cbb-9752-c1040d721e37"/>
    <xsd:import namespace="c6aa829a-de30-4eeb-a917-5f1e16f11f75"/>
    <xsd:import namespace="d3b91ed5-3f36-4885-8f16-366304d6a523"/>
    <xsd:element name="properties">
      <xsd:complexType>
        <xsd:sequence>
          <xsd:element name="documentManagement">
            <xsd:complexType>
              <xsd:all>
                <xsd:element ref="ns2:Country1" minOccurs="0"/>
                <xsd:element ref="ns3:Phase" minOccurs="0"/>
                <xsd:element ref="ns3:SubPhase" minOccurs="0"/>
                <xsd:element ref="ns2:FY" minOccurs="0"/>
                <xsd:element ref="ns2:ReviewType" minOccurs="0"/>
                <xsd:element ref="ns2:DocumentStatus" minOccurs="0"/>
                <xsd:element ref="ns3:Project" minOccurs="0"/>
                <xsd:element ref="ns3:Activity" minOccurs="0"/>
                <xsd:element ref="ns3:DocType" minOccurs="0"/>
                <xsd:element ref="ns3:SubDocType" minOccurs="0"/>
                <xsd:element ref="ns2:PracticeUnit" minOccurs="0"/>
                <xsd:element ref="ns2:SendTo" minOccurs="0"/>
                <xsd:element ref="ns2:AggregatedComments"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3de3ae-5bb8-4cbb-9752-c1040d721e37" elementFormDefault="qualified">
    <xsd:import namespace="http://schemas.microsoft.com/office/2006/documentManagement/types"/>
    <xsd:import namespace="http://schemas.microsoft.com/office/infopath/2007/PartnerControls"/>
    <xsd:element name="Country1" ma:index="1" nillable="true" ma:displayName="Country" ma:default="Guatemala" ma:format="Dropdown" ma:internalName="Country1">
      <xsd:simpleType>
        <xsd:restriction base="dms:Choice">
          <xsd:enumeration value="Guatemala"/>
          <xsd:enumeration value="Honduras"/>
        </xsd:restriction>
      </xsd:simpleType>
    </xsd:element>
    <xsd:element name="FY" ma:index="4" nillable="true" ma:displayName="FY" ma:default="2017" ma:format="Dropdown" ma:internalName="FY">
      <xsd:simpleType>
        <xsd:restriction base="dms:Choice">
          <xsd:enumeration value="2014"/>
          <xsd:enumeration value="2015"/>
          <xsd:enumeration value="2016"/>
          <xsd:enumeration value="2017"/>
          <xsd:enumeration value="2018"/>
          <xsd:enumeration value="2019"/>
          <xsd:enumeration value="2020"/>
          <xsd:enumeration value="2021"/>
          <xsd:enumeration value="2022"/>
        </xsd:restriction>
      </xsd:simpleType>
    </xsd:element>
    <xsd:element name="ReviewType" ma:index="5" nillable="true" ma:displayName="ReviewType" ma:format="Dropdown" ma:internalName="ReviewType">
      <xsd:simpleType>
        <xsd:restriction base="dms:Choice">
          <xsd:enumeration value="No Objection"/>
          <xsd:enumeration value="Technical Review"/>
        </xsd:restriction>
      </xsd:simpleType>
    </xsd:element>
    <xsd:element name="DocumentStatus" ma:index="6" nillable="true" ma:displayName="DocumentStatus" ma:default="Pending" ma:format="Dropdown" ma:internalName="DocumentStatus">
      <xsd:simpleType>
        <xsd:restriction base="dms:Choice">
          <xsd:enumeration value="Pending"/>
          <xsd:enumeration value="Clear"/>
          <xsd:enumeration value="Object"/>
          <xsd:enumeration value="Reviewed"/>
          <xsd:enumeration value="Deferred"/>
        </xsd:restriction>
      </xsd:simpleType>
    </xsd:element>
    <xsd:element name="PracticeUnit" ma:index="11" nillable="true" ma:displayName="PracticeUnit" ma:internalName="PracticeUnit">
      <xsd:complexType>
        <xsd:complexContent>
          <xsd:extension base="dms:MultiChoice">
            <xsd:sequence>
              <xsd:element name="Value" maxOccurs="unbounded" minOccurs="0" nillable="true">
                <xsd:simpleType>
                  <xsd:restriction base="dms:Choice">
                    <xsd:enumeration value="ADMN"/>
                    <xsd:enumeration value="AG"/>
                    <xsd:enumeration value="COMMS"/>
                    <xsd:enumeration value="ECON"/>
                    <xsd:enumeration value="EPG"/>
                    <xsd:enumeration value="ESP"/>
                    <xsd:enumeration value="FA"/>
                    <xsd:enumeration value="FIT"/>
                    <xsd:enumeration value="GSI"/>
                    <xsd:enumeration value="HCD"/>
                    <xsd:enumeration value="M&amp;E"/>
                    <xsd:enumeration value="OGC"/>
                    <xsd:enumeration value="PEPFAR"/>
                    <xsd:enumeration value="PRLP"/>
                    <xsd:enumeration value="PROC"/>
                    <xsd:enumeration value="TVS"/>
                    <xsd:enumeration value="WSI"/>
                    <xsd:enumeration value="ALL"/>
                    <xsd:enumeration value="NONE"/>
                  </xsd:restriction>
                </xsd:simpleType>
              </xsd:element>
            </xsd:sequence>
          </xsd:extension>
        </xsd:complexContent>
      </xsd:complexType>
    </xsd:element>
    <xsd:element name="SendTo" ma:index="12" nillable="true" ma:displayName="SendTo" ma:default="--Choose One--" ma:format="Dropdown" ma:internalName="SendTo">
      <xsd:simpleType>
        <xsd:restriction base="dms:Choice">
          <xsd:enumeration value="--Choose One--"/>
          <xsd:enumeration value="Program Ops"/>
          <xsd:enumeration value="Threshold Docs"/>
        </xsd:restriction>
      </xsd:simpleType>
    </xsd:element>
    <xsd:element name="AggregatedComments" ma:index="13" nillable="true" ma:displayName="AggregatedComments" ma:internalName="Aggregated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6aa829a-de30-4eeb-a917-5f1e16f11f75" elementFormDefault="qualified">
    <xsd:import namespace="http://schemas.microsoft.com/office/2006/documentManagement/types"/>
    <xsd:import namespace="http://schemas.microsoft.com/office/infopath/2007/PartnerControls"/>
    <xsd:element name="Phase" ma:index="2" nillable="true" ma:displayName="Phase" ma:list="{40D30680-88E6-4E2D-B67E-CD876C42E85B}" ma:internalName="Phase" ma:showField="Title" ma:web="67c557b8-b921-471e-9697-a5b1256e8d40">
      <xsd:simpleType>
        <xsd:restriction base="dms:Lookup"/>
      </xsd:simpleType>
    </xsd:element>
    <xsd:element name="SubPhase" ma:index="3" nillable="true" ma:displayName="SubPhase" ma:list="{22140E0E-36AA-4C33-9A36-330CFCE54E87}" ma:internalName="SubPhase" ma:showField="Level1" ma:web="67c557b8-b921-471e-9697-a5b1256e8d40">
      <xsd:simpleType>
        <xsd:restriction base="dms:Lookup"/>
      </xsd:simpleType>
    </xsd:element>
    <xsd:element name="Project" ma:index="7" nillable="true" ma:displayName="Project" ma:list="{40D30680-88E6-4E2D-B67E-CD876C42E85B}" ma:internalName="Project" ma:showField="Title" ma:web="67c557b8-b921-471e-9697-a5b1256e8d40">
      <xsd:simpleType>
        <xsd:restriction base="dms:Lookup"/>
      </xsd:simpleType>
    </xsd:element>
    <xsd:element name="Activity" ma:index="8" nillable="true" ma:displayName="Activity" ma:list="{22140E0E-36AA-4C33-9A36-330CFCE54E87}" ma:internalName="Activity" ma:showField="Level1" ma:web="67c557b8-b921-471e-9697-a5b1256e8d40">
      <xsd:simpleType>
        <xsd:restriction base="dms:Lookup"/>
      </xsd:simpleType>
    </xsd:element>
    <xsd:element name="DocType" ma:index="9" nillable="true" ma:displayName="DocType" ma:list="{40D30680-88E6-4E2D-B67E-CD876C42E85B}" ma:internalName="DocType" ma:showField="Title" ma:web="67c557b8-b921-471e-9697-a5b1256e8d40">
      <xsd:simpleType>
        <xsd:restriction base="dms:Lookup"/>
      </xsd:simpleType>
    </xsd:element>
    <xsd:element name="SubDocType" ma:index="10" nillable="true" ma:displayName="SubDocType" ma:list="{22140E0E-36AA-4C33-9A36-330CFCE54E87}" ma:internalName="SubDocType" ma:showField="Level1" ma:web="67c557b8-b921-471e-9697-a5b1256e8d40">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d3b91ed5-3f36-4885-8f16-366304d6a523" elementFormDefault="qualified">
    <xsd:import namespace="http://schemas.microsoft.com/office/2006/documentManagement/types"/>
    <xsd:import namespace="http://schemas.microsoft.com/office/infopath/2007/PartnerControls"/>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ggregatedComments xmlns="133de3ae-5bb8-4cbb-9752-c1040d721e37">&lt;div&gt;&lt;/div&gt;</AggregatedComments>
    <Country1 xmlns="133de3ae-5bb8-4cbb-9752-c1040d721e37">Guatemala</Country1>
    <PracticeUnit xmlns="133de3ae-5bb8-4cbb-9752-c1040d721e37">
      <Value>FA</Value>
    </PracticeUnit>
    <ReviewType xmlns="133de3ae-5bb8-4cbb-9752-c1040d721e37">Technical Review</ReviewType>
    <FY xmlns="133de3ae-5bb8-4cbb-9752-c1040d721e37">2017</FY>
    <DocumentStatus xmlns="133de3ae-5bb8-4cbb-9752-c1040d721e37">Pending</DocumentStatus>
    <_dlc_DocId xmlns="d3b91ed5-3f36-4885-8f16-366304d6a523">ZNSTWXDCAFYN-217-4</_dlc_DocId>
    <_dlc_DocIdUrl xmlns="d3b91ed5-3f36-4885-8f16-366304d6a523">
      <Url>http://intranet.mcc.gov/department/DPE/Team/POL_CPI/guatemala1/_layouts/DocIdRedir.aspx?ID=ZNSTWXDCAFYN-217-4</Url>
      <Description>ZNSTWXDCAFYN-217-4</Description>
    </_dlc_DocIdUrl>
    <SubDocType xmlns="c6aa829a-de30-4eeb-a917-5f1e16f11f75" xsi:nil="true"/>
    <Activity xmlns="c6aa829a-de30-4eeb-a917-5f1e16f11f75" xsi:nil="true"/>
    <DocType xmlns="c6aa829a-de30-4eeb-a917-5f1e16f11f75" xsi:nil="true"/>
    <Phase xmlns="c6aa829a-de30-4eeb-a917-5f1e16f11f75" xsi:nil="true"/>
    <Project xmlns="c6aa829a-de30-4eeb-a917-5f1e16f11f75" xsi:nil="true"/>
    <SubPhase xmlns="c6aa829a-de30-4eeb-a917-5f1e16f11f75" xsi:nil="true"/>
    <SendTo xmlns="133de3ae-5bb8-4cbb-9752-c1040d721e37">--Choose One--</SendTo>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6C1C87B-2292-46AA-AF9B-7AA0FD922DE1}">
  <ds:schemaRefs>
    <ds:schemaRef ds:uri="http://schemas.microsoft.com/sharepoint/v3/contenttype/forms"/>
  </ds:schemaRefs>
</ds:datastoreItem>
</file>

<file path=customXml/itemProps2.xml><?xml version="1.0" encoding="utf-8"?>
<ds:datastoreItem xmlns:ds="http://schemas.openxmlformats.org/officeDocument/2006/customXml" ds:itemID="{1C7308B3-4904-454B-9FE5-211FFF23EF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3de3ae-5bb8-4cbb-9752-c1040d721e37"/>
    <ds:schemaRef ds:uri="c6aa829a-de30-4eeb-a917-5f1e16f11f75"/>
    <ds:schemaRef ds:uri="d3b91ed5-3f36-4885-8f16-366304d6a5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A3C046C-33C0-43F6-B7B3-4A615857768F}">
  <ds:schemaRefs>
    <ds:schemaRef ds:uri="http://purl.org/dc/terms/"/>
    <ds:schemaRef ds:uri="http://schemas.microsoft.com/office/2006/documentManagement/types"/>
    <ds:schemaRef ds:uri="d3b91ed5-3f36-4885-8f16-366304d6a523"/>
    <ds:schemaRef ds:uri="133de3ae-5bb8-4cbb-9752-c1040d721e37"/>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c6aa829a-de30-4eeb-a917-5f1e16f11f75"/>
    <ds:schemaRef ds:uri="http://www.w3.org/XML/1998/namespace"/>
    <ds:schemaRef ds:uri="http://purl.org/dc/dcmitype/"/>
  </ds:schemaRefs>
</ds:datastoreItem>
</file>

<file path=customXml/itemProps4.xml><?xml version="1.0" encoding="utf-8"?>
<ds:datastoreItem xmlns:ds="http://schemas.openxmlformats.org/officeDocument/2006/customXml" ds:itemID="{138D9C3E-8C92-4208-8A5B-5D97F1107407}">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Wingle, John F (DPE/POL-CPI)</dc:creator>
  <cp:keywords/>
  <dc:description/>
  <cp:lastModifiedBy>Josué Ricart</cp:lastModifiedBy>
  <cp:lastPrinted>2019-09-11T17:36:31Z</cp:lastPrinted>
  <dcterms:created xsi:type="dcterms:W3CDTF">2016-05-12T16:21:20Z</dcterms:created>
  <dcterms:modified xsi:type="dcterms:W3CDTF">2021-12-21T03:23:12Z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082eae01-d6a2-4991-94c0-3e83e35649f4</vt:lpwstr>
  </property>
  <property fmtid="{D5CDD505-2E9C-101B-9397-08002B2CF9AE}" pid="3" name="ContentTypeId">
    <vt:lpwstr>0x01010060F0C3B9C1A6634EB9ABC54E876D711E003DCEA2CA0D72C4489A479CA46ABC2FD4</vt:lpwstr>
  </property>
</Properties>
</file>