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3040" windowHeight="8970" activeTab="1"/>
  </bookViews>
  <sheets>
    <sheet name="DFP-Com" sheetId="1" r:id="rId1"/>
    <sheet name="DFP-CASH" sheetId="2" r:id="rId2"/>
    <sheet name="QFR - A" sheetId="3" r:id="rId3"/>
    <sheet name="QFR - B" sheetId="4" r:id="rId4"/>
    <sheet name="THP DR" sheetId="5" r:id="rId5"/>
    <sheet name="Contract level" sheetId="6" state="hidden" r:id="rId6"/>
    <sheet name="Error checks" sheetId="7" state="hidden" r:id="rId7"/>
    <sheet name="Historico" sheetId="9" state="hidden" r:id="rId8"/>
  </sheets>
  <externalReferences>
    <externalReference r:id="rId11"/>
  </externalReferences>
  <definedNames>
    <definedName name="_xlnm._FilterDatabase" localSheetId="5" hidden="1">'Contract level'!$A$3:$BO$135</definedName>
    <definedName name="_xlnm._FilterDatabase" localSheetId="7" hidden="1">'Historico'!$A$3:$BD$38</definedName>
    <definedName name="_xlnm.Print_Area" localSheetId="1">'DFP-CASH'!$B$11:$T$54</definedName>
    <definedName name="_xlnm.Print_Area" localSheetId="0">'DFP-Com'!$B$9:$T$52</definedName>
    <definedName name="ScheduleA" localSheetId="7">#REF!</definedName>
    <definedName name="ScheduleA">#REF!</definedName>
    <definedName name="ScheduleB" localSheetId="7">#REF!</definedName>
    <definedName name="ScheduleB">#REF!</definedName>
    <definedName name="ScheduleF" localSheetId="7">#REF!</definedName>
    <definedName name="ScheduleF">#REF!</definedName>
  </definedNames>
  <calcPr calcId="171027"/>
  <extLst>
    <ext xmlns:x15="http://schemas.microsoft.com/office/spreadsheetml/2010/11/main" xmlns="http://schemas.openxmlformats.org/spreadsheetml/2006/main" uri="{140A7094-0E35-4892-8432-C4D2E57EDEB5}">
      <x15:workbookPr chartTrackingRefBase="1"/>
    </ext>
  </extLst>
</workbook>
</file>

<file path=xl/comments6.xml><?xml version="1.0" encoding="utf-8"?>
<comments xmlns="http://schemas.openxmlformats.org/spreadsheetml/2006/main">
  <authors>
    <author>Josue Andreé Ricart Vásquez</author>
  </authors>
  <commentList>
    <comment ref="C4" authorId="0">
      <text>
        <r>
          <rPr>
            <b/>
            <sz val="9"/>
            <rFont val="Tahoma"/>
            <family val="2"/>
          </rPr>
          <t>Josue Andreé Ricart Vásquez:</t>
        </r>
        <r>
          <rPr>
            <sz val="9"/>
            <rFont val="Tahoma"/>
            <family val="2"/>
          </rPr>
          <t xml:space="preserve">
FHI</t>
        </r>
      </text>
    </comment>
    <comment ref="C6" authorId="0">
      <text>
        <r>
          <rPr>
            <b/>
            <sz val="9"/>
            <rFont val="Tahoma"/>
            <family val="2"/>
          </rPr>
          <t>Josue Andreé Ricart Vásquez:</t>
        </r>
        <r>
          <rPr>
            <sz val="9"/>
            <rFont val="Tahoma"/>
            <family val="2"/>
          </rPr>
          <t xml:space="preserve">
Universidades Programas de Formación</t>
        </r>
      </text>
    </comment>
    <comment ref="D6" authorId="0">
      <text>
        <r>
          <rPr>
            <b/>
            <sz val="9"/>
            <rFont val="Tahoma"/>
            <family val="2"/>
          </rPr>
          <t>Josue Andreé Ricart Vásquez:</t>
        </r>
        <r>
          <rPr>
            <sz val="9"/>
            <rFont val="Tahoma"/>
            <family val="2"/>
          </rPr>
          <t xml:space="preserve">
Cambia de 3M a 4M ya *****
ADJUDICADO***
UPANA 1,185,760.00
INTERNACIONES 1,866,155.00
UNIVERSIDAD DEL VALLE 972,082.83</t>
        </r>
      </text>
    </comment>
    <comment ref="C17" authorId="0">
      <text>
        <r>
          <rPr>
            <b/>
            <sz val="9"/>
            <rFont val="Tahoma"/>
            <family val="2"/>
          </rPr>
          <t>Josue Andreé Ricart Vásquez:</t>
        </r>
        <r>
          <rPr>
            <sz val="9"/>
            <rFont val="Tahoma"/>
            <family val="2"/>
          </rPr>
          <t xml:space="preserve">
Firma Consultora para la Revisión de dos carreras y creación de dos nuevas ENCA</t>
        </r>
      </text>
    </comment>
    <comment ref="D17" authorId="0">
      <text>
        <r>
          <rPr>
            <b/>
            <sz val="9"/>
            <rFont val="Tahoma"/>
            <family val="2"/>
          </rPr>
          <t>Josue Andreé Ricart Vásquez:</t>
        </r>
        <r>
          <rPr>
            <sz val="9"/>
            <rFont val="Tahoma"/>
            <family val="2"/>
          </rPr>
          <t xml:space="preserve">
actualizar a 1,200,000.00
actualizado
</t>
        </r>
      </text>
    </comment>
    <comment ref="C18" authorId="0">
      <text>
        <r>
          <rPr>
            <b/>
            <sz val="9"/>
            <rFont val="Tahoma"/>
            <family val="2"/>
          </rPr>
          <t>Josue Andreé Ricart Vásquez:</t>
        </r>
        <r>
          <rPr>
            <sz val="9"/>
            <rFont val="Tahoma"/>
            <family val="2"/>
          </rPr>
          <t xml:space="preserve">
FHI</t>
        </r>
      </text>
    </comment>
    <comment ref="C24" authorId="0">
      <text>
        <r>
          <rPr>
            <b/>
            <sz val="9"/>
            <rFont val="Tahoma"/>
            <family val="2"/>
          </rPr>
          <t>Josue Andreé Ricart Vásquez:</t>
        </r>
        <r>
          <rPr>
            <sz val="9"/>
            <rFont val="Tahoma"/>
            <family val="2"/>
          </rPr>
          <t xml:space="preserve">
Lilian Merlo contrato 2018
</t>
        </r>
      </text>
    </comment>
    <comment ref="C25" authorId="0">
      <text>
        <r>
          <rPr>
            <b/>
            <sz val="9"/>
            <rFont val="Tahoma"/>
            <family val="2"/>
          </rPr>
          <t>Josue Andreé Ricart Vásquez:</t>
        </r>
        <r>
          <rPr>
            <sz val="9"/>
            <rFont val="Tahoma"/>
            <family val="2"/>
          </rPr>
          <t xml:space="preserve">
en fase inicial se pretendió adquirir sus servicios en el q6 pero sigue en fase de TDR´s por lo que se traslada al q7
borrar el ya no va a estar</t>
        </r>
      </text>
    </comment>
    <comment ref="C26" authorId="0">
      <text>
        <r>
          <rPr>
            <b/>
            <sz val="9"/>
            <rFont val="Tahoma"/>
            <family val="2"/>
          </rPr>
          <t>Josue Andreé Ricart Vásquez:</t>
        </r>
        <r>
          <rPr>
            <sz val="9"/>
            <rFont val="Tahoma"/>
            <family val="2"/>
          </rPr>
          <t xml:space="preserve">
consultor en sistema de aduanas</t>
        </r>
      </text>
    </comment>
    <comment ref="C27" authorId="0">
      <text>
        <r>
          <rPr>
            <b/>
            <sz val="9"/>
            <rFont val="Tahoma"/>
            <family val="2"/>
          </rPr>
          <t>Josue Andreé Ricart Vásquez:</t>
        </r>
        <r>
          <rPr>
            <sz val="9"/>
            <rFont val="Tahoma"/>
            <family val="2"/>
          </rPr>
          <t xml:space="preserve">
esta en fase de tdr</t>
        </r>
      </text>
    </comment>
    <comment ref="C28" authorId="0">
      <text>
        <r>
          <rPr>
            <b/>
            <sz val="9"/>
            <rFont val="Tahoma"/>
            <family val="2"/>
          </rPr>
          <t>Josue Andreé Ricart Vásquez:</t>
        </r>
        <r>
          <rPr>
            <sz val="9"/>
            <rFont val="Tahoma"/>
            <family val="2"/>
          </rPr>
          <t xml:space="preserve">
LAS DATABASE YA FUERON PAGADAS</t>
        </r>
      </text>
    </comment>
    <comment ref="C30" authorId="0">
      <text>
        <r>
          <rPr>
            <b/>
            <sz val="9"/>
            <rFont val="Tahoma"/>
            <family val="2"/>
          </rPr>
          <t>Josue Andreé Ricart Vásquez:</t>
        </r>
        <r>
          <rPr>
            <sz val="9"/>
            <rFont val="Tahoma"/>
            <family val="2"/>
          </rPr>
          <t xml:space="preserve">
PAGOS DICIEMBRE Y ENERO
</t>
        </r>
      </text>
    </comment>
    <comment ref="C31" authorId="0">
      <text>
        <r>
          <rPr>
            <b/>
            <sz val="9"/>
            <rFont val="Tahoma"/>
            <family val="2"/>
          </rPr>
          <t>Josue Andreé Ricart Vásquez:</t>
        </r>
        <r>
          <rPr>
            <sz val="9"/>
            <rFont val="Tahoma"/>
            <family val="2"/>
          </rPr>
          <t xml:space="preserve">
CONTRATACIONES 2018 Y PAGO DE FEBRERO 2018</t>
        </r>
      </text>
    </comment>
    <comment ref="C32" authorId="0">
      <text>
        <r>
          <rPr>
            <b/>
            <sz val="9"/>
            <rFont val="Tahoma"/>
            <family val="2"/>
          </rPr>
          <t>investigadores de aduanas</t>
        </r>
        <r>
          <rPr>
            <sz val="9"/>
            <rFont val="Tahoma"/>
            <family val="2"/>
          </rPr>
          <t xml:space="preserve">
</t>
        </r>
      </text>
    </comment>
    <comment ref="C36" authorId="0">
      <text>
        <r>
          <rPr>
            <sz val="9"/>
            <rFont val="Tahoma"/>
            <family val="2"/>
          </rPr>
          <t>pagado</t>
        </r>
      </text>
    </comment>
    <comment ref="C38" authorId="0">
      <text>
        <r>
          <rPr>
            <sz val="9"/>
            <rFont val="Tahoma"/>
            <family val="2"/>
          </rPr>
          <t>UNIVERSIDAD INTERNACIONES</t>
        </r>
      </text>
    </comment>
    <comment ref="C39" authorId="0">
      <text>
        <r>
          <rPr>
            <b/>
            <sz val="9"/>
            <rFont val="Tahoma"/>
            <family val="2"/>
          </rPr>
          <t>Josue Andreé Ricart Vásquez:</t>
        </r>
        <r>
          <rPr>
            <sz val="9"/>
            <rFont val="Tahoma"/>
            <family val="2"/>
          </rPr>
          <t xml:space="preserve">
Enmienda 1
</t>
        </r>
      </text>
    </comment>
    <comment ref="C42" authorId="0">
      <text>
        <r>
          <rPr>
            <sz val="9"/>
            <rFont val="Tahoma"/>
            <family val="2"/>
          </rPr>
          <t xml:space="preserve">Probablemente Sergio Bravo
</t>
        </r>
      </text>
    </comment>
    <comment ref="C43" authorId="0">
      <text>
        <r>
          <rPr>
            <b/>
            <sz val="9"/>
            <rFont val="Tahoma"/>
            <family val="2"/>
          </rPr>
          <t>Josue Andreé Ricart Vásquez:</t>
        </r>
        <r>
          <rPr>
            <sz val="9"/>
            <rFont val="Tahoma"/>
            <family val="2"/>
          </rPr>
          <t xml:space="preserve">
ya fue pagado en su totalidad PU-MCC-002-2016</t>
        </r>
      </text>
    </comment>
    <comment ref="C44" authorId="0">
      <text>
        <r>
          <rPr>
            <b/>
            <sz val="9"/>
            <rFont val="Tahoma"/>
            <family val="2"/>
          </rPr>
          <t>Josue Andreé Ricart Vásquez:</t>
        </r>
        <r>
          <rPr>
            <sz val="9"/>
            <rFont val="Tahoma"/>
            <family val="2"/>
          </rPr>
          <t xml:space="preserve">
Deloitte</t>
        </r>
      </text>
    </comment>
    <comment ref="C45" authorId="0">
      <text>
        <r>
          <rPr>
            <b/>
            <sz val="9"/>
            <rFont val="Tahoma"/>
            <family val="2"/>
          </rPr>
          <t>Josue Andreé Ricart Vásquez:</t>
        </r>
        <r>
          <rPr>
            <sz val="9"/>
            <rFont val="Tahoma"/>
            <family val="2"/>
          </rPr>
          <t xml:space="preserve">
ya están los terminos de referencia</t>
        </r>
      </text>
    </comment>
    <comment ref="D45" authorId="0">
      <text>
        <r>
          <rPr>
            <b/>
            <sz val="9"/>
            <rFont val="Tahoma"/>
            <family val="2"/>
          </rPr>
          <t>Josue Andreé Ricart Vásquez:</t>
        </r>
        <r>
          <rPr>
            <sz val="9"/>
            <rFont val="Tahoma"/>
            <family val="2"/>
          </rPr>
          <t xml:space="preserve">
ES NECESARIO REBAJAR EL MONTO POR 75,000 DEBIDO A LA CAPACITACIÓN QUE TENDRAN CONGRESISTAS DE GUATEMALA EN EL REINO UNIDO, CASO CONTRARIO SE DESFINANCIA EL PROYECTO.
***De acuerdo a una nueva gestión se dividirá en dos fases Metro Riel. la primera se tiene un estimado de 900,000. y de la segunda desconozco el monto aun.</t>
        </r>
      </text>
    </comment>
    <comment ref="D47" authorId="0">
      <text>
        <r>
          <rPr>
            <b/>
            <sz val="9"/>
            <rFont val="Tahoma"/>
            <family val="2"/>
          </rPr>
          <t>Josue Andreé Ricart Vásquez:</t>
        </r>
        <r>
          <rPr>
            <sz val="9"/>
            <rFont val="Tahoma"/>
            <family val="2"/>
          </rPr>
          <t xml:space="preserve">
Este monto surgió de una rebaja en el monto estimado de Metro Riel, ya que al momento de realizar la SD no se tenían monto suficiente para cubrir este compromiso.</t>
        </r>
      </text>
    </comment>
    <comment ref="C48" authorId="0">
      <text>
        <r>
          <rPr>
            <b/>
            <sz val="9"/>
            <rFont val="Tahoma"/>
            <family val="2"/>
          </rPr>
          <t>Josue Andreé Ricart Vásquez:</t>
        </r>
        <r>
          <rPr>
            <sz val="9"/>
            <rFont val="Tahoma"/>
            <family val="2"/>
          </rPr>
          <t xml:space="preserve">
MGO</t>
        </r>
      </text>
    </comment>
    <comment ref="C49" authorId="0">
      <text>
        <r>
          <rPr>
            <b/>
            <sz val="9"/>
            <rFont val="Tahoma"/>
            <family val="2"/>
          </rPr>
          <t>Josue Andreé Ricart Vásquez:</t>
        </r>
        <r>
          <rPr>
            <sz val="9"/>
            <rFont val="Tahoma"/>
            <family val="2"/>
          </rPr>
          <t xml:space="preserve">
QUINTOS TRAVEL</t>
        </r>
      </text>
    </comment>
    <comment ref="C60" authorId="0">
      <text>
        <r>
          <rPr>
            <sz val="9"/>
            <rFont val="Tahoma"/>
            <family val="2"/>
          </rPr>
          <t>Experto en escala vertical</t>
        </r>
      </text>
    </comment>
    <comment ref="C76" authorId="0">
      <text>
        <r>
          <rPr>
            <b/>
            <sz val="9"/>
            <rFont val="Tahoma"/>
            <family val="2"/>
          </rPr>
          <t>Josue Andreé Ricart Grupo Sega</t>
        </r>
      </text>
    </comment>
    <comment ref="C77" authorId="0">
      <text>
        <r>
          <rPr>
            <b/>
            <sz val="9"/>
            <rFont val="Tahoma"/>
            <family val="2"/>
          </rPr>
          <t>Josue Andreé Ricart Vásquez:</t>
        </r>
        <r>
          <rPr>
            <sz val="9"/>
            <rFont val="Tahoma"/>
            <family val="2"/>
          </rPr>
          <t xml:space="preserve">
Tecnasa</t>
        </r>
      </text>
    </comment>
    <comment ref="C80" authorId="0">
      <text>
        <r>
          <rPr>
            <b/>
            <sz val="9"/>
            <rFont val="Tahoma"/>
            <family val="2"/>
          </rPr>
          <t>Josue Andreé Ricart Vásquez:</t>
        </r>
        <r>
          <rPr>
            <sz val="9"/>
            <rFont val="Tahoma"/>
            <family val="2"/>
          </rPr>
          <t xml:space="preserve">
poliycom phone</t>
        </r>
      </text>
    </comment>
    <comment ref="C81" authorId="0">
      <text>
        <r>
          <rPr>
            <b/>
            <sz val="9"/>
            <rFont val="Tahoma"/>
            <family val="2"/>
          </rPr>
          <t>Josue Andreé Ricart Vásquez:</t>
        </r>
        <r>
          <rPr>
            <sz val="9"/>
            <rFont val="Tahoma"/>
            <family val="2"/>
          </rPr>
          <t xml:space="preserve">
Reparación Impresora</t>
        </r>
      </text>
    </comment>
    <comment ref="C82" authorId="0">
      <text>
        <r>
          <rPr>
            <b/>
            <sz val="9"/>
            <rFont val="Tahoma"/>
            <family val="2"/>
          </rPr>
          <t>Josue Andreé Ricart Vásquez:</t>
        </r>
        <r>
          <rPr>
            <sz val="9"/>
            <rFont val="Tahoma"/>
            <family val="2"/>
          </rPr>
          <t xml:space="preserve">
compra de credenzas</t>
        </r>
      </text>
    </comment>
    <comment ref="C83" authorId="0">
      <text>
        <r>
          <rPr>
            <b/>
            <sz val="9"/>
            <rFont val="Tahoma"/>
            <family val="2"/>
          </rPr>
          <t>Josue Andreé Ricart Vásquez:</t>
        </r>
        <r>
          <rPr>
            <sz val="9"/>
            <rFont val="Tahoma"/>
            <family val="2"/>
          </rPr>
          <t xml:space="preserve">
PU-MCC-SNC-001-2016
</t>
        </r>
      </text>
    </comment>
    <comment ref="C84" authorId="0">
      <text>
        <r>
          <rPr>
            <b/>
            <sz val="9"/>
            <rFont val="Tahoma"/>
            <family val="2"/>
          </rPr>
          <t>Josue Andreé Ricart Vásquez:</t>
        </r>
        <r>
          <rPr>
            <sz val="9"/>
            <rFont val="Tahoma"/>
            <family val="2"/>
          </rPr>
          <t xml:space="preserve">
01-2017</t>
        </r>
      </text>
    </comment>
    <comment ref="C85" authorId="0">
      <text>
        <r>
          <rPr>
            <b/>
            <sz val="9"/>
            <rFont val="Tahoma"/>
            <family val="2"/>
          </rPr>
          <t>Josue Andreé Ricart Vásquez:</t>
        </r>
        <r>
          <rPr>
            <sz val="9"/>
            <rFont val="Tahoma"/>
            <family val="2"/>
          </rPr>
          <t xml:space="preserve">
03-2017
</t>
        </r>
      </text>
    </comment>
    <comment ref="C87" authorId="0">
      <text>
        <r>
          <rPr>
            <b/>
            <sz val="9"/>
            <rFont val="Tahoma"/>
            <family val="2"/>
          </rPr>
          <t>Josue Andreé Ricart Vásquez:</t>
        </r>
        <r>
          <rPr>
            <sz val="9"/>
            <rFont val="Tahoma"/>
            <family val="2"/>
          </rPr>
          <t xml:space="preserve">
01-2018</t>
        </r>
      </text>
    </comment>
  </commentList>
</comments>
</file>

<file path=xl/sharedStrings.xml><?xml version="1.0" encoding="utf-8"?>
<sst xmlns="http://schemas.openxmlformats.org/spreadsheetml/2006/main" count="953" uniqueCount="290">
  <si>
    <t>Detailed Financial Plan - Commitments</t>
  </si>
  <si>
    <t>Country:</t>
  </si>
  <si>
    <t>Accountable Entity:</t>
  </si>
  <si>
    <t>Grant Number:</t>
  </si>
  <si>
    <t>Date Submitted:</t>
  </si>
  <si>
    <t>Quarter #</t>
  </si>
  <si>
    <t>Forecasted Commitments for -&gt;</t>
  </si>
  <si>
    <t>Cumulative</t>
  </si>
  <si>
    <t>Current Period</t>
  </si>
  <si>
    <t>Next Period</t>
  </si>
  <si>
    <t>TOTAL</t>
  </si>
  <si>
    <t>Variance</t>
  </si>
  <si>
    <t>Actual Cumulative Commitments at Beginning of Current Period</t>
  </si>
  <si>
    <t>Projected Commitments during Current Period</t>
  </si>
  <si>
    <t>Commitments As Currently Forecasted</t>
  </si>
  <si>
    <r>
      <t>Projections vs. Approved Plan Under /</t>
    </r>
    <r>
      <rPr>
        <b/>
        <sz val="10"/>
        <color indexed="53"/>
        <rFont val="Arial"/>
        <family val="2"/>
      </rPr>
      <t xml:space="preserve"> (Over)</t>
    </r>
    <r>
      <rPr>
        <b/>
        <sz val="10"/>
        <rFont val="Arial"/>
        <family val="2"/>
      </rPr>
      <t xml:space="preserve">
Budget
Difference</t>
    </r>
  </si>
  <si>
    <t>Date/Month/Quarter -&gt;</t>
  </si>
  <si>
    <t>TOTAL - M&amp;E</t>
  </si>
  <si>
    <t>Detailed Financial Plan - Cash</t>
  </si>
  <si>
    <t>Forecasted Cash for -&gt;</t>
  </si>
  <si>
    <t>Cash Disbursements As Currently Forecasted</t>
  </si>
  <si>
    <t>MCC Grant Quarterly Financial Report</t>
  </si>
  <si>
    <t>Schedule A.  Multi-Year Financial Plan Adjustment Request Form</t>
  </si>
  <si>
    <t>Amounts Expressed In US Dollars</t>
  </si>
  <si>
    <t>Original Program Multi-Year Financial Plan in Grant Agreement</t>
  </si>
  <si>
    <t xml:space="preserve">Current Approved Multi-Year Financial Plan </t>
  </si>
  <si>
    <t>Proposed Adjustments
(Display all #'s as positive)</t>
  </si>
  <si>
    <t>Proposed Adjusted Multi-Year Financial Plan</t>
  </si>
  <si>
    <t>(from Schedule B,
 Final Column)</t>
  </si>
  <si>
    <t>Increase (+)</t>
  </si>
  <si>
    <t>Decrease (-)</t>
  </si>
  <si>
    <t>(2+3-4)</t>
  </si>
  <si>
    <t>Grand Total</t>
  </si>
  <si>
    <t>Schedule B.  Summary of Multi-Year Financial Plan Adjustments to Date</t>
  </si>
  <si>
    <t>Amounts Expressed in US Dollars</t>
  </si>
  <si>
    <t>DISBURSEMENT REQUEST</t>
  </si>
  <si>
    <t xml:space="preserve">THRESHOLD PROGRAM GRANT AGREEMENT </t>
  </si>
  <si>
    <t>Country</t>
  </si>
  <si>
    <t>Projects</t>
  </si>
  <si>
    <t>Threshold Program Grant Agreement Date/ Entry into Force Date</t>
  </si>
  <si>
    <t xml:space="preserve">Threshold Program Number </t>
  </si>
  <si>
    <t>Accountable Entity</t>
  </si>
  <si>
    <t>Fiscal Agent</t>
  </si>
  <si>
    <t>Request Date</t>
  </si>
  <si>
    <t>Disbursement Period Beginning Date</t>
  </si>
  <si>
    <t>Disbursement Period Ending Date</t>
  </si>
  <si>
    <t>Disbursement Number</t>
  </si>
  <si>
    <t>Currency (Expressed in USD)</t>
  </si>
  <si>
    <t>US Dollars</t>
  </si>
  <si>
    <t>Exchange Rate used to calculate U.S. Dollar equivalent of any local currency balance for purposes of this MCC Disbursement Request</t>
  </si>
  <si>
    <t>1.  Forecasted Cash Disbursement Requirements (from DFP Cash Column)</t>
  </si>
  <si>
    <t>2. Interest to be Returned to the USG for Next Period (Interest Sum, Line 7)</t>
  </si>
  <si>
    <t>3. Working Capital (FOR MCC USE ONLY)</t>
  </si>
  <si>
    <t>4. Cash Balance at the End of the Current Period (Cash Req, Line 7)</t>
  </si>
  <si>
    <t>5. Disbursement Request Amount (Lines 1+2-4)</t>
  </si>
  <si>
    <t>6. Amount Requested in Words</t>
  </si>
  <si>
    <r>
      <t xml:space="preserve">C.  Compliance:  </t>
    </r>
    <r>
      <rPr>
        <sz val="10"/>
        <rFont val="Arial"/>
        <family val="2"/>
      </rPr>
      <t>the undersigned confirms that the MCC Disbursement requested herby is in accordance with the terms and conditions set forth in the Threshold Program Agreement, including the limitations on the use or treatment of MCC Funding set out in Section 2.4.</t>
    </r>
  </si>
  <si>
    <r>
      <t xml:space="preserve">D.  Authorization:  </t>
    </r>
    <r>
      <rPr>
        <sz val="10"/>
        <rFont val="Arial"/>
        <family val="2"/>
      </rPr>
      <t>the undersigned acknowledges that funds disbursed in accordance with this request will be either made (i) directly to third-party vendors for goods, works and services received by the accountable entity upon presentation of valid invoices utilizing MCC's Common Payment System, (ii) to the Permitted Account, or (iii) to the Petty Cash Account.</t>
    </r>
  </si>
  <si>
    <r>
      <t xml:space="preserve">E.  Certificates:  </t>
    </r>
    <r>
      <rPr>
        <sz val="10"/>
        <rFont val="Arial"/>
        <family val="2"/>
      </rPr>
      <t>Attached hereto are the certificates required under Section 5.2 and 5.3 of the Threshold Program Agreement.</t>
    </r>
  </si>
  <si>
    <t>By:  _______________________________________________________________</t>
  </si>
  <si>
    <t>Date:  _____________________________________________________________</t>
  </si>
  <si>
    <t xml:space="preserve">Name: </t>
  </si>
  <si>
    <t>TOTAL - Education</t>
  </si>
  <si>
    <t>TOTAL - Resource Mobilization</t>
  </si>
  <si>
    <t>Oct '18
Dec '18</t>
  </si>
  <si>
    <t>Jan '19
Mar '19</t>
  </si>
  <si>
    <t>Apr '19
Jun '19</t>
  </si>
  <si>
    <t>Guatemala</t>
  </si>
  <si>
    <t>PRONACOM</t>
  </si>
  <si>
    <t>TR14GTM15001</t>
  </si>
  <si>
    <t>Grant Quarter #10</t>
  </si>
  <si>
    <t>Grant Quarter #11</t>
  </si>
  <si>
    <t>Grant Quarter #12</t>
  </si>
  <si>
    <t>Grant Quarter #13</t>
  </si>
  <si>
    <t>Grant Quarter #14</t>
  </si>
  <si>
    <t>Current Approved Multi-Year Financial Plan 
(to Schedule A, Column 2)</t>
  </si>
  <si>
    <t>1. Education Project (EDU)</t>
  </si>
  <si>
    <t>1.1 Improving the Quality of Education (0277)</t>
  </si>
  <si>
    <t>1.2 Developing Technical and Vocational Education and Training (0400)</t>
  </si>
  <si>
    <t>1.3 Strengthening Institutional and Planning Capacity (0043)</t>
  </si>
  <si>
    <t xml:space="preserve">     Activity (code)</t>
  </si>
  <si>
    <t>Project (code)</t>
  </si>
  <si>
    <t>2. Resource Mobilization Project (REV RFRM)</t>
  </si>
  <si>
    <t>3. M&amp;E (MON &amp; EVAL)</t>
  </si>
  <si>
    <t>4. Program Admin (PGM ADMIN)</t>
  </si>
  <si>
    <t>2.1 Improving Tax and Customs Administration (0443)*</t>
  </si>
  <si>
    <t>2.2 Strengthening Public-Private Partnership Capacity (0414)</t>
  </si>
  <si>
    <t>Monitoring and Evaluation (0016)</t>
  </si>
  <si>
    <t>Program Administration (0017)</t>
  </si>
  <si>
    <t xml:space="preserve">   Activity (code)</t>
  </si>
  <si>
    <t>3. M&amp;E (MON &amp; Eval)</t>
  </si>
  <si>
    <t xml:space="preserve">   Monitoring and Evaluation (0016)</t>
  </si>
  <si>
    <t xml:space="preserve">TOTAL - Program Admin </t>
  </si>
  <si>
    <t xml:space="preserve">   Program Administration (0017)</t>
  </si>
  <si>
    <t>Column Number</t>
  </si>
  <si>
    <t>Column 1</t>
  </si>
  <si>
    <t>Column 2</t>
  </si>
  <si>
    <t>Column 3</t>
  </si>
  <si>
    <t>Column 4</t>
  </si>
  <si>
    <t>Column 5</t>
  </si>
  <si>
    <t>Column 9</t>
  </si>
  <si>
    <t>Column 10</t>
  </si>
  <si>
    <t>Column 11</t>
  </si>
  <si>
    <t>Column 12</t>
  </si>
  <si>
    <t>Column 13</t>
  </si>
  <si>
    <t>Column 14</t>
  </si>
  <si>
    <t>Column 15</t>
  </si>
  <si>
    <t>Column X</t>
  </si>
  <si>
    <t>Column Y</t>
  </si>
  <si>
    <t>Column Z</t>
  </si>
  <si>
    <t xml:space="preserve">     1.1.a  Education Project Implementation Contract</t>
  </si>
  <si>
    <t xml:space="preserve">     1.1.b  Grants to Universities for Teacher Training (Diplomados)</t>
  </si>
  <si>
    <t xml:space="preserve">     1.3.a  Education Project Implementation Contract</t>
  </si>
  <si>
    <t xml:space="preserve">     3.1.a  Student Assessment</t>
  </si>
  <si>
    <t xml:space="preserve">     3.1.b  Teacher Evaluations</t>
  </si>
  <si>
    <t xml:space="preserve">     3.1.c  Voc Ed Tracer Studies</t>
  </si>
  <si>
    <t xml:space="preserve"> </t>
  </si>
  <si>
    <t>As Per Current Approved Multi-Year Financial Plan (Should match with Schedule B)**</t>
  </si>
  <si>
    <t xml:space="preserve">     1.1.c  Other</t>
  </si>
  <si>
    <t xml:space="preserve">     1.2.a  TVET</t>
  </si>
  <si>
    <t xml:space="preserve">2.1 Improving Tax and Customs Administration </t>
  </si>
  <si>
    <t xml:space="preserve">MCC Managed Fund </t>
  </si>
  <si>
    <t xml:space="preserve">     2.1.a  Tax and Customs</t>
  </si>
  <si>
    <t xml:space="preserve">     2.2.a  Advisors</t>
  </si>
  <si>
    <t xml:space="preserve">     2.2.b  Feasiblity Studies/  Transaction Advisory Services</t>
  </si>
  <si>
    <t xml:space="preserve">     3.1 d Other</t>
  </si>
  <si>
    <t xml:space="preserve">     2.2.c  Other</t>
  </si>
  <si>
    <t xml:space="preserve">     1.3.c  Other</t>
  </si>
  <si>
    <t xml:space="preserve">     1.3.b  Education Project Coordination team*</t>
  </si>
  <si>
    <t>2.1 Improving Tax and Customs Administration (0443)**</t>
  </si>
  <si>
    <t>As Per Current Approved Multi-Year Financial Plan (Should match with Schedule B)*</t>
  </si>
  <si>
    <t>TOTAL MCA-Managed Threshold Funds</t>
  </si>
  <si>
    <r>
      <t xml:space="preserve">A.  Disbursement Request:  </t>
    </r>
    <r>
      <rPr>
        <sz val="10"/>
        <rFont val="Arial"/>
        <family val="2"/>
      </rPr>
      <t>The undersigned hereby requests the Millennium Challenge Corporation to disburse funds under the Threshold Grant Agreement, dated as of August 28,2013 as follows:</t>
    </r>
  </si>
  <si>
    <t>* This activity is MCC Managed (commitments and disbursements are reported on the quarterly MCC-Managed Report)</t>
  </si>
  <si>
    <t>** These sub-activities that have amounts listed in Column Y are not part of Schedule B, but are being listed to comply with the Fiscal Accountability Plan's requirements for tracking/approving salary and travel budget changes.</t>
  </si>
  <si>
    <t xml:space="preserve">     4.1.a  Staff Compensation*</t>
  </si>
  <si>
    <t xml:space="preserve">     4.1.b  Travel*</t>
  </si>
  <si>
    <t xml:space="preserve">     4.1.c  Audit</t>
  </si>
  <si>
    <t xml:space="preserve">     4.1.d  Other</t>
  </si>
  <si>
    <t>Act#</t>
  </si>
  <si>
    <t>1.1.a</t>
  </si>
  <si>
    <t>1.1.b</t>
  </si>
  <si>
    <t>1.1.c</t>
  </si>
  <si>
    <t>1.2.a</t>
  </si>
  <si>
    <t>1.3.a</t>
  </si>
  <si>
    <t>1.3.b</t>
  </si>
  <si>
    <t>1.3.c</t>
  </si>
  <si>
    <t>2.1.a</t>
  </si>
  <si>
    <t>2.2.a</t>
  </si>
  <si>
    <t>2.2.b</t>
  </si>
  <si>
    <t>2.2.c</t>
  </si>
  <si>
    <t>3.1.a</t>
  </si>
  <si>
    <t>3.1.b</t>
  </si>
  <si>
    <t>3.1.c</t>
  </si>
  <si>
    <t>3.1.d</t>
  </si>
  <si>
    <t>4.1.a</t>
  </si>
  <si>
    <t>4.1.b</t>
  </si>
  <si>
    <t>4.1.c</t>
  </si>
  <si>
    <t>4.1.d</t>
  </si>
  <si>
    <t>Contract name</t>
  </si>
  <si>
    <t>Q1</t>
  </si>
  <si>
    <t>Value</t>
  </si>
  <si>
    <t>Sign quarter</t>
  </si>
  <si>
    <t>Percent of disbursements by quarter</t>
  </si>
  <si>
    <t>Q2</t>
  </si>
  <si>
    <t>Q3</t>
  </si>
  <si>
    <t>Q4</t>
  </si>
  <si>
    <t>Q5</t>
  </si>
  <si>
    <t>Q6</t>
  </si>
  <si>
    <t>Q7</t>
  </si>
  <si>
    <t>Q8</t>
  </si>
  <si>
    <t>Q9</t>
  </si>
  <si>
    <t>Q10</t>
  </si>
  <si>
    <t>Q11</t>
  </si>
  <si>
    <t>Q12</t>
  </si>
  <si>
    <t>Q13</t>
  </si>
  <si>
    <t>Q14</t>
  </si>
  <si>
    <t>Total</t>
  </si>
  <si>
    <t>Q15</t>
  </si>
  <si>
    <t>q3</t>
  </si>
  <si>
    <t>Diplomado Training</t>
  </si>
  <si>
    <t>q6</t>
  </si>
  <si>
    <t>Pedagogical Resource centers</t>
  </si>
  <si>
    <t>Director de Proyecto de Educación</t>
  </si>
  <si>
    <t>PPP coach</t>
  </si>
  <si>
    <t>PP Financial Adivisor (for MINFIN and ANADIE)</t>
  </si>
  <si>
    <t>Airport Feasiblity Study</t>
  </si>
  <si>
    <t>Airport Transaction Advisor</t>
  </si>
  <si>
    <t>Road Feasiblity Study</t>
  </si>
  <si>
    <t>Road Transaction Advisor</t>
  </si>
  <si>
    <t>Antigua Feasiblity Study</t>
  </si>
  <si>
    <t>Antigua Transaction Advisor</t>
  </si>
  <si>
    <t>Training</t>
  </si>
  <si>
    <t>q7</t>
  </si>
  <si>
    <t>Coordinador MCC-THP</t>
  </si>
  <si>
    <t>Audit</t>
  </si>
  <si>
    <t>IT Equipment</t>
  </si>
  <si>
    <t>Communications and Workshops</t>
  </si>
  <si>
    <t>Travel</t>
  </si>
  <si>
    <t>Especialista de Monitoreo y Evaluación</t>
  </si>
  <si>
    <t>Coordinador Administrativo Financiero (Especialista financiero)</t>
  </si>
  <si>
    <t>Especialista en Adquisiciones MCC  (Especialista en adquisiciones)</t>
  </si>
  <si>
    <t>Asistente de Proyecto de Educación</t>
  </si>
  <si>
    <t>Recurring Expenses for which commitments will  be made in same quarter as expense.</t>
  </si>
  <si>
    <t>Salary Type Expenses</t>
  </si>
  <si>
    <t>Cash by quarter</t>
  </si>
  <si>
    <t>Committments by quarter</t>
  </si>
  <si>
    <t>q2</t>
  </si>
  <si>
    <t>q5</t>
  </si>
  <si>
    <t>q1</t>
  </si>
  <si>
    <t>Training option</t>
  </si>
  <si>
    <t>q4</t>
  </si>
  <si>
    <t>tbd</t>
  </si>
  <si>
    <t>check Cash=comm</t>
  </si>
  <si>
    <t>Grant Quarter #15</t>
  </si>
  <si>
    <t>Grant Quarter #16</t>
  </si>
  <si>
    <t>Oct '19
Dec '19</t>
  </si>
  <si>
    <t>Jan '20
Mar '20</t>
  </si>
  <si>
    <t>FxT Coordinator</t>
  </si>
  <si>
    <t>Actual Cumulative Disbursements at Beginning of Current Period</t>
  </si>
  <si>
    <t>Out of Cycle Report:  Yes [ ] | No [ x ]</t>
  </si>
  <si>
    <t>M&amp;E</t>
  </si>
  <si>
    <t>Total Comprometido a la fecha</t>
  </si>
  <si>
    <t>TVET place holder</t>
  </si>
  <si>
    <t>place holder</t>
  </si>
  <si>
    <t>q15</t>
  </si>
  <si>
    <t>MCC (Acting Fiscal Agent)</t>
  </si>
  <si>
    <t>Adjustment Reported/
Approved
(Q1 - 9/10/2016)</t>
  </si>
  <si>
    <t>data subscriptions</t>
  </si>
  <si>
    <t>IT consultants</t>
  </si>
  <si>
    <t>Managaement coach for customs and audit</t>
  </si>
  <si>
    <t>PPP coach option 1</t>
  </si>
  <si>
    <t>PPP coach option 2</t>
  </si>
  <si>
    <t>q8</t>
  </si>
  <si>
    <t xml:space="preserve">Date:  </t>
  </si>
  <si>
    <t xml:space="preserve"> 3 validadores para Pruebas de Educación de Nivel Medio</t>
  </si>
  <si>
    <t xml:space="preserve"> 6 redactores para Pruebas de Educación de Nivel Medio.</t>
  </si>
  <si>
    <t>1 curriculista para Pruebas de Educación de Nivel Medio.</t>
  </si>
  <si>
    <t>Un coordinador para Pruebas de Educación de Nivel Medio.</t>
  </si>
  <si>
    <t>Education Project Total</t>
  </si>
  <si>
    <t>Tax and Customs</t>
  </si>
  <si>
    <t>PPPs</t>
  </si>
  <si>
    <t>Program Admin</t>
  </si>
  <si>
    <t>cash before Com</t>
  </si>
  <si>
    <t xml:space="preserve"> com-cash</t>
  </si>
  <si>
    <t>total</t>
  </si>
  <si>
    <t>Managaement coach for customs and audit (option 1)</t>
  </si>
  <si>
    <t>Asistente Administrativo Bilingüe</t>
  </si>
  <si>
    <t>q12</t>
  </si>
  <si>
    <t xml:space="preserve">Especialista Economista </t>
  </si>
  <si>
    <r>
      <t xml:space="preserve">F.  Definitions:  </t>
    </r>
    <r>
      <rPr>
        <sz val="10"/>
        <rFont val="Arial"/>
        <family val="2"/>
      </rPr>
      <t xml:space="preserve">Capitalized terms used herein shall have the meanings assigned to such terms in the Threshold Program Agreement by and between the Government of Guatemala and the United States, acting through the Millennium Challenge Corporation, dated April 8, 2015, and entered into force on May 15, 2016. </t>
    </r>
  </si>
  <si>
    <t>Exito Escolar 1.3</t>
  </si>
  <si>
    <t>Exito Escolar 1.1</t>
  </si>
  <si>
    <t>Jul '19
Sep '19</t>
  </si>
  <si>
    <t>Apr '20
Jun '20</t>
  </si>
  <si>
    <t>* This activity has  MCC Managed (commitments and disbursements are reported on the quarterly MCC-Managed Report)</t>
  </si>
  <si>
    <t>* This activity (0443) is partially MCC-Managed</t>
  </si>
  <si>
    <t>Projected Disbursements during Current Period</t>
  </si>
  <si>
    <t>q10</t>
  </si>
  <si>
    <t>q9</t>
  </si>
  <si>
    <t>Adjustment Reported/
Approved
(Q6 - 10/11/2017)</t>
  </si>
  <si>
    <t>Q16</t>
  </si>
  <si>
    <t>Name: Francisca de Jesús Cárdenas Morán</t>
  </si>
  <si>
    <t>Name:  Acisclo Valladares Urruela</t>
  </si>
  <si>
    <t>Threshold Program / Program Administration and Monitoring and Evaluation</t>
  </si>
  <si>
    <t>April 8, 2015/May 16, 2016</t>
  </si>
  <si>
    <t>Certified by the Minister of Economy</t>
  </si>
  <si>
    <t>Signed by the  Executive Director of PRONACOM</t>
  </si>
  <si>
    <t>Q17</t>
  </si>
  <si>
    <t>Q18</t>
  </si>
  <si>
    <t>Close Out</t>
  </si>
  <si>
    <t>Q19</t>
  </si>
  <si>
    <t>Jul '20
Sep '20</t>
  </si>
  <si>
    <t>Oct '20
Dec '20</t>
  </si>
  <si>
    <t>Jan '21
Mar '21</t>
  </si>
  <si>
    <t>Grant Quarter #17</t>
  </si>
  <si>
    <t>Grant Quarter #18</t>
  </si>
  <si>
    <t>CLOSE OUT
Grant Quarter #19</t>
  </si>
  <si>
    <t>Column 16</t>
  </si>
  <si>
    <t>Column 17</t>
  </si>
  <si>
    <t>Column 18</t>
  </si>
  <si>
    <t>q11</t>
  </si>
  <si>
    <t>Oct´18</t>
  </si>
  <si>
    <t>Nov`18</t>
  </si>
  <si>
    <t>Dec´18</t>
  </si>
  <si>
    <t>Jun '18</t>
  </si>
  <si>
    <t>Jul  '18
Sep '18</t>
  </si>
  <si>
    <t>Date: Sept 18, 2018</t>
  </si>
  <si>
    <t xml:space="preserve"> three million one hundred fifty seven thousand nine hundred forty seven dollars and fifty eight ¢ents</t>
  </si>
  <si>
    <t>Adjustment Reported/
Approved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</si>
</sst>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quot;#,##0;[Red]\-&quot;Q&quot;#,##0"/>
    <numFmt numFmtId="43" formatCode="_-* #,##0.00_-;\-* #,##0.00_-;_-* &quot;-&quot;??_-;_-@_-"/>
    <numFmt numFmtId="164" formatCode="&quot;$&quot;#,##0.00_);\(&quot;$&quot;#,##0.00\)"/>
    <numFmt numFmtId="165" formatCode="_(&quot;$&quot;* #,##0.00_);_(&quot;$&quot;* \(#,##0.00\);_(&quot;$&quot;* &quot;-&quot;??_);_(@_)"/>
    <numFmt numFmtId="166" formatCode="_(* #,##0.00_);_(* \(#,##0.00\);_(* &quot;-&quot;??_);_(@_)"/>
    <numFmt numFmtId="167" formatCode="_(* #,##0_);_(* \(#,##0\);_(* &quot;-&quot;??_);_(@_)"/>
    <numFmt numFmtId="168" formatCode="0_);[Red]\(0\)"/>
    <numFmt numFmtId="169" formatCode="[$-409]mmmm\ d\,\ yyyy;@"/>
    <numFmt numFmtId="170" formatCode="[$-409]mmm\-yy;@"/>
    <numFmt numFmtId="171" formatCode="m/d/yy;@"/>
    <numFmt numFmtId="172" formatCode="_(&quot;$&quot;* #,##0_);_(&quot;$&quot;* \(#,##0\);_(&quot;$&quot;* &quot;-&quot;??_);_(@_)"/>
    <numFmt numFmtId="173" formatCode="0.0%"/>
    <numFmt numFmtId="174" formatCode="[$-409]dd\-mmm\-yy;@"/>
    <numFmt numFmtId="175" formatCode="0.0000%"/>
    <numFmt numFmtId="176" formatCode="_(* #,##0.00000000000000000_);_(* \(#,##0.00000000000000000\);_(* &quot;-&quot;??_);_(@_)"/>
    <numFmt numFmtId="177" formatCode="0.00000%"/>
    <numFmt numFmtId="178" formatCode="_(* #,##0.000000000_);_(* \(#,##0.000000000\);_(* &quot;-&quot;??_);_(@_)"/>
    <numFmt numFmtId="179" formatCode="0.000000000000000%"/>
  </numFmts>
  <fonts count="35">
    <font>
      <sz val="11"/>
      <color theme="1"/>
      <name val="Calibri"/>
      <family val="2"/>
      <scheme val="minor"/>
    </font>
    <font>
      <sz val="10"/>
      <name val="Arial"/>
      <family val="2"/>
    </font>
    <font>
      <b/>
      <sz val="10"/>
      <name val="Arial Narrow"/>
      <family val="2"/>
    </font>
    <font>
      <b/>
      <sz val="10"/>
      <name val="Arial"/>
      <family val="2"/>
    </font>
    <font>
      <b/>
      <u val="single"/>
      <sz val="10"/>
      <name val="Arial"/>
      <family val="2"/>
    </font>
    <font>
      <b/>
      <sz val="16"/>
      <color indexed="9"/>
      <name val="Arial Narrow"/>
      <family val="2"/>
    </font>
    <font>
      <b/>
      <sz val="12"/>
      <name val="Arial Narrow"/>
      <family val="2"/>
    </font>
    <font>
      <b/>
      <sz val="10"/>
      <color indexed="53"/>
      <name val="Arial"/>
      <family val="2"/>
    </font>
    <font>
      <b/>
      <sz val="16"/>
      <name val="Arial Narrow"/>
      <family val="2"/>
    </font>
    <font>
      <b/>
      <sz val="10"/>
      <color indexed="9"/>
      <name val="Arial Narrow"/>
      <family val="2"/>
    </font>
    <font>
      <sz val="11"/>
      <name val="Arial"/>
      <family val="2"/>
    </font>
    <font>
      <b/>
      <sz val="11"/>
      <name val="Arial Narrow"/>
      <family val="2"/>
    </font>
    <font>
      <b/>
      <sz val="11"/>
      <name val="Arial"/>
      <family val="2"/>
    </font>
    <font>
      <sz val="10"/>
      <color indexed="10"/>
      <name val="Arial"/>
      <family val="2"/>
    </font>
    <font>
      <sz val="9"/>
      <name val="Arial"/>
      <family val="2"/>
    </font>
    <font>
      <b/>
      <sz val="9"/>
      <name val="Arial"/>
      <family val="2"/>
    </font>
    <font>
      <b/>
      <sz val="8"/>
      <name val="Arial"/>
      <family val="2"/>
    </font>
    <font>
      <b/>
      <sz val="9"/>
      <name val="Times New Roman"/>
      <family val="1"/>
    </font>
    <font>
      <b/>
      <sz val="12"/>
      <name val="Arial"/>
      <family val="2"/>
    </font>
    <font>
      <b/>
      <sz val="12"/>
      <name val="Times New Roman"/>
      <family val="1"/>
    </font>
    <font>
      <sz val="10"/>
      <color theme="1"/>
      <name val="Calibri"/>
      <family val="2"/>
      <scheme val="minor"/>
    </font>
    <font>
      <sz val="10"/>
      <name val="Arial Narrow"/>
      <family val="2"/>
    </font>
    <font>
      <b/>
      <sz val="11"/>
      <color theme="1"/>
      <name val="Calibri"/>
      <family val="2"/>
      <scheme val="minor"/>
    </font>
    <font>
      <sz val="12"/>
      <color theme="1"/>
      <name val="Calibri"/>
      <family val="2"/>
      <scheme val="minor"/>
    </font>
    <font>
      <sz val="11"/>
      <color theme="0"/>
      <name val="Calibri"/>
      <family val="2"/>
      <scheme val="minor"/>
    </font>
    <font>
      <sz val="11"/>
      <color rgb="FFFF0000"/>
      <name val="Calibri"/>
      <family val="2"/>
      <scheme val="minor"/>
    </font>
    <font>
      <sz val="8"/>
      <name val="Calibri"/>
      <family val="2"/>
      <scheme val="minor"/>
    </font>
    <font>
      <sz val="11"/>
      <name val="Calibri"/>
      <family val="2"/>
      <scheme val="minor"/>
    </font>
    <font>
      <b/>
      <sz val="11"/>
      <name val="Calibri"/>
      <family val="2"/>
      <scheme val="minor"/>
    </font>
    <font>
      <sz val="10"/>
      <name val="Calibri"/>
      <family val="2"/>
      <scheme val="minor"/>
    </font>
    <font>
      <b/>
      <sz val="9"/>
      <name val="Tahoma"/>
      <family val="2"/>
    </font>
    <font>
      <sz val="9"/>
      <name val="Tahoma"/>
      <family val="2"/>
    </font>
    <font>
      <sz val="9"/>
      <color theme="1"/>
      <name val="Calibri"/>
      <family val="2"/>
      <scheme val="minor"/>
    </font>
    <font>
      <b/>
      <sz val="16"/>
      <color theme="1"/>
      <name val="Calibri"/>
      <family val="2"/>
      <scheme val="minor"/>
    </font>
    <font>
      <b/>
      <sz val="8"/>
      <name val="Calibri"/>
      <family val="2"/>
    </font>
  </fonts>
  <fills count="26">
    <fill>
      <patternFill/>
    </fill>
    <fill>
      <patternFill patternType="gray125"/>
    </fill>
    <fill>
      <patternFill patternType="solid">
        <fgColor indexed="46"/>
        <bgColor indexed="64"/>
      </patternFill>
    </fill>
    <fill>
      <patternFill patternType="solid">
        <fgColor indexed="50"/>
        <bgColor indexed="64"/>
      </patternFill>
    </fill>
    <fill>
      <patternFill patternType="solid">
        <fgColor theme="0" tint="-0.24997000396251678"/>
        <bgColor indexed="64"/>
      </patternFill>
    </fill>
    <fill>
      <patternFill patternType="solid">
        <fgColor indexed="22"/>
        <bgColor indexed="64"/>
      </patternFill>
    </fill>
    <fill>
      <patternFill patternType="solid">
        <fgColor indexed="44"/>
        <bgColor indexed="64"/>
      </patternFill>
    </fill>
    <fill>
      <patternFill patternType="solid">
        <fgColor theme="9" tint="0.5999900102615356"/>
        <bgColor indexed="64"/>
      </patternFill>
    </fill>
    <fill>
      <patternFill patternType="solid">
        <fgColor indexed="8"/>
        <bgColor indexed="64"/>
      </patternFill>
    </fill>
    <fill>
      <patternFill patternType="solid">
        <fgColor indexed="13"/>
        <bgColor indexed="64"/>
      </patternFill>
    </fill>
    <fill>
      <patternFill patternType="darkTrellis"/>
    </fill>
    <fill>
      <patternFill patternType="solid">
        <fgColor indexed="9"/>
        <bgColor indexed="64"/>
      </patternFill>
    </fill>
    <fill>
      <patternFill patternType="solid">
        <fgColor theme="0"/>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5999900102615356"/>
        <bgColor indexed="64"/>
      </patternFill>
    </fill>
    <fill>
      <patternFill patternType="solid">
        <fgColor theme="0" tint="-0.04997999966144562"/>
        <bgColor indexed="64"/>
      </patternFill>
    </fill>
    <fill>
      <patternFill patternType="solid">
        <fgColor theme="7"/>
        <bgColor indexed="64"/>
      </patternFill>
    </fill>
    <fill>
      <patternFill patternType="solid">
        <fgColor theme="8" tint="-0.4999699890613556"/>
        <bgColor indexed="64"/>
      </patternFill>
    </fill>
    <fill>
      <patternFill patternType="solid">
        <fgColor theme="9" tint="-0.4999699890613556"/>
        <bgColor indexed="64"/>
      </patternFill>
    </fill>
    <fill>
      <patternFill patternType="solid">
        <fgColor theme="2" tint="-0.09996999800205231"/>
        <bgColor indexed="64"/>
      </patternFill>
    </fill>
    <fill>
      <patternFill patternType="solid">
        <fgColor rgb="FFFF0000"/>
        <bgColor indexed="64"/>
      </patternFill>
    </fill>
    <fill>
      <patternFill patternType="solid">
        <fgColor rgb="FFFFFF00"/>
        <bgColor indexed="64"/>
      </patternFill>
    </fill>
    <fill>
      <patternFill patternType="solid">
        <fgColor theme="3" tint="0.7999799847602844"/>
        <bgColor indexed="64"/>
      </patternFill>
    </fill>
    <fill>
      <patternFill patternType="solid">
        <fgColor rgb="FF99CCFF"/>
        <bgColor indexed="64"/>
      </patternFill>
    </fill>
    <fill>
      <patternFill patternType="solid">
        <fgColor rgb="FF00B0F0"/>
        <bgColor indexed="64"/>
      </patternFill>
    </fill>
  </fills>
  <borders count="47">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thin"/>
      <top style="thin"/>
      <bottom style="thin"/>
    </border>
    <border>
      <left style="thin"/>
      <right style="thin"/>
      <top style="thin"/>
      <bottom style="thin"/>
    </border>
    <border>
      <left/>
      <right style="thin"/>
      <top/>
      <bottom style="thin"/>
    </border>
    <border>
      <left style="thin"/>
      <right style="thin"/>
      <top/>
      <bottom style="thin"/>
    </border>
    <border>
      <left/>
      <right style="medium"/>
      <top/>
      <bottom style="medium"/>
    </border>
    <border>
      <left style="thin"/>
      <right style="thin"/>
      <top style="medium"/>
      <bottom style="medium"/>
    </border>
    <border>
      <left style="medium"/>
      <right style="thin"/>
      <top/>
      <bottom style="thin"/>
    </border>
    <border>
      <left/>
      <right/>
      <top/>
      <bottom style="thin"/>
    </border>
    <border>
      <left style="thin">
        <color indexed="55"/>
      </left>
      <right/>
      <top/>
      <bottom/>
    </border>
    <border>
      <left style="thin"/>
      <right style="medium"/>
      <top/>
      <bottom style="thin"/>
    </border>
    <border>
      <left style="medium"/>
      <right style="thin"/>
      <top style="thin"/>
      <bottom style="thin"/>
    </border>
    <border>
      <left style="thin"/>
      <right style="medium"/>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style="thin"/>
      <right/>
      <top/>
      <bottom style="medium"/>
    </border>
    <border>
      <left style="medium"/>
      <right/>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style="thin"/>
      <top/>
      <bottom style="medium"/>
    </border>
    <border>
      <left style="medium"/>
      <right style="thin"/>
      <top style="thin"/>
      <bottom style="medium"/>
    </border>
    <border>
      <left style="medium"/>
      <right style="thin"/>
      <top/>
      <bottom style="medium"/>
    </border>
    <border>
      <left/>
      <right/>
      <top style="thin"/>
      <bottom style="thin"/>
    </border>
    <border>
      <left style="thin"/>
      <right/>
      <top style="thin"/>
      <bottom style="thin"/>
    </border>
    <border>
      <left/>
      <right style="thin"/>
      <top style="thin"/>
      <bottom style="double"/>
    </border>
    <border>
      <left style="thin"/>
      <right style="thin"/>
      <top style="thin"/>
      <bottom/>
    </border>
    <border>
      <left style="thin"/>
      <right/>
      <top style="medium"/>
      <bottom style="medium"/>
    </border>
    <border>
      <left/>
      <right style="thin"/>
      <top style="medium"/>
      <bottom style="medium"/>
    </border>
    <border>
      <left/>
      <right/>
      <top style="medium"/>
      <bottom style="thin"/>
    </border>
    <border>
      <left/>
      <right style="medium"/>
      <top style="medium"/>
      <bottom style="thin"/>
    </border>
    <border>
      <left style="medium"/>
      <right style="medium"/>
      <top style="medium"/>
      <bottom style="thin"/>
    </border>
    <border>
      <left style="medium"/>
      <right style="medium"/>
      <top style="thin"/>
      <bottom/>
    </border>
  </borders>
  <cellStyleXfs count="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6" fontId="0"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alignment/>
      <protection/>
    </xf>
    <xf numFmtId="0" fontId="1" fillId="0" borderId="0">
      <alignment/>
      <protection/>
    </xf>
    <xf numFmtId="165" fontId="1" fillId="0" borderId="0" applyFont="0" applyFill="0" applyBorder="0" applyAlignment="0" applyProtection="0"/>
    <xf numFmtId="0" fontId="1" fillId="0" borderId="0">
      <alignment/>
      <protection/>
    </xf>
    <xf numFmtId="166" fontId="1" fillId="0" borderId="0" applyFont="0" applyFill="0" applyBorder="0" applyAlignment="0" applyProtection="0"/>
    <xf numFmtId="166" fontId="1" fillId="0" borderId="0" applyFont="0" applyFill="0" applyBorder="0" applyAlignment="0" applyProtection="0"/>
    <xf numFmtId="43" fontId="0"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0" fontId="23" fillId="0" borderId="0">
      <alignment/>
      <protection/>
    </xf>
    <xf numFmtId="43" fontId="23" fillId="0" borderId="0" applyFont="0" applyFill="0" applyBorder="0" applyAlignment="0" applyProtection="0"/>
    <xf numFmtId="0" fontId="1" fillId="0" borderId="0">
      <alignment/>
      <protection/>
    </xf>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9" fontId="0" fillId="0" borderId="0" applyFont="0" applyFill="0" applyBorder="0" applyAlignment="0" applyProtection="0"/>
  </cellStyleXfs>
  <cellXfs count="443">
    <xf numFmtId="0" fontId="0" fillId="0" borderId="0" xfId="0"/>
    <xf numFmtId="167" fontId="1" fillId="0" borderId="0" xfId="21" applyNumberFormat="1"/>
    <xf numFmtId="167" fontId="2" fillId="0" borderId="1" xfId="22" applyNumberFormat="1" applyFont="1" applyBorder="1"/>
    <xf numFmtId="167" fontId="1" fillId="0" borderId="2" xfId="21" applyNumberFormat="1" applyFill="1" applyBorder="1"/>
    <xf numFmtId="167" fontId="1" fillId="0" borderId="3" xfId="21" applyNumberFormat="1" applyBorder="1"/>
    <xf numFmtId="167" fontId="1" fillId="0" borderId="0" xfId="21" applyNumberFormat="1" applyBorder="1"/>
    <xf numFmtId="168" fontId="1" fillId="0" borderId="0" xfId="21" applyNumberFormat="1"/>
    <xf numFmtId="0" fontId="1" fillId="0" borderId="0" xfId="23">
      <alignment/>
      <protection/>
    </xf>
    <xf numFmtId="167" fontId="3" fillId="0" borderId="1" xfId="21" applyNumberFormat="1" applyFont="1" applyBorder="1"/>
    <xf numFmtId="167" fontId="1" fillId="0" borderId="0" xfId="21" applyNumberFormat="1" applyFont="1"/>
    <xf numFmtId="0" fontId="1" fillId="0" borderId="0" xfId="23" applyBorder="1">
      <alignment/>
      <protection/>
    </xf>
    <xf numFmtId="167" fontId="1" fillId="0" borderId="4" xfId="21" applyNumberFormat="1" applyFill="1" applyBorder="1" applyAlignment="1">
      <alignment horizontal="right"/>
    </xf>
    <xf numFmtId="167" fontId="1" fillId="0" borderId="5" xfId="21" applyNumberFormat="1" applyFill="1" applyBorder="1"/>
    <xf numFmtId="0" fontId="0" fillId="0" borderId="6" xfId="0" applyBorder="1" applyAlignment="1">
      <alignment horizontal="left" indent="1"/>
    </xf>
    <xf numFmtId="167" fontId="1" fillId="0" borderId="7" xfId="21" applyNumberFormat="1" applyFill="1" applyBorder="1" applyAlignment="1">
      <alignment horizontal="right"/>
    </xf>
    <xf numFmtId="167" fontId="1" fillId="0" borderId="0" xfId="21" applyNumberFormat="1" applyFill="1" applyBorder="1"/>
    <xf numFmtId="0" fontId="0" fillId="0" borderId="8" xfId="0" applyBorder="1" applyAlignment="1">
      <alignment horizontal="left" indent="1"/>
    </xf>
    <xf numFmtId="167" fontId="1" fillId="0" borderId="7" xfId="21" applyNumberFormat="1" applyFont="1" applyFill="1" applyBorder="1" applyAlignment="1">
      <alignment horizontal="right"/>
    </xf>
    <xf numFmtId="167" fontId="1" fillId="0" borderId="9" xfId="21" applyNumberFormat="1" applyFont="1" applyBorder="1" applyAlignment="1">
      <alignment horizontal="right"/>
    </xf>
    <xf numFmtId="167" fontId="1" fillId="0" borderId="10" xfId="21" applyNumberFormat="1" applyFill="1" applyBorder="1" applyAlignment="1">
      <alignment/>
    </xf>
    <xf numFmtId="167" fontId="1" fillId="0" borderId="0" xfId="21" applyNumberFormat="1" applyAlignment="1">
      <alignment/>
    </xf>
    <xf numFmtId="167" fontId="1" fillId="0" borderId="0" xfId="21" applyNumberFormat="1" applyFill="1" applyBorder="1" applyAlignment="1">
      <alignment horizontal="center"/>
    </xf>
    <xf numFmtId="167" fontId="1" fillId="0" borderId="0" xfId="21" applyNumberFormat="1" applyBorder="1" applyAlignment="1">
      <alignment horizontal="center"/>
    </xf>
    <xf numFmtId="167" fontId="4" fillId="0" borderId="0" xfId="21" applyNumberFormat="1" applyFont="1" applyBorder="1" applyAlignment="1">
      <alignment horizontal="left"/>
    </xf>
    <xf numFmtId="168" fontId="3" fillId="0" borderId="0" xfId="21" applyNumberFormat="1" applyFont="1" applyFill="1"/>
    <xf numFmtId="167" fontId="3" fillId="0" borderId="0" xfId="21" applyNumberFormat="1" applyFont="1" applyFill="1"/>
    <xf numFmtId="167" fontId="1" fillId="0" borderId="0" xfId="21" applyNumberFormat="1" applyFont="1" applyFill="1" applyBorder="1" applyAlignment="1">
      <alignment horizontal="left"/>
    </xf>
    <xf numFmtId="167" fontId="4" fillId="0" borderId="0" xfId="21" applyNumberFormat="1" applyFont="1" applyFill="1" applyBorder="1" applyAlignment="1">
      <alignment horizontal="left"/>
    </xf>
    <xf numFmtId="0" fontId="1" fillId="0" borderId="0" xfId="23" applyFont="1" applyFill="1" applyBorder="1" applyAlignment="1">
      <alignment horizontal="left"/>
      <protection/>
    </xf>
    <xf numFmtId="49" fontId="6" fillId="2" borderId="11" xfId="22" applyNumberFormat="1" applyFont="1" applyFill="1" applyBorder="1" applyAlignment="1">
      <alignment horizontal="center" vertical="center"/>
    </xf>
    <xf numFmtId="49" fontId="6" fillId="3" borderId="12" xfId="22" applyNumberFormat="1" applyFont="1" applyFill="1" applyBorder="1" applyAlignment="1">
      <alignment horizontal="center" vertical="center"/>
    </xf>
    <xf numFmtId="168" fontId="3" fillId="4" borderId="12" xfId="21" applyNumberFormat="1" applyFont="1" applyFill="1" applyBorder="1" applyAlignment="1">
      <alignment horizontal="center" vertical="center"/>
    </xf>
    <xf numFmtId="168" fontId="3" fillId="0" borderId="0" xfId="21" applyNumberFormat="1" applyFont="1" applyFill="1" applyBorder="1" applyAlignment="1">
      <alignment horizontal="center" vertical="center"/>
    </xf>
    <xf numFmtId="49" fontId="2" fillId="2" borderId="11" xfId="22" applyNumberFormat="1" applyFont="1" applyFill="1" applyBorder="1" applyAlignment="1">
      <alignment horizontal="center" vertical="center" wrapText="1"/>
    </xf>
    <xf numFmtId="49" fontId="2" fillId="3" borderId="12" xfId="22" applyNumberFormat="1" applyFont="1" applyFill="1" applyBorder="1" applyAlignment="1">
      <alignment horizontal="center" vertical="center" wrapText="1"/>
    </xf>
    <xf numFmtId="168" fontId="3" fillId="0" borderId="0" xfId="21" applyNumberFormat="1" applyFont="1" applyFill="1" applyBorder="1" applyAlignment="1">
      <alignment horizontal="center" vertical="center" wrapText="1"/>
    </xf>
    <xf numFmtId="167" fontId="1" fillId="0" borderId="11" xfId="21" applyNumberFormat="1" applyBorder="1"/>
    <xf numFmtId="167" fontId="1" fillId="0" borderId="12" xfId="21" applyNumberFormat="1" applyBorder="1"/>
    <xf numFmtId="167" fontId="8" fillId="5" borderId="12" xfId="22" applyNumberFormat="1" applyFont="1" applyFill="1" applyBorder="1" applyAlignment="1">
      <alignment horizontal="center" vertical="center"/>
    </xf>
    <xf numFmtId="49" fontId="2" fillId="2" borderId="13" xfId="22" applyNumberFormat="1" applyFont="1" applyFill="1" applyBorder="1" applyAlignment="1">
      <alignment horizontal="center" vertical="center" wrapText="1"/>
    </xf>
    <xf numFmtId="49" fontId="2" fillId="3" borderId="14" xfId="22" applyNumberFormat="1" applyFont="1" applyFill="1" applyBorder="1" applyAlignment="1">
      <alignment horizontal="center" vertical="center" wrapText="1"/>
    </xf>
    <xf numFmtId="167" fontId="3" fillId="6" borderId="12" xfId="21" applyNumberFormat="1" applyFont="1" applyFill="1" applyBorder="1"/>
    <xf numFmtId="167" fontId="3" fillId="7" borderId="12" xfId="21" applyNumberFormat="1" applyFont="1" applyFill="1" applyBorder="1" applyAlignment="1">
      <alignment horizontal="center"/>
    </xf>
    <xf numFmtId="167" fontId="3" fillId="7" borderId="11" xfId="21" applyNumberFormat="1" applyFont="1" applyFill="1" applyBorder="1" applyAlignment="1">
      <alignment horizontal="center"/>
    </xf>
    <xf numFmtId="167" fontId="9" fillId="8" borderId="12" xfId="21" applyNumberFormat="1" applyFont="1" applyFill="1" applyBorder="1" applyAlignment="1">
      <alignment wrapText="1"/>
    </xf>
    <xf numFmtId="167" fontId="3" fillId="8" borderId="11" xfId="21" applyNumberFormat="1" applyFont="1" applyFill="1" applyBorder="1" applyAlignment="1">
      <alignment horizontal="center"/>
    </xf>
    <xf numFmtId="167" fontId="3" fillId="8" borderId="12" xfId="21" applyNumberFormat="1" applyFont="1" applyFill="1" applyBorder="1" applyAlignment="1">
      <alignment horizontal="center"/>
    </xf>
    <xf numFmtId="168" fontId="3" fillId="8" borderId="12" xfId="21" applyNumberFormat="1" applyFont="1" applyFill="1" applyBorder="1" applyAlignment="1">
      <alignment horizontal="center"/>
    </xf>
    <xf numFmtId="1" fontId="1" fillId="0" borderId="0" xfId="21" applyNumberFormat="1" applyBorder="1"/>
    <xf numFmtId="167" fontId="2" fillId="6" borderId="12" xfId="21" applyNumberFormat="1" applyFont="1" applyFill="1" applyBorder="1" applyAlignment="1">
      <alignment horizontal="left" vertical="center" wrapText="1"/>
    </xf>
    <xf numFmtId="167" fontId="3" fillId="6" borderId="11" xfId="21" applyNumberFormat="1" applyFont="1" applyFill="1" applyBorder="1"/>
    <xf numFmtId="167" fontId="2" fillId="9" borderId="12" xfId="21" applyNumberFormat="1" applyFont="1" applyFill="1" applyBorder="1" applyAlignment="1">
      <alignment horizontal="left" wrapText="1"/>
    </xf>
    <xf numFmtId="167" fontId="3" fillId="9" borderId="11" xfId="21" applyNumberFormat="1" applyFont="1" applyFill="1" applyBorder="1"/>
    <xf numFmtId="167" fontId="2" fillId="0" borderId="12" xfId="21" applyNumberFormat="1" applyFont="1" applyBorder="1" applyAlignment="1">
      <alignment wrapText="1"/>
    </xf>
    <xf numFmtId="167" fontId="3" fillId="0" borderId="11" xfId="21" applyNumberFormat="1" applyFont="1" applyBorder="1"/>
    <xf numFmtId="167" fontId="3" fillId="0" borderId="12" xfId="21" applyNumberFormat="1" applyFont="1" applyBorder="1"/>
    <xf numFmtId="167" fontId="3" fillId="8" borderId="11" xfId="21" applyNumberFormat="1" applyFont="1" applyFill="1" applyBorder="1"/>
    <xf numFmtId="167" fontId="3" fillId="8" borderId="12" xfId="21" applyNumberFormat="1" applyFont="1" applyFill="1" applyBorder="1"/>
    <xf numFmtId="167" fontId="2" fillId="9" borderId="12" xfId="21" applyNumberFormat="1" applyFont="1" applyFill="1" applyBorder="1" applyAlignment="1">
      <alignment wrapText="1"/>
    </xf>
    <xf numFmtId="1" fontId="1" fillId="0" borderId="0" xfId="23" applyNumberFormat="1" applyBorder="1">
      <alignment/>
      <protection/>
    </xf>
    <xf numFmtId="0" fontId="3" fillId="8" borderId="11" xfId="23" applyFont="1" applyFill="1" applyBorder="1">
      <alignment/>
      <protection/>
    </xf>
    <xf numFmtId="0" fontId="3" fillId="8" borderId="12" xfId="23" applyFont="1" applyFill="1" applyBorder="1">
      <alignment/>
      <protection/>
    </xf>
    <xf numFmtId="0" fontId="1" fillId="0" borderId="11" xfId="23" applyBorder="1">
      <alignment/>
      <protection/>
    </xf>
    <xf numFmtId="0" fontId="1" fillId="0" borderId="12" xfId="23" applyBorder="1">
      <alignment/>
      <protection/>
    </xf>
    <xf numFmtId="0" fontId="2" fillId="6" borderId="12" xfId="21" applyNumberFormat="1" applyFont="1" applyFill="1" applyBorder="1" applyAlignment="1">
      <alignment horizontal="left" wrapText="1"/>
    </xf>
    <xf numFmtId="167" fontId="2" fillId="6" borderId="12" xfId="21" applyNumberFormat="1" applyFont="1" applyFill="1" applyBorder="1" applyAlignment="1">
      <alignment horizontal="left" wrapText="1"/>
    </xf>
    <xf numFmtId="0" fontId="2" fillId="9" borderId="12" xfId="21" applyNumberFormat="1" applyFont="1" applyFill="1" applyBorder="1" applyAlignment="1">
      <alignment horizontal="left" wrapText="1"/>
    </xf>
    <xf numFmtId="167" fontId="1" fillId="0" borderId="0" xfId="21" applyNumberFormat="1" applyFill="1"/>
    <xf numFmtId="0" fontId="1" fillId="0" borderId="0" xfId="23" applyFont="1">
      <alignment/>
      <protection/>
    </xf>
    <xf numFmtId="167" fontId="13" fillId="0" borderId="0" xfId="21" applyNumberFormat="1" applyFont="1"/>
    <xf numFmtId="168" fontId="13" fillId="0" borderId="0" xfId="21" applyNumberFormat="1" applyFont="1"/>
    <xf numFmtId="167" fontId="13" fillId="0" borderId="0" xfId="21" applyNumberFormat="1" applyFont="1" applyFill="1"/>
    <xf numFmtId="0" fontId="3" fillId="0" borderId="4" xfId="0" applyFont="1" applyBorder="1"/>
    <xf numFmtId="0" fontId="0" fillId="0" borderId="5" xfId="0" applyBorder="1"/>
    <xf numFmtId="0" fontId="0" fillId="0" borderId="6" xfId="0" applyBorder="1"/>
    <xf numFmtId="0" fontId="1" fillId="0" borderId="7" xfId="0" applyFont="1" applyBorder="1" applyAlignment="1">
      <alignment horizontal="center"/>
    </xf>
    <xf numFmtId="0" fontId="0" fillId="0" borderId="0" xfId="0" applyBorder="1" applyAlignment="1">
      <alignment horizontal="right"/>
    </xf>
    <xf numFmtId="0" fontId="0" fillId="0" borderId="0" xfId="0" applyBorder="1" applyAlignment="1">
      <alignment horizontal="left" indent="1"/>
    </xf>
    <xf numFmtId="0" fontId="0" fillId="0" borderId="0" xfId="0" applyBorder="1" applyAlignment="1">
      <alignment/>
    </xf>
    <xf numFmtId="0" fontId="1" fillId="0" borderId="0" xfId="0" applyFont="1" applyBorder="1" applyAlignment="1">
      <alignment horizontal="center"/>
    </xf>
    <xf numFmtId="0" fontId="1" fillId="0" borderId="8" xfId="0" applyFont="1" applyBorder="1" applyAlignment="1">
      <alignment horizontal="center"/>
    </xf>
    <xf numFmtId="169" fontId="0" fillId="0" borderId="0" xfId="0" applyNumberFormat="1" applyBorder="1" applyAlignment="1">
      <alignment horizontal="left" indent="1"/>
    </xf>
    <xf numFmtId="0" fontId="1" fillId="0" borderId="9" xfId="0" applyFont="1" applyBorder="1" applyAlignment="1">
      <alignment horizontal="center"/>
    </xf>
    <xf numFmtId="0" fontId="0" fillId="0" borderId="10" xfId="0" applyBorder="1" applyAlignment="1">
      <alignment/>
    </xf>
    <xf numFmtId="0" fontId="1" fillId="0" borderId="10" xfId="0" applyFont="1" applyBorder="1" applyAlignment="1">
      <alignment horizontal="center"/>
    </xf>
    <xf numFmtId="0" fontId="1" fillId="0" borderId="15" xfId="0" applyFont="1" applyBorder="1" applyAlignment="1">
      <alignment horizontal="center"/>
    </xf>
    <xf numFmtId="0" fontId="4" fillId="0" borderId="4" xfId="0" applyFont="1" applyBorder="1" applyAlignment="1">
      <alignment/>
    </xf>
    <xf numFmtId="0" fontId="4" fillId="0" borderId="5" xfId="0" applyFont="1" applyBorder="1" applyAlignment="1">
      <alignment horizontal="left"/>
    </xf>
    <xf numFmtId="0" fontId="4" fillId="0" borderId="6" xfId="0" applyFont="1" applyBorder="1" applyAlignment="1">
      <alignment horizontal="left"/>
    </xf>
    <xf numFmtId="167" fontId="1" fillId="0" borderId="0" xfId="20" applyNumberFormat="1" applyFont="1" applyBorder="1"/>
    <xf numFmtId="171" fontId="1" fillId="0" borderId="7" xfId="0" applyNumberFormat="1" applyFont="1" applyBorder="1" applyAlignment="1">
      <alignment horizontal="left"/>
    </xf>
    <xf numFmtId="0" fontId="4" fillId="0" borderId="0" xfId="0" applyFont="1" applyBorder="1" applyAlignment="1">
      <alignment horizontal="left"/>
    </xf>
    <xf numFmtId="0" fontId="4" fillId="0" borderId="8" xfId="0" applyFont="1" applyBorder="1" applyAlignment="1">
      <alignment horizontal="left"/>
    </xf>
    <xf numFmtId="0" fontId="1" fillId="0" borderId="7" xfId="0" applyFont="1" applyBorder="1" applyAlignment="1">
      <alignment horizontal="left"/>
    </xf>
    <xf numFmtId="0" fontId="14" fillId="0" borderId="0" xfId="0" applyFont="1" applyBorder="1" applyAlignment="1">
      <alignment/>
    </xf>
    <xf numFmtId="0" fontId="14" fillId="0" borderId="0" xfId="0" applyFont="1" applyBorder="1"/>
    <xf numFmtId="0" fontId="14" fillId="0" borderId="8" xfId="0" applyFont="1" applyBorder="1"/>
    <xf numFmtId="167" fontId="3" fillId="0" borderId="0" xfId="20" applyNumberFormat="1" applyFont="1" applyBorder="1"/>
    <xf numFmtId="0" fontId="3" fillId="0" borderId="0" xfId="0" applyFont="1"/>
    <xf numFmtId="0" fontId="14" fillId="0" borderId="9" xfId="0" applyFont="1" applyBorder="1" applyAlignment="1">
      <alignment/>
    </xf>
    <xf numFmtId="0" fontId="0" fillId="0" borderId="10" xfId="0" applyBorder="1"/>
    <xf numFmtId="0" fontId="0" fillId="0" borderId="15" xfId="0" applyBorder="1"/>
    <xf numFmtId="0" fontId="15" fillId="0" borderId="1" xfId="0" applyFont="1" applyFill="1" applyBorder="1"/>
    <xf numFmtId="0" fontId="15" fillId="5" borderId="16" xfId="0" applyFont="1" applyFill="1" applyBorder="1" applyAlignment="1">
      <alignment horizontal="center" wrapText="1"/>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6" borderId="17" xfId="0" applyFont="1" applyFill="1" applyBorder="1"/>
    <xf numFmtId="0" fontId="15" fillId="0" borderId="14" xfId="0" applyFont="1" applyFill="1" applyBorder="1" applyAlignment="1">
      <alignment horizontal="left"/>
    </xf>
    <xf numFmtId="0" fontId="16" fillId="0" borderId="18" xfId="0" applyFont="1" applyFill="1" applyBorder="1" applyAlignment="1">
      <alignment horizontal="center" wrapText="1"/>
    </xf>
    <xf numFmtId="0" fontId="15" fillId="0" borderId="0" xfId="0" applyFont="1" applyFill="1" applyBorder="1" applyAlignment="1">
      <alignment horizontal="center"/>
    </xf>
    <xf numFmtId="0" fontId="15" fillId="0" borderId="19" xfId="0" applyFont="1" applyFill="1" applyBorder="1" applyAlignment="1">
      <alignment horizontal="center"/>
    </xf>
    <xf numFmtId="0" fontId="15" fillId="0" borderId="20" xfId="0" applyFont="1" applyFill="1" applyBorder="1" applyAlignment="1">
      <alignment horizontal="center"/>
    </xf>
    <xf numFmtId="0" fontId="14" fillId="0" borderId="21" xfId="0" applyFont="1" applyFill="1" applyBorder="1"/>
    <xf numFmtId="0" fontId="15" fillId="0" borderId="12" xfId="0" applyFont="1" applyFill="1" applyBorder="1" applyAlignment="1">
      <alignment horizontal="center"/>
    </xf>
    <xf numFmtId="0" fontId="15" fillId="0" borderId="22" xfId="0" applyFont="1" applyFill="1" applyBorder="1" applyAlignment="1">
      <alignment horizontal="center"/>
    </xf>
    <xf numFmtId="0" fontId="4" fillId="0" borderId="5" xfId="0" applyFont="1" applyBorder="1" applyAlignment="1">
      <alignment/>
    </xf>
    <xf numFmtId="0" fontId="4" fillId="0" borderId="6" xfId="0" applyFont="1" applyBorder="1" applyAlignment="1">
      <alignment/>
    </xf>
    <xf numFmtId="0" fontId="18" fillId="0" borderId="4" xfId="24" applyFont="1" applyBorder="1">
      <alignment/>
      <protection/>
    </xf>
    <xf numFmtId="0" fontId="1" fillId="0" borderId="6" xfId="24" applyBorder="1" applyAlignment="1">
      <alignment horizontal="center"/>
      <protection/>
    </xf>
    <xf numFmtId="0" fontId="1" fillId="0" borderId="0" xfId="24">
      <alignment/>
      <protection/>
    </xf>
    <xf numFmtId="0" fontId="19" fillId="0" borderId="7" xfId="24" applyFont="1" applyBorder="1">
      <alignment/>
      <protection/>
    </xf>
    <xf numFmtId="0" fontId="1" fillId="0" borderId="8" xfId="24" applyBorder="1" applyAlignment="1">
      <alignment horizontal="center"/>
      <protection/>
    </xf>
    <xf numFmtId="0" fontId="3" fillId="0" borderId="14" xfId="24" applyFont="1" applyBorder="1">
      <alignment/>
      <protection/>
    </xf>
    <xf numFmtId="0" fontId="1" fillId="0" borderId="14" xfId="24" applyFont="1" applyBorder="1" applyAlignment="1">
      <alignment horizontal="left"/>
      <protection/>
    </xf>
    <xf numFmtId="0" fontId="3" fillId="0" borderId="12" xfId="24" applyFont="1" applyBorder="1">
      <alignment/>
      <protection/>
    </xf>
    <xf numFmtId="0" fontId="1" fillId="0" borderId="12" xfId="23" applyFont="1" applyFill="1" applyBorder="1" applyAlignment="1">
      <alignment horizontal="left" wrapText="1"/>
      <protection/>
    </xf>
    <xf numFmtId="0" fontId="1" fillId="0" borderId="0" xfId="23" applyFont="1" applyFill="1" applyBorder="1" applyAlignment="1">
      <alignment wrapText="1"/>
      <protection/>
    </xf>
    <xf numFmtId="0" fontId="3" fillId="0" borderId="12" xfId="23" applyFont="1" applyFill="1" applyBorder="1" applyAlignment="1">
      <alignment/>
      <protection/>
    </xf>
    <xf numFmtId="0" fontId="1" fillId="0" borderId="12" xfId="24" applyFont="1" applyBorder="1" applyAlignment="1">
      <alignment horizontal="left"/>
      <protection/>
    </xf>
    <xf numFmtId="0" fontId="3" fillId="0" borderId="12" xfId="23" applyFont="1" applyFill="1" applyBorder="1" applyAlignment="1">
      <alignment wrapText="1"/>
      <protection/>
    </xf>
    <xf numFmtId="0" fontId="1" fillId="0" borderId="12" xfId="24" applyFont="1" applyBorder="1" applyAlignment="1">
      <alignment horizontal="left" wrapText="1"/>
      <protection/>
    </xf>
    <xf numFmtId="169" fontId="1" fillId="0" borderId="12" xfId="24" applyNumberFormat="1" applyFont="1" applyBorder="1" applyAlignment="1">
      <alignment horizontal="left"/>
      <protection/>
    </xf>
    <xf numFmtId="0" fontId="3" fillId="0" borderId="12" xfId="24" applyFont="1" applyFill="1" applyBorder="1">
      <alignment/>
      <protection/>
    </xf>
    <xf numFmtId="0" fontId="3" fillId="0" borderId="12" xfId="24" applyFont="1" applyBorder="1" applyAlignment="1">
      <alignment wrapText="1"/>
      <protection/>
    </xf>
    <xf numFmtId="172" fontId="1" fillId="0" borderId="12" xfId="25" applyNumberFormat="1" applyFont="1" applyFill="1" applyBorder="1" applyAlignment="1">
      <alignment horizontal="center"/>
    </xf>
    <xf numFmtId="172" fontId="1" fillId="10" borderId="12" xfId="25" applyNumberFormat="1" applyFont="1" applyFill="1" applyBorder="1" applyAlignment="1">
      <alignment horizontal="center"/>
    </xf>
    <xf numFmtId="0" fontId="1" fillId="0" borderId="23" xfId="24" applyFont="1" applyBorder="1">
      <alignment/>
      <protection/>
    </xf>
    <xf numFmtId="0" fontId="1" fillId="0" borderId="24" xfId="24" applyFont="1" applyBorder="1" applyAlignment="1">
      <alignment horizontal="center"/>
      <protection/>
    </xf>
    <xf numFmtId="0" fontId="3" fillId="0" borderId="25" xfId="24" applyFont="1" applyBorder="1">
      <alignment/>
      <protection/>
    </xf>
    <xf numFmtId="0" fontId="1" fillId="0" borderId="26" xfId="24" applyFont="1" applyBorder="1" applyAlignment="1">
      <alignment horizontal="center"/>
      <protection/>
    </xf>
    <xf numFmtId="0" fontId="3" fillId="0" borderId="27" xfId="24" applyFont="1" applyBorder="1">
      <alignment/>
      <protection/>
    </xf>
    <xf numFmtId="0" fontId="1" fillId="0" borderId="13" xfId="24" applyFont="1" applyBorder="1" applyAlignment="1">
      <alignment horizontal="center"/>
      <protection/>
    </xf>
    <xf numFmtId="0" fontId="3" fillId="0" borderId="28" xfId="24" applyFont="1" applyBorder="1">
      <alignment/>
      <protection/>
    </xf>
    <xf numFmtId="0" fontId="1" fillId="0" borderId="27" xfId="24" applyFont="1" applyBorder="1">
      <alignment/>
      <protection/>
    </xf>
    <xf numFmtId="0" fontId="1" fillId="0" borderId="0" xfId="24" applyFont="1">
      <alignment/>
      <protection/>
    </xf>
    <xf numFmtId="0" fontId="1" fillId="0" borderId="0" xfId="24" applyFont="1" applyAlignment="1">
      <alignment horizontal="center"/>
      <protection/>
    </xf>
    <xf numFmtId="0" fontId="1" fillId="0" borderId="0" xfId="24" applyFill="1" applyBorder="1">
      <alignment/>
      <protection/>
    </xf>
    <xf numFmtId="0" fontId="1" fillId="0" borderId="0" xfId="24" applyFill="1" applyBorder="1" applyAlignment="1">
      <alignment horizontal="center"/>
      <protection/>
    </xf>
    <xf numFmtId="0" fontId="1" fillId="0" borderId="0" xfId="24" applyAlignment="1">
      <alignment horizontal="center"/>
      <protection/>
    </xf>
    <xf numFmtId="0" fontId="0" fillId="0" borderId="18" xfId="0" applyBorder="1" applyAlignment="1">
      <alignment horizontal="left" indent="1"/>
    </xf>
    <xf numFmtId="169" fontId="0" fillId="0" borderId="18" xfId="0" applyNumberFormat="1" applyBorder="1" applyAlignment="1">
      <alignment horizontal="left" indent="1"/>
    </xf>
    <xf numFmtId="0" fontId="1" fillId="0" borderId="7" xfId="0" applyFont="1" applyBorder="1" applyAlignment="1">
      <alignment/>
    </xf>
    <xf numFmtId="0" fontId="3" fillId="6" borderId="7" xfId="0" applyFont="1" applyFill="1" applyBorder="1"/>
    <xf numFmtId="0" fontId="14" fillId="0" borderId="4" xfId="0" applyFont="1" applyFill="1" applyBorder="1"/>
    <xf numFmtId="0" fontId="1" fillId="0" borderId="29" xfId="0" applyFont="1" applyFill="1" applyBorder="1"/>
    <xf numFmtId="0" fontId="3" fillId="6" borderId="17" xfId="0" applyFont="1" applyFill="1" applyBorder="1" applyAlignment="1">
      <alignment wrapText="1"/>
    </xf>
    <xf numFmtId="0" fontId="3" fillId="6" borderId="21" xfId="0" applyFont="1" applyFill="1" applyBorder="1" applyAlignment="1">
      <alignment horizontal="left" wrapText="1"/>
    </xf>
    <xf numFmtId="0" fontId="3" fillId="0" borderId="30" xfId="0" applyFont="1" applyFill="1" applyBorder="1" applyAlignment="1">
      <alignment horizontal="center"/>
    </xf>
    <xf numFmtId="4" fontId="3" fillId="6" borderId="12" xfId="0" applyNumberFormat="1" applyFont="1" applyFill="1" applyBorder="1"/>
    <xf numFmtId="166" fontId="3" fillId="6" borderId="12" xfId="0" applyNumberFormat="1" applyFont="1" applyFill="1" applyBorder="1"/>
    <xf numFmtId="4" fontId="3" fillId="6" borderId="22" xfId="0" applyNumberFormat="1" applyFont="1" applyFill="1" applyBorder="1"/>
    <xf numFmtId="4" fontId="1" fillId="11" borderId="12" xfId="0" applyNumberFormat="1" applyFont="1" applyFill="1" applyBorder="1"/>
    <xf numFmtId="4" fontId="1" fillId="11" borderId="22" xfId="0" applyNumberFormat="1" applyFont="1" applyFill="1" applyBorder="1"/>
    <xf numFmtId="4" fontId="3" fillId="11" borderId="22" xfId="0" applyNumberFormat="1" applyFont="1" applyFill="1" applyBorder="1"/>
    <xf numFmtId="0" fontId="3" fillId="12" borderId="31" xfId="0" applyFont="1" applyFill="1" applyBorder="1" applyAlignment="1">
      <alignment horizontal="center"/>
    </xf>
    <xf numFmtId="4" fontId="1" fillId="11" borderId="32" xfId="0" applyNumberFormat="1" applyFont="1" applyFill="1" applyBorder="1"/>
    <xf numFmtId="4" fontId="1" fillId="11" borderId="33" xfId="0" applyNumberFormat="1" applyFont="1" applyFill="1" applyBorder="1"/>
    <xf numFmtId="4" fontId="3" fillId="4" borderId="34" xfId="0" applyNumberFormat="1" applyFont="1" applyFill="1" applyBorder="1"/>
    <xf numFmtId="166" fontId="1" fillId="11" borderId="12" xfId="0" applyNumberFormat="1" applyFont="1" applyFill="1" applyBorder="1"/>
    <xf numFmtId="0" fontId="1" fillId="11" borderId="21" xfId="0" applyFont="1" applyFill="1" applyBorder="1" applyAlignment="1">
      <alignment horizontal="left" vertical="top" wrapText="1"/>
    </xf>
    <xf numFmtId="0" fontId="3" fillId="11" borderId="21" xfId="0" applyFont="1" applyFill="1" applyBorder="1" applyAlignment="1">
      <alignment vertical="top" wrapText="1"/>
    </xf>
    <xf numFmtId="0" fontId="3" fillId="6" borderId="21" xfId="0" applyFont="1" applyFill="1" applyBorder="1" applyAlignment="1">
      <alignment vertical="top" wrapText="1"/>
    </xf>
    <xf numFmtId="0" fontId="3" fillId="6" borderId="21" xfId="0" applyFont="1" applyFill="1" applyBorder="1" applyAlignment="1">
      <alignment horizontal="left" vertical="top" wrapText="1"/>
    </xf>
    <xf numFmtId="0" fontId="3" fillId="11" borderId="35" xfId="0" applyFont="1" applyFill="1" applyBorder="1" applyAlignment="1">
      <alignment vertical="top" wrapText="1"/>
    </xf>
    <xf numFmtId="0" fontId="3" fillId="4" borderId="36" xfId="0" applyFont="1" applyFill="1" applyBorder="1" applyAlignment="1">
      <alignment wrapText="1"/>
    </xf>
    <xf numFmtId="0" fontId="1" fillId="11" borderId="21" xfId="0" applyFont="1" applyFill="1" applyBorder="1" applyAlignment="1">
      <alignment horizontal="left" wrapText="1"/>
    </xf>
    <xf numFmtId="0" fontId="0" fillId="0" borderId="37" xfId="0" applyBorder="1" applyAlignment="1">
      <alignment horizontal="left" indent="1"/>
    </xf>
    <xf numFmtId="169" fontId="0" fillId="0" borderId="37" xfId="0" applyNumberFormat="1" applyBorder="1" applyAlignment="1">
      <alignment horizontal="left" indent="1"/>
    </xf>
    <xf numFmtId="166" fontId="3" fillId="6" borderId="14" xfId="0" applyNumberFormat="1" applyFont="1" applyFill="1" applyBorder="1"/>
    <xf numFmtId="166" fontId="1" fillId="9" borderId="12" xfId="0" applyNumberFormat="1" applyFont="1" applyFill="1" applyBorder="1"/>
    <xf numFmtId="166" fontId="1" fillId="11" borderId="10" xfId="0" applyNumberFormat="1" applyFont="1" applyFill="1" applyBorder="1"/>
    <xf numFmtId="166" fontId="3" fillId="5" borderId="32" xfId="0" applyNumberFormat="1" applyFont="1" applyFill="1" applyBorder="1" applyAlignment="1">
      <alignment/>
    </xf>
    <xf numFmtId="166" fontId="3" fillId="6" borderId="20" xfId="0" applyNumberFormat="1" applyFont="1" applyFill="1" applyBorder="1"/>
    <xf numFmtId="166" fontId="1" fillId="11" borderId="22" xfId="0" applyNumberFormat="1" applyFont="1" applyFill="1" applyBorder="1"/>
    <xf numFmtId="166" fontId="3" fillId="6" borderId="22" xfId="0" applyNumberFormat="1" applyFont="1" applyFill="1" applyBorder="1"/>
    <xf numFmtId="166" fontId="3" fillId="11" borderId="22" xfId="0" applyNumberFormat="1" applyFont="1" applyFill="1" applyBorder="1"/>
    <xf numFmtId="166" fontId="1" fillId="11" borderId="15" xfId="0" applyNumberFormat="1" applyFont="1" applyFill="1" applyBorder="1"/>
    <xf numFmtId="166" fontId="3" fillId="5" borderId="33" xfId="0" applyNumberFormat="1" applyFont="1" applyFill="1" applyBorder="1" applyAlignment="1">
      <alignment/>
    </xf>
    <xf numFmtId="167" fontId="2" fillId="13" borderId="12" xfId="20" applyNumberFormat="1" applyFont="1" applyFill="1" applyBorder="1" applyAlignment="1">
      <alignment horizontal="center"/>
    </xf>
    <xf numFmtId="0" fontId="1" fillId="0" borderId="15" xfId="21" applyNumberFormat="1" applyFont="1" applyBorder="1" applyAlignment="1">
      <alignment horizontal="center"/>
    </xf>
    <xf numFmtId="167" fontId="1" fillId="0" borderId="0" xfId="21" applyNumberFormat="1" applyAlignment="1">
      <alignment vertical="top"/>
    </xf>
    <xf numFmtId="167" fontId="1" fillId="0" borderId="0" xfId="21" applyNumberFormat="1" applyFont="1" applyAlignment="1">
      <alignment vertical="top"/>
    </xf>
    <xf numFmtId="0" fontId="1" fillId="0" borderId="0" xfId="23" applyAlignment="1">
      <alignment vertical="top"/>
      <protection/>
    </xf>
    <xf numFmtId="168" fontId="3" fillId="4" borderId="12" xfId="21" applyNumberFormat="1" applyFont="1" applyFill="1" applyBorder="1" applyAlignment="1">
      <alignment horizontal="center" vertical="top"/>
    </xf>
    <xf numFmtId="167" fontId="2" fillId="13" borderId="12" xfId="20" applyNumberFormat="1" applyFont="1" applyFill="1" applyBorder="1" applyAlignment="1">
      <alignment horizontal="center" vertical="top"/>
    </xf>
    <xf numFmtId="167" fontId="3" fillId="8" borderId="12" xfId="21" applyNumberFormat="1" applyFont="1" applyFill="1" applyBorder="1" applyAlignment="1">
      <alignment horizontal="center" vertical="top"/>
    </xf>
    <xf numFmtId="166" fontId="3" fillId="6" borderId="11" xfId="21" applyNumberFormat="1" applyFont="1" applyFill="1" applyBorder="1"/>
    <xf numFmtId="166" fontId="3" fillId="9" borderId="11" xfId="21" applyNumberFormat="1" applyFont="1" applyFill="1" applyBorder="1"/>
    <xf numFmtId="166" fontId="3" fillId="6" borderId="12" xfId="21" applyNumberFormat="1" applyFont="1" applyFill="1" applyBorder="1" applyAlignment="1">
      <alignment vertical="top"/>
    </xf>
    <xf numFmtId="166" fontId="3" fillId="9" borderId="12" xfId="21" applyNumberFormat="1" applyFont="1" applyFill="1" applyBorder="1" applyAlignment="1">
      <alignment vertical="top"/>
    </xf>
    <xf numFmtId="167" fontId="21" fillId="14" borderId="12" xfId="21" applyNumberFormat="1" applyFont="1" applyFill="1" applyBorder="1" applyAlignment="1">
      <alignment horizontal="left" vertical="center" wrapText="1"/>
    </xf>
    <xf numFmtId="166" fontId="1" fillId="14" borderId="11" xfId="21" applyNumberFormat="1" applyFont="1" applyFill="1" applyBorder="1"/>
    <xf numFmtId="166" fontId="1" fillId="14" borderId="12" xfId="21" applyNumberFormat="1" applyFont="1" applyFill="1" applyBorder="1"/>
    <xf numFmtId="166" fontId="1" fillId="14" borderId="12" xfId="21" applyNumberFormat="1" applyFont="1" applyFill="1" applyBorder="1" applyAlignment="1">
      <alignment vertical="top"/>
    </xf>
    <xf numFmtId="1" fontId="1" fillId="0" borderId="0" xfId="21" applyNumberFormat="1" applyFont="1" applyBorder="1"/>
    <xf numFmtId="167" fontId="1" fillId="0" borderId="0" xfId="21" applyNumberFormat="1" applyFont="1" applyBorder="1"/>
    <xf numFmtId="167" fontId="1" fillId="0" borderId="11" xfId="21" applyNumberFormat="1" applyFont="1" applyBorder="1"/>
    <xf numFmtId="167" fontId="1" fillId="0" borderId="12" xfId="21" applyNumberFormat="1" applyFont="1" applyBorder="1"/>
    <xf numFmtId="167" fontId="1" fillId="14" borderId="11" xfId="21" applyNumberFormat="1" applyFont="1" applyFill="1" applyBorder="1"/>
    <xf numFmtId="167" fontId="1" fillId="14" borderId="12" xfId="21" applyNumberFormat="1" applyFont="1" applyFill="1" applyBorder="1"/>
    <xf numFmtId="1" fontId="1" fillId="0" borderId="0" xfId="23" applyNumberFormat="1" applyFont="1" applyBorder="1">
      <alignment/>
      <protection/>
    </xf>
    <xf numFmtId="0" fontId="21" fillId="14" borderId="12" xfId="21" applyNumberFormat="1" applyFont="1" applyFill="1" applyBorder="1" applyAlignment="1">
      <alignment horizontal="left" wrapText="1"/>
    </xf>
    <xf numFmtId="0" fontId="1" fillId="0" borderId="0" xfId="23" applyFont="1" applyBorder="1">
      <alignment/>
      <protection/>
    </xf>
    <xf numFmtId="0" fontId="1" fillId="0" borderId="11" xfId="23" applyFont="1" applyBorder="1">
      <alignment/>
      <protection/>
    </xf>
    <xf numFmtId="0" fontId="1" fillId="0" borderId="12" xfId="23" applyFont="1" applyBorder="1">
      <alignment/>
      <protection/>
    </xf>
    <xf numFmtId="167" fontId="21" fillId="14" borderId="12" xfId="21" applyNumberFormat="1" applyFont="1" applyFill="1" applyBorder="1" applyAlignment="1">
      <alignment horizontal="left" wrapText="1"/>
    </xf>
    <xf numFmtId="166" fontId="3" fillId="0" borderId="12" xfId="21" applyNumberFormat="1" applyFont="1" applyBorder="1"/>
    <xf numFmtId="166" fontId="3" fillId="8" borderId="12" xfId="21" applyNumberFormat="1" applyFont="1" applyFill="1" applyBorder="1"/>
    <xf numFmtId="166" fontId="3" fillId="0" borderId="12" xfId="21" applyNumberFormat="1" applyFont="1" applyFill="1" applyBorder="1"/>
    <xf numFmtId="166" fontId="3" fillId="6" borderId="12" xfId="21" applyNumberFormat="1" applyFont="1" applyFill="1" applyBorder="1"/>
    <xf numFmtId="0" fontId="0" fillId="0" borderId="38" xfId="0" applyBorder="1"/>
    <xf numFmtId="0" fontId="0" fillId="0" borderId="37" xfId="0" applyBorder="1"/>
    <xf numFmtId="0" fontId="0" fillId="0" borderId="11" xfId="0" applyBorder="1"/>
    <xf numFmtId="0" fontId="10" fillId="0" borderId="0" xfId="23" applyFont="1" applyBorder="1" applyAlignment="1">
      <alignment horizontal="center" vertical="center"/>
      <protection/>
    </xf>
    <xf numFmtId="167" fontId="12" fillId="13" borderId="39" xfId="21" applyNumberFormat="1" applyFont="1" applyFill="1" applyBorder="1" applyAlignment="1">
      <alignment horizontal="center" vertical="center"/>
    </xf>
    <xf numFmtId="166" fontId="12" fillId="13" borderId="39" xfId="21" applyNumberFormat="1" applyFont="1" applyFill="1" applyBorder="1" applyAlignment="1">
      <alignment horizontal="center" vertical="center"/>
    </xf>
    <xf numFmtId="0" fontId="10" fillId="0" borderId="11" xfId="23" applyFont="1" applyBorder="1" applyAlignment="1">
      <alignment horizontal="center" vertical="center"/>
      <protection/>
    </xf>
    <xf numFmtId="0" fontId="10" fillId="0" borderId="12" xfId="23" applyFont="1" applyBorder="1" applyAlignment="1">
      <alignment horizontal="center" vertical="center"/>
      <protection/>
    </xf>
    <xf numFmtId="0" fontId="11" fillId="13" borderId="12" xfId="21" applyNumberFormat="1" applyFont="1" applyFill="1" applyBorder="1" applyAlignment="1">
      <alignment horizontal="left" vertical="center" wrapText="1"/>
    </xf>
    <xf numFmtId="0" fontId="1" fillId="0" borderId="0" xfId="24" applyFill="1">
      <alignment/>
      <protection/>
    </xf>
    <xf numFmtId="167" fontId="3" fillId="4" borderId="37" xfId="21" applyNumberFormat="1" applyFont="1" applyFill="1" applyBorder="1" applyAlignment="1">
      <alignment horizontal="center" vertical="center"/>
    </xf>
    <xf numFmtId="0" fontId="3" fillId="5" borderId="12" xfId="23" applyFont="1" applyFill="1" applyBorder="1" applyAlignment="1">
      <alignment horizontal="center" vertical="center" wrapText="1"/>
      <protection/>
    </xf>
    <xf numFmtId="170" fontId="0" fillId="0" borderId="0" xfId="0" applyNumberFormat="1"/>
    <xf numFmtId="173" fontId="0" fillId="0" borderId="0" xfId="0" applyNumberFormat="1"/>
    <xf numFmtId="172" fontId="0" fillId="0" borderId="0" xfId="31" applyNumberFormat="1" applyFont="1"/>
    <xf numFmtId="172" fontId="0" fillId="0" borderId="0" xfId="0" applyNumberFormat="1"/>
    <xf numFmtId="0" fontId="0" fillId="15" borderId="0" xfId="0" applyFill="1"/>
    <xf numFmtId="0" fontId="0" fillId="16" borderId="0" xfId="0" applyFill="1"/>
    <xf numFmtId="10" fontId="0" fillId="0" borderId="0" xfId="0" applyNumberFormat="1"/>
    <xf numFmtId="0" fontId="22" fillId="4" borderId="0" xfId="0" applyFont="1" applyFill="1"/>
    <xf numFmtId="0" fontId="0" fillId="4" borderId="0" xfId="0" applyFill="1"/>
    <xf numFmtId="170" fontId="22" fillId="4" borderId="0" xfId="0" applyNumberFormat="1" applyFont="1" applyFill="1"/>
    <xf numFmtId="166" fontId="1" fillId="0" borderId="0" xfId="23" applyNumberFormat="1" applyAlignment="1">
      <alignment horizontal="center" vertical="center"/>
      <protection/>
    </xf>
    <xf numFmtId="4" fontId="0" fillId="0" borderId="0" xfId="0" applyNumberFormat="1"/>
    <xf numFmtId="172" fontId="0" fillId="0" borderId="0" xfId="0" applyNumberFormat="1" applyFill="1"/>
    <xf numFmtId="0" fontId="0" fillId="17" borderId="0" xfId="0" applyFill="1"/>
    <xf numFmtId="166" fontId="3" fillId="0" borderId="0" xfId="0" applyNumberFormat="1" applyFont="1"/>
    <xf numFmtId="0" fontId="0" fillId="0" borderId="0" xfId="0" applyFill="1"/>
    <xf numFmtId="0" fontId="24" fillId="0" borderId="0" xfId="0" applyFont="1" applyFill="1"/>
    <xf numFmtId="166" fontId="24" fillId="0" borderId="0" xfId="20" applyFont="1" applyFill="1"/>
    <xf numFmtId="166" fontId="24" fillId="0" borderId="0" xfId="0" applyNumberFormat="1" applyFont="1" applyFill="1"/>
    <xf numFmtId="172" fontId="22" fillId="4" borderId="0" xfId="0" applyNumberFormat="1" applyFont="1" applyFill="1"/>
    <xf numFmtId="166" fontId="0" fillId="0" borderId="0" xfId="0" applyNumberFormat="1"/>
    <xf numFmtId="43" fontId="0" fillId="0" borderId="0" xfId="0" applyNumberFormat="1"/>
    <xf numFmtId="172" fontId="22" fillId="0" borderId="0" xfId="0" applyNumberFormat="1" applyFont="1" applyFill="1"/>
    <xf numFmtId="0" fontId="22" fillId="0" borderId="0" xfId="0" applyFont="1" applyFill="1"/>
    <xf numFmtId="0" fontId="24" fillId="18" borderId="0" xfId="0" applyFont="1" applyFill="1"/>
    <xf numFmtId="4" fontId="2" fillId="13" borderId="12" xfId="20" applyNumberFormat="1" applyFont="1" applyFill="1" applyBorder="1" applyAlignment="1">
      <alignment horizontal="center"/>
    </xf>
    <xf numFmtId="166" fontId="1" fillId="0" borderId="0" xfId="21" applyNumberFormat="1" applyBorder="1"/>
    <xf numFmtId="166" fontId="1" fillId="0" borderId="0" xfId="21" applyNumberFormat="1" applyFont="1" applyBorder="1" applyAlignment="1">
      <alignment horizontal="center"/>
    </xf>
    <xf numFmtId="166" fontId="1" fillId="0" borderId="0" xfId="21" applyNumberFormat="1" applyBorder="1" applyAlignment="1">
      <alignment horizontal="center"/>
    </xf>
    <xf numFmtId="166" fontId="4" fillId="0" borderId="0" xfId="21" applyNumberFormat="1" applyFont="1" applyBorder="1" applyAlignment="1">
      <alignment horizontal="left"/>
    </xf>
    <xf numFmtId="166" fontId="4" fillId="0" borderId="0" xfId="21" applyNumberFormat="1" applyFont="1" applyFill="1" applyBorder="1" applyAlignment="1">
      <alignment horizontal="left"/>
    </xf>
    <xf numFmtId="166" fontId="2" fillId="13" borderId="12" xfId="20" applyNumberFormat="1" applyFont="1" applyFill="1" applyBorder="1" applyAlignment="1">
      <alignment horizontal="center"/>
    </xf>
    <xf numFmtId="166" fontId="3" fillId="7" borderId="12" xfId="21" applyNumberFormat="1" applyFont="1" applyFill="1" applyBorder="1" applyAlignment="1">
      <alignment horizontal="center"/>
    </xf>
    <xf numFmtId="166" fontId="3" fillId="8" borderId="12" xfId="21" applyNumberFormat="1" applyFont="1" applyFill="1" applyBorder="1" applyAlignment="1">
      <alignment horizontal="center"/>
    </xf>
    <xf numFmtId="166" fontId="3" fillId="8" borderId="12" xfId="23" applyNumberFormat="1" applyFont="1" applyFill="1" applyBorder="1">
      <alignment/>
      <protection/>
    </xf>
    <xf numFmtId="166" fontId="1" fillId="0" borderId="0" xfId="21" applyNumberFormat="1"/>
    <xf numFmtId="14" fontId="2" fillId="6" borderId="12" xfId="0" applyNumberFormat="1" applyFont="1" applyFill="1" applyBorder="1" applyAlignment="1">
      <alignment horizontal="center" vertical="center" wrapText="1"/>
    </xf>
    <xf numFmtId="166" fontId="3" fillId="0" borderId="12" xfId="21" applyNumberFormat="1" applyFont="1" applyFill="1" applyBorder="1" applyAlignment="1">
      <alignment vertical="top"/>
    </xf>
    <xf numFmtId="166" fontId="3" fillId="8" borderId="12" xfId="21" applyNumberFormat="1" applyFont="1" applyFill="1" applyBorder="1" applyAlignment="1">
      <alignment vertical="top"/>
    </xf>
    <xf numFmtId="166" fontId="1" fillId="14" borderId="11" xfId="21" applyNumberFormat="1" applyFont="1" applyFill="1" applyBorder="1" applyAlignment="1">
      <alignment vertical="top"/>
    </xf>
    <xf numFmtId="166" fontId="3" fillId="9" borderId="11" xfId="21" applyNumberFormat="1" applyFont="1" applyFill="1" applyBorder="1" applyAlignment="1">
      <alignment vertical="top"/>
    </xf>
    <xf numFmtId="166" fontId="3" fillId="0" borderId="11" xfId="21" applyNumberFormat="1" applyFont="1" applyBorder="1"/>
    <xf numFmtId="166" fontId="3" fillId="8" borderId="11" xfId="21" applyNumberFormat="1" applyFont="1" applyFill="1" applyBorder="1"/>
    <xf numFmtId="166" fontId="3" fillId="8" borderId="11" xfId="23" applyNumberFormat="1" applyFont="1" applyFill="1" applyBorder="1">
      <alignment/>
      <protection/>
    </xf>
    <xf numFmtId="166" fontId="1" fillId="0" borderId="0" xfId="21" applyNumberFormat="1" applyFill="1"/>
    <xf numFmtId="166" fontId="1" fillId="0" borderId="0" xfId="21" applyNumberFormat="1" applyAlignment="1">
      <alignment vertical="top"/>
    </xf>
    <xf numFmtId="40" fontId="3" fillId="6" borderId="12" xfId="0" applyNumberFormat="1" applyFont="1" applyFill="1" applyBorder="1"/>
    <xf numFmtId="40" fontId="1" fillId="11" borderId="12" xfId="0" applyNumberFormat="1" applyFont="1" applyFill="1" applyBorder="1"/>
    <xf numFmtId="40" fontId="1" fillId="0" borderId="12" xfId="0" applyNumberFormat="1" applyFont="1" applyFill="1" applyBorder="1"/>
    <xf numFmtId="40" fontId="1" fillId="11" borderId="32" xfId="0" applyNumberFormat="1" applyFont="1" applyFill="1" applyBorder="1"/>
    <xf numFmtId="40" fontId="1" fillId="0" borderId="32" xfId="0" applyNumberFormat="1" applyFont="1" applyFill="1" applyBorder="1"/>
    <xf numFmtId="40" fontId="3" fillId="4" borderId="34" xfId="0" applyNumberFormat="1" applyFont="1" applyFill="1" applyBorder="1"/>
    <xf numFmtId="40" fontId="3" fillId="6" borderId="12" xfId="21" applyNumberFormat="1" applyFont="1" applyFill="1" applyBorder="1"/>
    <xf numFmtId="40" fontId="1" fillId="14" borderId="12" xfId="21" applyNumberFormat="1" applyFont="1" applyFill="1" applyBorder="1"/>
    <xf numFmtId="40" fontId="3" fillId="9" borderId="12" xfId="21" applyNumberFormat="1" applyFont="1" applyFill="1" applyBorder="1"/>
    <xf numFmtId="40" fontId="3" fillId="0" borderId="12" xfId="21" applyNumberFormat="1" applyFont="1" applyBorder="1"/>
    <xf numFmtId="40" fontId="3" fillId="8" borderId="12" xfId="21" applyNumberFormat="1" applyFont="1" applyFill="1" applyBorder="1"/>
    <xf numFmtId="40" fontId="1" fillId="14" borderId="11" xfId="21" applyNumberFormat="1" applyFont="1" applyFill="1" applyBorder="1"/>
    <xf numFmtId="40" fontId="3" fillId="9" borderId="11" xfId="21" applyNumberFormat="1" applyFont="1" applyFill="1" applyBorder="1"/>
    <xf numFmtId="40" fontId="3" fillId="0" borderId="12" xfId="21" applyNumberFormat="1" applyFont="1" applyFill="1" applyBorder="1"/>
    <xf numFmtId="40" fontId="12" fillId="13" borderId="39" xfId="21" applyNumberFormat="1" applyFont="1" applyFill="1" applyBorder="1" applyAlignment="1">
      <alignment horizontal="center" vertical="center"/>
    </xf>
    <xf numFmtId="40" fontId="1" fillId="0" borderId="0" xfId="23" applyNumberFormat="1" applyFont="1">
      <alignment/>
      <protection/>
    </xf>
    <xf numFmtId="40" fontId="1" fillId="0" borderId="0" xfId="23" applyNumberFormat="1">
      <alignment/>
      <protection/>
    </xf>
    <xf numFmtId="40" fontId="3" fillId="7" borderId="12" xfId="21" applyNumberFormat="1" applyFont="1" applyFill="1" applyBorder="1" applyAlignment="1">
      <alignment horizontal="center"/>
    </xf>
    <xf numFmtId="40" fontId="3" fillId="8" borderId="12" xfId="21" applyNumberFormat="1" applyFont="1" applyFill="1" applyBorder="1" applyAlignment="1">
      <alignment horizontal="center"/>
    </xf>
    <xf numFmtId="0" fontId="0" fillId="0" borderId="0" xfId="0"/>
    <xf numFmtId="166" fontId="1" fillId="14" borderId="11" xfId="21" applyNumberFormat="1" applyFont="1" applyFill="1" applyBorder="1"/>
    <xf numFmtId="166" fontId="1" fillId="14" borderId="12" xfId="21" applyNumberFormat="1" applyFont="1" applyFill="1" applyBorder="1"/>
    <xf numFmtId="9" fontId="0" fillId="0" borderId="0" xfId="0" applyNumberFormat="1"/>
    <xf numFmtId="172" fontId="0" fillId="0" borderId="0" xfId="0" applyNumberFormat="1"/>
    <xf numFmtId="172" fontId="0" fillId="4" borderId="0" xfId="0" applyNumberFormat="1" applyFill="1"/>
    <xf numFmtId="172" fontId="24" fillId="19" borderId="0" xfId="31" applyNumberFormat="1" applyFont="1" applyFill="1"/>
    <xf numFmtId="172" fontId="20" fillId="0" borderId="0" xfId="31" applyNumberFormat="1" applyFont="1"/>
    <xf numFmtId="174" fontId="0" fillId="0" borderId="8" xfId="0" applyNumberFormat="1" applyBorder="1" applyAlignment="1">
      <alignment horizontal="left" indent="1"/>
    </xf>
    <xf numFmtId="0" fontId="28" fillId="20" borderId="0" xfId="0" applyFont="1" applyFill="1" applyAlignment="1">
      <alignment horizontal="left"/>
    </xf>
    <xf numFmtId="172" fontId="22" fillId="20" borderId="0" xfId="31" applyNumberFormat="1" applyFont="1" applyFill="1" applyAlignment="1">
      <alignment horizontal="left"/>
    </xf>
    <xf numFmtId="172" fontId="22" fillId="20" borderId="0" xfId="31" applyNumberFormat="1" applyFont="1" applyFill="1"/>
    <xf numFmtId="0" fontId="27" fillId="21" borderId="0" xfId="0" applyFont="1" applyFill="1"/>
    <xf numFmtId="172" fontId="27" fillId="21" borderId="0" xfId="0" applyNumberFormat="1" applyFont="1" applyFill="1"/>
    <xf numFmtId="0" fontId="1" fillId="0" borderId="0" xfId="21" applyNumberFormat="1" applyFont="1" applyBorder="1" applyAlignment="1">
      <alignment horizontal="center"/>
    </xf>
    <xf numFmtId="9" fontId="0" fillId="0" borderId="0" xfId="38" applyFont="1"/>
    <xf numFmtId="172" fontId="25" fillId="22" borderId="0" xfId="31" applyNumberFormat="1" applyFont="1" applyFill="1"/>
    <xf numFmtId="0" fontId="27" fillId="0" borderId="0" xfId="0" applyFont="1"/>
    <xf numFmtId="170" fontId="27" fillId="0" borderId="0" xfId="0" applyNumberFormat="1" applyFont="1"/>
    <xf numFmtId="173" fontId="27" fillId="0" borderId="0" xfId="0" applyNumberFormat="1" applyFont="1"/>
    <xf numFmtId="9" fontId="27" fillId="0" borderId="0" xfId="0" applyNumberFormat="1" applyFont="1"/>
    <xf numFmtId="9" fontId="27" fillId="0" borderId="0" xfId="38" applyFont="1"/>
    <xf numFmtId="172" fontId="29" fillId="0" borderId="0" xfId="31" applyNumberFormat="1" applyFont="1"/>
    <xf numFmtId="0" fontId="27" fillId="0" borderId="0" xfId="0" applyFont="1" applyFill="1"/>
    <xf numFmtId="0" fontId="27" fillId="4" borderId="0" xfId="0" applyFont="1" applyFill="1"/>
    <xf numFmtId="0" fontId="3" fillId="12" borderId="25" xfId="24" applyFont="1" applyFill="1" applyBorder="1">
      <alignment/>
      <protection/>
    </xf>
    <xf numFmtId="172" fontId="0" fillId="0" borderId="0" xfId="31" applyNumberFormat="1" applyFont="1" applyFill="1"/>
    <xf numFmtId="167" fontId="3" fillId="4" borderId="37" xfId="21" applyNumberFormat="1" applyFont="1" applyFill="1" applyBorder="1" applyAlignment="1">
      <alignment vertical="center"/>
    </xf>
    <xf numFmtId="172" fontId="0" fillId="12" borderId="0" xfId="31" applyNumberFormat="1" applyFont="1" applyFill="1"/>
    <xf numFmtId="172" fontId="25" fillId="12" borderId="0" xfId="31" applyNumberFormat="1" applyFont="1" applyFill="1"/>
    <xf numFmtId="0" fontId="3" fillId="5" borderId="12" xfId="23" applyFont="1" applyFill="1" applyBorder="1" applyAlignment="1">
      <alignment horizontal="center" vertical="center" wrapText="1"/>
      <protection/>
    </xf>
    <xf numFmtId="164" fontId="1" fillId="0" borderId="12" xfId="25" applyNumberFormat="1" applyFont="1" applyFill="1" applyBorder="1" applyAlignment="1">
      <alignment/>
    </xf>
    <xf numFmtId="167" fontId="3" fillId="0" borderId="0" xfId="21" applyNumberFormat="1" applyFont="1" applyFill="1" applyBorder="1"/>
    <xf numFmtId="0" fontId="0" fillId="0" borderId="0" xfId="0" applyBorder="1"/>
    <xf numFmtId="166" fontId="12" fillId="13" borderId="39" xfId="20" applyFont="1" applyFill="1" applyBorder="1" applyAlignment="1">
      <alignment horizontal="center" vertical="center"/>
    </xf>
    <xf numFmtId="0" fontId="0" fillId="0" borderId="0" xfId="0" applyFill="1" applyAlignment="1">
      <alignment vertical="center"/>
    </xf>
    <xf numFmtId="9" fontId="0" fillId="0" borderId="0" xfId="0" applyNumberFormat="1" applyFill="1" applyAlignment="1">
      <alignment vertical="center"/>
    </xf>
    <xf numFmtId="172" fontId="20" fillId="0" borderId="0" xfId="31" applyNumberFormat="1" applyFont="1" applyFill="1" applyAlignment="1">
      <alignment vertical="center"/>
    </xf>
    <xf numFmtId="172" fontId="0" fillId="0" borderId="0" xfId="31" applyNumberFormat="1" applyFont="1" applyFill="1"/>
    <xf numFmtId="0" fontId="3" fillId="0" borderId="25" xfId="24" applyFont="1" applyFill="1" applyBorder="1">
      <alignment/>
      <protection/>
    </xf>
    <xf numFmtId="0" fontId="16" fillId="0" borderId="12" xfId="24" applyFont="1" applyFill="1" applyBorder="1" applyAlignment="1">
      <alignment horizontal="left" vertical="top" wrapText="1"/>
      <protection/>
    </xf>
    <xf numFmtId="9" fontId="0" fillId="0" borderId="0" xfId="38" applyFont="1" applyFill="1" applyAlignment="1">
      <alignment vertical="center"/>
    </xf>
    <xf numFmtId="169" fontId="32" fillId="0" borderId="8" xfId="0" applyNumberFormat="1" applyFont="1" applyBorder="1" applyAlignment="1">
      <alignment horizontal="left" indent="1"/>
    </xf>
    <xf numFmtId="172" fontId="20" fillId="0" borderId="0" xfId="31" applyNumberFormat="1" applyFont="1" applyFill="1"/>
    <xf numFmtId="4" fontId="0" fillId="0" borderId="0" xfId="0" applyNumberFormat="1" applyFill="1"/>
    <xf numFmtId="9" fontId="0" fillId="0" borderId="0" xfId="0" applyNumberFormat="1" applyFill="1"/>
    <xf numFmtId="166" fontId="1" fillId="22" borderId="12" xfId="0" applyNumberFormat="1" applyFont="1" applyFill="1" applyBorder="1"/>
    <xf numFmtId="173" fontId="27" fillId="0" borderId="0" xfId="0" applyNumberFormat="1" applyFont="1" applyFill="1" applyAlignment="1">
      <alignment vertical="center"/>
    </xf>
    <xf numFmtId="173" fontId="0" fillId="0" borderId="0" xfId="0" applyNumberFormat="1" applyFill="1" applyAlignment="1">
      <alignment vertical="center"/>
    </xf>
    <xf numFmtId="0" fontId="27" fillId="0" borderId="0" xfId="0" applyFont="1" applyFill="1" applyAlignment="1">
      <alignment vertical="center"/>
    </xf>
    <xf numFmtId="9" fontId="27" fillId="0" borderId="0" xfId="38" applyFont="1" applyFill="1" applyAlignment="1">
      <alignment vertical="center"/>
    </xf>
    <xf numFmtId="172" fontId="33" fillId="0" borderId="0" xfId="0" applyNumberFormat="1" applyFont="1"/>
    <xf numFmtId="166" fontId="1" fillId="11" borderId="40" xfId="0" applyNumberFormat="1" applyFont="1" applyFill="1" applyBorder="1"/>
    <xf numFmtId="166" fontId="1" fillId="11" borderId="23" xfId="0" applyNumberFormat="1" applyFont="1" applyFill="1" applyBorder="1"/>
    <xf numFmtId="49" fontId="0" fillId="0" borderId="0" xfId="0" applyNumberFormat="1" applyFill="1"/>
    <xf numFmtId="166" fontId="22" fillId="0" borderId="0" xfId="20" applyFont="1" applyFill="1"/>
    <xf numFmtId="9" fontId="20" fillId="0" borderId="0" xfId="38" applyFont="1" applyFill="1"/>
    <xf numFmtId="172" fontId="29" fillId="0" borderId="0" xfId="31" applyNumberFormat="1" applyFont="1" applyFill="1"/>
    <xf numFmtId="172" fontId="27" fillId="0" borderId="0" xfId="31" applyNumberFormat="1" applyFont="1" applyFill="1"/>
    <xf numFmtId="0" fontId="27" fillId="23" borderId="0" xfId="0" applyFont="1" applyFill="1"/>
    <xf numFmtId="43" fontId="27" fillId="0" borderId="0" xfId="0" applyNumberFormat="1" applyFont="1"/>
    <xf numFmtId="166" fontId="20" fillId="0" borderId="0" xfId="20" applyFont="1" applyFill="1"/>
    <xf numFmtId="166" fontId="29" fillId="0" borderId="0" xfId="20" applyFont="1" applyFill="1"/>
    <xf numFmtId="170" fontId="0" fillId="0" borderId="0" xfId="0" applyNumberFormat="1" applyAlignment="1">
      <alignment horizontal="center" vertical="center"/>
    </xf>
    <xf numFmtId="170" fontId="27" fillId="0" borderId="0" xfId="0" applyNumberFormat="1" applyFont="1" applyAlignment="1">
      <alignment horizontal="center" vertical="center"/>
    </xf>
    <xf numFmtId="0" fontId="22" fillId="4" borderId="0" xfId="0" applyFont="1" applyFill="1" applyAlignment="1">
      <alignment horizontal="center" vertical="center"/>
    </xf>
    <xf numFmtId="49" fontId="22" fillId="4" borderId="0" xfId="0" applyNumberFormat="1" applyFont="1" applyFill="1" applyAlignment="1">
      <alignment horizontal="center" vertical="center"/>
    </xf>
    <xf numFmtId="166" fontId="0" fillId="0" borderId="0" xfId="20" applyFont="1" applyFill="1"/>
    <xf numFmtId="0" fontId="3" fillId="24" borderId="12" xfId="23" applyFont="1" applyFill="1" applyBorder="1" applyAlignment="1">
      <alignment horizontal="center" vertical="center" wrapText="1"/>
      <protection/>
    </xf>
    <xf numFmtId="166" fontId="0" fillId="0" borderId="0" xfId="20" applyFont="1" applyFill="1" applyAlignment="1">
      <alignment vertical="center"/>
    </xf>
    <xf numFmtId="166" fontId="0" fillId="0" borderId="0" xfId="20" applyFont="1"/>
    <xf numFmtId="0" fontId="0" fillId="25" borderId="0" xfId="0" applyFill="1"/>
    <xf numFmtId="166" fontId="27" fillId="0" borderId="0" xfId="20" applyFont="1" applyFill="1"/>
    <xf numFmtId="166" fontId="20" fillId="0" borderId="0" xfId="20" applyFont="1" applyFill="1" applyAlignment="1">
      <alignment vertical="center"/>
    </xf>
    <xf numFmtId="166" fontId="29" fillId="0" borderId="0" xfId="20" applyFont="1" applyFill="1" applyAlignment="1">
      <alignment vertical="center"/>
    </xf>
    <xf numFmtId="175" fontId="0" fillId="0" borderId="0" xfId="38" applyNumberFormat="1" applyFont="1"/>
    <xf numFmtId="166" fontId="3" fillId="6" borderId="11" xfId="20" applyFont="1" applyFill="1" applyBorder="1"/>
    <xf numFmtId="166" fontId="0" fillId="0" borderId="0" xfId="20" applyFont="1" applyFill="1"/>
    <xf numFmtId="9" fontId="0" fillId="0" borderId="0" xfId="38" applyFont="1" applyFill="1"/>
    <xf numFmtId="0" fontId="3" fillId="5" borderId="12" xfId="23" applyFont="1" applyFill="1" applyBorder="1" applyAlignment="1">
      <alignment horizontal="center" vertical="center" wrapText="1"/>
      <protection/>
    </xf>
    <xf numFmtId="0" fontId="3" fillId="5" borderId="12" xfId="23" applyFont="1" applyFill="1" applyBorder="1" applyAlignment="1">
      <alignment horizontal="center" vertical="center" wrapText="1"/>
      <protection/>
    </xf>
    <xf numFmtId="0" fontId="0" fillId="20" borderId="0" xfId="0" applyFill="1"/>
    <xf numFmtId="166" fontId="0" fillId="14" borderId="0" xfId="20" applyFont="1" applyFill="1"/>
    <xf numFmtId="0" fontId="0" fillId="0" borderId="0" xfId="0" applyAlignment="1">
      <alignment horizontal="center"/>
    </xf>
    <xf numFmtId="170" fontId="22" fillId="4" borderId="0" xfId="0" applyNumberFormat="1" applyFont="1" applyFill="1" applyAlignment="1">
      <alignment horizontal="center"/>
    </xf>
    <xf numFmtId="0" fontId="27" fillId="0" borderId="0" xfId="0" applyFont="1" applyAlignment="1">
      <alignment horizontal="center"/>
    </xf>
    <xf numFmtId="0" fontId="0" fillId="14" borderId="0" xfId="0" applyFill="1" applyAlignment="1">
      <alignment horizontal="center"/>
    </xf>
    <xf numFmtId="49" fontId="0" fillId="0" borderId="0" xfId="0" applyNumberFormat="1" applyAlignment="1">
      <alignment horizontal="center"/>
    </xf>
    <xf numFmtId="0" fontId="22" fillId="4" borderId="0" xfId="0" applyFont="1" applyFill="1" applyAlignment="1">
      <alignment horizontal="center"/>
    </xf>
    <xf numFmtId="6" fontId="0" fillId="4" borderId="0" xfId="0" applyNumberFormat="1" applyFill="1" applyAlignment="1">
      <alignment horizontal="center"/>
    </xf>
    <xf numFmtId="178" fontId="0" fillId="0" borderId="0" xfId="0" applyNumberFormat="1"/>
    <xf numFmtId="166" fontId="1" fillId="14" borderId="0" xfId="23" applyNumberFormat="1" applyFill="1" applyAlignment="1">
      <alignment horizontal="center" vertical="center"/>
      <protection/>
    </xf>
    <xf numFmtId="0" fontId="1" fillId="14" borderId="0" xfId="23" applyFont="1" applyFill="1">
      <alignment/>
      <protection/>
    </xf>
    <xf numFmtId="168" fontId="3" fillId="14" borderId="0" xfId="21" applyNumberFormat="1" applyFont="1" applyFill="1" applyBorder="1" applyAlignment="1">
      <alignment horizontal="center" vertical="center" wrapText="1"/>
    </xf>
    <xf numFmtId="166" fontId="1" fillId="0" borderId="0" xfId="20" applyFont="1"/>
    <xf numFmtId="166" fontId="27" fillId="0" borderId="0" xfId="20" applyFont="1" applyFill="1" applyAlignment="1">
      <alignment vertical="center"/>
    </xf>
    <xf numFmtId="177" fontId="0" fillId="0" borderId="0" xfId="0" applyNumberFormat="1"/>
    <xf numFmtId="0" fontId="1" fillId="14" borderId="0" xfId="23" applyFill="1">
      <alignment/>
      <protection/>
    </xf>
    <xf numFmtId="179" fontId="0" fillId="0" borderId="0" xfId="0" applyNumberFormat="1"/>
    <xf numFmtId="9" fontId="0" fillId="0" borderId="0" xfId="38" applyFont="1" applyFill="1"/>
    <xf numFmtId="9" fontId="27" fillId="0" borderId="0" xfId="0" applyNumberFormat="1" applyFont="1" applyFill="1" applyAlignment="1">
      <alignment vertical="center"/>
    </xf>
    <xf numFmtId="166" fontId="0" fillId="0" borderId="0" xfId="20" applyNumberFormat="1" applyFont="1" applyFill="1" applyAlignment="1">
      <alignment vertical="center"/>
    </xf>
    <xf numFmtId="10" fontId="0" fillId="0" borderId="0" xfId="0" applyNumberFormat="1" applyFill="1" applyAlignment="1">
      <alignment vertical="center"/>
    </xf>
    <xf numFmtId="9" fontId="0" fillId="0" borderId="0" xfId="38" applyNumberFormat="1" applyFont="1" applyFill="1" applyAlignment="1">
      <alignment vertical="center"/>
    </xf>
    <xf numFmtId="177" fontId="0" fillId="0" borderId="0" xfId="0" applyNumberFormat="1" applyFill="1" applyAlignment="1">
      <alignment vertical="center"/>
    </xf>
    <xf numFmtId="177" fontId="0" fillId="0" borderId="0" xfId="38" applyNumberFormat="1" applyFont="1" applyFill="1" applyAlignment="1">
      <alignment vertical="center"/>
    </xf>
    <xf numFmtId="9" fontId="27" fillId="0" borderId="0" xfId="0" applyNumberFormat="1" applyFont="1" applyFill="1" applyBorder="1" applyAlignment="1">
      <alignment vertical="center"/>
    </xf>
    <xf numFmtId="9" fontId="0" fillId="0" borderId="0" xfId="0" applyNumberFormat="1" applyFill="1" applyBorder="1" applyAlignment="1">
      <alignment vertical="center"/>
    </xf>
    <xf numFmtId="10" fontId="0" fillId="0" borderId="0" xfId="0" applyNumberFormat="1" applyFill="1"/>
    <xf numFmtId="0" fontId="3" fillId="24" borderId="11" xfId="23" applyFont="1" applyFill="1" applyBorder="1" applyAlignment="1">
      <alignment horizontal="center" vertical="center" wrapText="1"/>
      <protection/>
    </xf>
    <xf numFmtId="0" fontId="1" fillId="0" borderId="0" xfId="23" applyFont="1" applyAlignment="1">
      <alignment horizontal="left" wrapText="1"/>
      <protection/>
    </xf>
    <xf numFmtId="168" fontId="3" fillId="5" borderId="12" xfId="21" applyNumberFormat="1" applyFont="1" applyFill="1" applyBorder="1" applyAlignment="1">
      <alignment horizontal="center" vertical="top" wrapText="1"/>
    </xf>
    <xf numFmtId="167" fontId="5" fillId="8" borderId="12" xfId="22" applyNumberFormat="1" applyFont="1" applyFill="1" applyBorder="1" applyAlignment="1">
      <alignment horizontal="center" vertical="center" wrapText="1"/>
    </xf>
    <xf numFmtId="0" fontId="3" fillId="5" borderId="12" xfId="23" applyFont="1" applyFill="1" applyBorder="1" applyAlignment="1">
      <alignment horizontal="center" vertical="top" wrapText="1"/>
      <protection/>
    </xf>
    <xf numFmtId="49" fontId="3" fillId="5" borderId="40" xfId="0" applyNumberFormat="1" applyFont="1" applyFill="1" applyBorder="1" applyAlignment="1">
      <alignment horizontal="center" vertical="center" wrapText="1"/>
    </xf>
    <xf numFmtId="49" fontId="3" fillId="5" borderId="14" xfId="0" applyNumberFormat="1" applyFont="1" applyFill="1" applyBorder="1" applyAlignment="1">
      <alignment horizontal="center" vertical="center" wrapText="1"/>
    </xf>
    <xf numFmtId="166" fontId="2" fillId="6" borderId="12" xfId="0" applyNumberFormat="1" applyFont="1" applyFill="1" applyBorder="1" applyAlignment="1">
      <alignment horizontal="center" vertical="center" wrapText="1"/>
    </xf>
    <xf numFmtId="4" fontId="2" fillId="6" borderId="12" xfId="0" applyNumberFormat="1" applyFont="1" applyFill="1" applyBorder="1" applyAlignment="1">
      <alignment horizontal="center" vertical="center" wrapText="1"/>
    </xf>
    <xf numFmtId="168" fontId="3" fillId="5" borderId="12" xfId="21" applyNumberFormat="1" applyFont="1" applyFill="1" applyBorder="1" applyAlignment="1">
      <alignment horizontal="center" vertical="center" wrapText="1"/>
    </xf>
    <xf numFmtId="49" fontId="2" fillId="5" borderId="12" xfId="0" applyNumberFormat="1" applyFont="1" applyFill="1" applyBorder="1" applyAlignment="1">
      <alignment horizontal="center" vertical="center" wrapText="1"/>
    </xf>
    <xf numFmtId="0" fontId="3" fillId="5" borderId="12" xfId="23" applyFont="1" applyFill="1" applyBorder="1" applyAlignment="1">
      <alignment horizontal="center" vertical="center" wrapText="1"/>
      <protection/>
    </xf>
    <xf numFmtId="166" fontId="2" fillId="6" borderId="38" xfId="0" applyNumberFormat="1" applyFont="1" applyFill="1" applyBorder="1" applyAlignment="1">
      <alignment horizontal="center" vertical="center" wrapText="1"/>
    </xf>
    <xf numFmtId="166" fontId="2" fillId="6" borderId="37" xfId="0" applyNumberFormat="1" applyFont="1" applyFill="1" applyBorder="1" applyAlignment="1">
      <alignment horizontal="center" vertical="center" wrapText="1"/>
    </xf>
    <xf numFmtId="166" fontId="2" fillId="6" borderId="11" xfId="0" applyNumberFormat="1" applyFont="1" applyFill="1" applyBorder="1" applyAlignment="1">
      <alignment horizontal="center" vertical="center" wrapText="1"/>
    </xf>
    <xf numFmtId="49" fontId="2" fillId="6" borderId="38" xfId="0" applyNumberFormat="1" applyFont="1" applyFill="1" applyBorder="1" applyAlignment="1">
      <alignment horizontal="center" vertical="center" wrapText="1"/>
    </xf>
    <xf numFmtId="49" fontId="2" fillId="6" borderId="37" xfId="0" applyNumberFormat="1" applyFont="1" applyFill="1" applyBorder="1" applyAlignment="1">
      <alignment horizontal="center" vertical="center" wrapText="1"/>
    </xf>
    <xf numFmtId="49" fontId="2" fillId="6" borderId="11" xfId="0" applyNumberFormat="1" applyFont="1" applyFill="1" applyBorder="1" applyAlignment="1">
      <alignment horizontal="center" vertical="center" wrapText="1"/>
    </xf>
    <xf numFmtId="0" fontId="15" fillId="5" borderId="41" xfId="0" applyFont="1" applyFill="1" applyBorder="1" applyAlignment="1">
      <alignment horizontal="center" vertical="center" wrapText="1"/>
    </xf>
    <xf numFmtId="0" fontId="15" fillId="5" borderId="42" xfId="0" applyFont="1" applyFill="1" applyBorder="1" applyAlignment="1">
      <alignment horizontal="center" vertical="center"/>
    </xf>
    <xf numFmtId="0" fontId="17" fillId="5" borderId="29" xfId="0" applyFont="1" applyFill="1" applyBorder="1" applyAlignment="1">
      <alignment vertical="center" wrapText="1"/>
    </xf>
    <xf numFmtId="0" fontId="0" fillId="5" borderId="43" xfId="0" applyFill="1" applyBorder="1" applyAlignment="1">
      <alignment/>
    </xf>
    <xf numFmtId="0" fontId="0" fillId="5" borderId="44" xfId="0" applyFill="1" applyBorder="1" applyAlignment="1">
      <alignment/>
    </xf>
    <xf numFmtId="0" fontId="3" fillId="5" borderId="45" xfId="0" applyFont="1" applyFill="1" applyBorder="1" applyAlignment="1">
      <alignment horizontal="center" vertical="center" wrapText="1"/>
    </xf>
    <xf numFmtId="0" fontId="20" fillId="0" borderId="46" xfId="0" applyFont="1" applyBorder="1" applyAlignment="1">
      <alignment horizontal="center" vertical="center"/>
    </xf>
    <xf numFmtId="0" fontId="3" fillId="0" borderId="25" xfId="24" applyFont="1" applyBorder="1">
      <alignment/>
      <protection/>
    </xf>
    <xf numFmtId="0" fontId="3" fillId="0" borderId="26" xfId="24" applyFont="1" applyBorder="1">
      <alignment/>
      <protection/>
    </xf>
    <xf numFmtId="0" fontId="3" fillId="0" borderId="23" xfId="24" applyFont="1" applyFill="1" applyBorder="1" applyAlignment="1">
      <alignment/>
      <protection/>
    </xf>
    <xf numFmtId="0" fontId="3" fillId="0" borderId="24" xfId="24" applyFont="1" applyFill="1" applyBorder="1" applyAlignment="1">
      <alignment/>
      <protection/>
    </xf>
    <xf numFmtId="0" fontId="18" fillId="0" borderId="9" xfId="24" applyFont="1" applyFill="1" applyBorder="1" applyAlignment="1">
      <alignment horizontal="center"/>
      <protection/>
    </xf>
    <xf numFmtId="0" fontId="18" fillId="0" borderId="15" xfId="24" applyFont="1" applyFill="1" applyBorder="1" applyAlignment="1">
      <alignment horizontal="center"/>
      <protection/>
    </xf>
    <xf numFmtId="0" fontId="3" fillId="5" borderId="38" xfId="24" applyFont="1" applyFill="1" applyBorder="1" applyAlignment="1">
      <alignment wrapText="1"/>
      <protection/>
    </xf>
    <xf numFmtId="0" fontId="3" fillId="5" borderId="11" xfId="24" applyFont="1" applyFill="1" applyBorder="1" applyAlignment="1">
      <alignment wrapText="1"/>
      <protection/>
    </xf>
    <xf numFmtId="0" fontId="3" fillId="5" borderId="12" xfId="24" applyFont="1" applyFill="1" applyBorder="1" applyAlignment="1">
      <alignment vertical="center" wrapText="1"/>
      <protection/>
    </xf>
    <xf numFmtId="0" fontId="1" fillId="5" borderId="12" xfId="24" applyFill="1" applyBorder="1" applyAlignment="1">
      <alignment vertical="center" wrapText="1"/>
      <protection/>
    </xf>
    <xf numFmtId="0" fontId="24" fillId="18" borderId="0" xfId="0" applyFont="1" applyFill="1" applyAlignment="1">
      <alignment horizontal="left"/>
    </xf>
    <xf numFmtId="176" fontId="0" fillId="0" borderId="0" xfId="20" applyNumberFormat="1" applyFont="1" applyAlignment="1">
      <alignment horizontal="center"/>
    </xf>
  </cellXfs>
  <cellStyles count="25">
    <cellStyle name="Normal" xfId="0"/>
    <cellStyle name="Percent" xfId="15"/>
    <cellStyle name="Currency" xfId="16"/>
    <cellStyle name="Currency [0]" xfId="17"/>
    <cellStyle name="Comma" xfId="18"/>
    <cellStyle name="Comma [0]" xfId="19"/>
    <cellStyle name="Millares" xfId="20"/>
    <cellStyle name="Comma_Formatos Nuevos 6ta Desemb. MCA Oct-Dic 10_09_07" xfId="21"/>
    <cellStyle name="Millares 5" xfId="22"/>
    <cellStyle name="Normal 2" xfId="23"/>
    <cellStyle name="Normal 2 2" xfId="24"/>
    <cellStyle name="Moneda 4" xfId="25"/>
    <cellStyle name="Normal 3" xfId="26"/>
    <cellStyle name="Comma 4" xfId="27"/>
    <cellStyle name="Comma 2" xfId="28"/>
    <cellStyle name="Comma 3" xfId="29"/>
    <cellStyle name="Currency 2" xfId="30"/>
    <cellStyle name="Moneda" xfId="31"/>
    <cellStyle name="Normal 4" xfId="32"/>
    <cellStyle name="Comma 5" xfId="33"/>
    <cellStyle name="Normal 3 2" xfId="34"/>
    <cellStyle name="Comma 4 2" xfId="35"/>
    <cellStyle name="Comma 2 2" xfId="36"/>
    <cellStyle name="Currency 2 2" xfId="37"/>
    <cellStyle name="Porcentaje" xfId="38"/>
  </cellStyles>
  <dxfs count="5">
    <dxf>
      <font>
        <color indexed="9"/>
        <condense val="0"/>
        <extend val="0"/>
      </font>
      <border/>
    </dxf>
    <dxf>
      <font>
        <color indexed="9"/>
        <condense val="0"/>
        <extend val="0"/>
      </font>
      <border/>
    </dxf>
    <dxf>
      <font>
        <color indexed="9"/>
        <condense val="0"/>
        <extend val="0"/>
      </font>
      <border/>
    </dxf>
    <dxf>
      <font>
        <color indexed="9"/>
        <condense val="0"/>
        <extend val="0"/>
      </font>
      <border/>
    </dxf>
    <dxf>
      <font>
        <color indexed="9"/>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customXml" Target="../customXml/item1.xml" /><Relationship Id="rId13" Type="http://schemas.openxmlformats.org/officeDocument/2006/relationships/customXml" Target="../customXml/item2.xml" /><Relationship Id="rId14" Type="http://schemas.openxmlformats.org/officeDocument/2006/relationships/customXml" Target="../customXml/item3.xml" /><Relationship Id="rId15" Type="http://schemas.openxmlformats.org/officeDocument/2006/relationships/customXml" Target="../customXml/item4.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ricart\Downloads\QDRP%20Guatemala_Q6%20Draft%20_DA%20Edi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FP-Com"/>
      <sheetName val="DFP-CASH"/>
      <sheetName val="QFR - A"/>
      <sheetName val="QFR - B"/>
      <sheetName val="THP DR"/>
      <sheetName val="Contract level"/>
      <sheetName val="Error checks"/>
      <sheetName val="Historico"/>
    </sheetNames>
    <sheetDataSet>
      <sheetData sheetId="0"/>
      <sheetData sheetId="1"/>
      <sheetData sheetId="2"/>
      <sheetData sheetId="3">
        <row r="34">
          <cell r="G34">
            <v>1800000</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88"/>
  <sheetViews>
    <sheetView showGridLines="0" zoomScale="115" zoomScaleNormal="115" zoomScaleSheetLayoutView="70" zoomScalePageLayoutView="85" workbookViewId="0" topLeftCell="B20">
      <selection activeCell="E38" sqref="E38:G41"/>
    </sheetView>
  </sheetViews>
  <sheetFormatPr defaultColWidth="0" defaultRowHeight="15" outlineLevelRow="1" outlineLevelCol="1"/>
  <cols>
    <col min="1" max="1" width="9.140625" style="1" hidden="1" customWidth="1" outlineLevel="1"/>
    <col min="2" max="2" width="50.421875" style="1" customWidth="1" collapsed="1"/>
    <col min="3" max="3" width="17.421875" style="67" customWidth="1" outlineLevel="1"/>
    <col min="4" max="4" width="17.421875" style="1" customWidth="1"/>
    <col min="5" max="7" width="17.421875" style="267" customWidth="1" outlineLevel="1"/>
    <col min="8" max="17" width="17.421875" style="1" customWidth="1"/>
    <col min="18" max="18" width="17.421875" style="6" customWidth="1"/>
    <col min="19" max="19" width="28.7109375" style="190" bestFit="1" customWidth="1"/>
    <col min="20" max="20" width="17.421875" style="7" customWidth="1"/>
    <col min="21" max="16384" width="0" style="1" hidden="1" customWidth="1"/>
  </cols>
  <sheetData>
    <row r="1" spans="2:7" ht="13.5" hidden="1" outlineLevel="1" thickBot="1">
      <c r="B1" s="2" t="s">
        <v>0</v>
      </c>
      <c r="C1" s="3"/>
      <c r="D1" s="4"/>
      <c r="E1" s="258"/>
      <c r="F1" s="258"/>
      <c r="G1" s="258"/>
    </row>
    <row r="2" spans="2:19" ht="13.5" hidden="1" outlineLevel="1" thickBot="1">
      <c r="B2" s="8"/>
      <c r="C2" s="3"/>
      <c r="D2" s="4"/>
      <c r="E2" s="258"/>
      <c r="F2" s="258"/>
      <c r="G2" s="258"/>
      <c r="S2" s="191"/>
    </row>
    <row r="3" spans="2:7" ht="12.75" customHeight="1" hidden="1" outlineLevel="1">
      <c r="B3" s="11" t="s">
        <v>1</v>
      </c>
      <c r="C3" s="12"/>
      <c r="D3" s="13" t="s">
        <v>67</v>
      </c>
      <c r="E3" s="259"/>
      <c r="F3" s="259"/>
      <c r="G3" s="259"/>
    </row>
    <row r="4" spans="2:7" ht="12.75" customHeight="1" hidden="1" outlineLevel="1">
      <c r="B4" s="14" t="s">
        <v>2</v>
      </c>
      <c r="C4" s="15"/>
      <c r="D4" s="16" t="s">
        <v>68</v>
      </c>
      <c r="E4" s="259"/>
      <c r="F4" s="259"/>
      <c r="G4" s="259"/>
    </row>
    <row r="5" spans="2:7" ht="12.75" customHeight="1" hidden="1" outlineLevel="1">
      <c r="B5" s="17" t="s">
        <v>3</v>
      </c>
      <c r="C5" s="15"/>
      <c r="D5" s="16" t="str">
        <f>'THP DR'!B7</f>
        <v>TR14GTM15001</v>
      </c>
      <c r="E5" s="259"/>
      <c r="F5" s="259"/>
      <c r="G5" s="259"/>
    </row>
    <row r="6" spans="2:19" ht="12.75" customHeight="1" hidden="1" outlineLevel="1">
      <c r="B6" s="14" t="s">
        <v>4</v>
      </c>
      <c r="C6" s="15"/>
      <c r="D6" s="305">
        <v>43063</v>
      </c>
      <c r="E6" s="259"/>
      <c r="F6" s="259"/>
      <c r="G6" s="259"/>
      <c r="H6" s="391"/>
      <c r="I6" s="391"/>
      <c r="S6" s="192"/>
    </row>
    <row r="7" spans="2:7" ht="13.5" customHeight="1" hidden="1" outlineLevel="1" thickBot="1">
      <c r="B7" s="18" t="s">
        <v>5</v>
      </c>
      <c r="C7" s="19"/>
      <c r="D7" s="189">
        <v>10</v>
      </c>
      <c r="E7" s="259"/>
      <c r="F7" s="259"/>
      <c r="G7" s="259"/>
    </row>
    <row r="8" spans="2:20" s="25" customFormat="1" ht="13.5" customHeight="1" hidden="1" outlineLevel="1">
      <c r="B8" s="26"/>
      <c r="C8" s="27"/>
      <c r="D8" s="28"/>
      <c r="E8" s="262"/>
      <c r="F8" s="262"/>
      <c r="G8" s="262"/>
      <c r="R8" s="24"/>
      <c r="S8" s="190"/>
      <c r="T8" s="7"/>
    </row>
    <row r="9" spans="1:20" ht="11.25" customHeight="1" hidden="1" outlineLevel="1">
      <c r="A9" s="5"/>
      <c r="B9" s="409" t="s">
        <v>6</v>
      </c>
      <c r="C9" s="29" t="s">
        <v>7</v>
      </c>
      <c r="D9" s="30" t="s">
        <v>8</v>
      </c>
      <c r="E9" s="414" t="s">
        <v>9</v>
      </c>
      <c r="F9" s="414"/>
      <c r="G9" s="414"/>
      <c r="H9" s="324"/>
      <c r="I9" s="324"/>
      <c r="J9" s="324"/>
      <c r="K9" s="230"/>
      <c r="L9" s="230"/>
      <c r="M9" s="230"/>
      <c r="N9" s="230"/>
      <c r="O9" s="230"/>
      <c r="P9" s="230"/>
      <c r="Q9" s="230"/>
      <c r="R9" s="31" t="s">
        <v>10</v>
      </c>
      <c r="S9" s="193" t="s">
        <v>10</v>
      </c>
      <c r="T9" s="31" t="s">
        <v>11</v>
      </c>
    </row>
    <row r="10" spans="1:21" s="37" customFormat="1" ht="72.75" customHeight="1" collapsed="1">
      <c r="A10" s="5"/>
      <c r="B10" s="409"/>
      <c r="C10" s="33" t="s">
        <v>12</v>
      </c>
      <c r="D10" s="34" t="s">
        <v>13</v>
      </c>
      <c r="E10" s="413" t="str">
        <f>"Grant Quarter #"&amp;$D$7</f>
        <v>Grant Quarter #10</v>
      </c>
      <c r="F10" s="413"/>
      <c r="G10" s="413"/>
      <c r="H10" s="406" t="s">
        <v>70</v>
      </c>
      <c r="I10" s="327" t="s">
        <v>71</v>
      </c>
      <c r="J10" s="327" t="s">
        <v>72</v>
      </c>
      <c r="K10" s="327" t="s">
        <v>73</v>
      </c>
      <c r="L10" s="327" t="s">
        <v>74</v>
      </c>
      <c r="M10" s="327" t="s">
        <v>214</v>
      </c>
      <c r="N10" s="327" t="s">
        <v>215</v>
      </c>
      <c r="O10" s="377" t="s">
        <v>275</v>
      </c>
      <c r="P10" s="377" t="s">
        <v>276</v>
      </c>
      <c r="Q10" s="377" t="s">
        <v>277</v>
      </c>
      <c r="R10" s="411" t="s">
        <v>14</v>
      </c>
      <c r="S10" s="410" t="s">
        <v>130</v>
      </c>
      <c r="T10" s="408" t="s">
        <v>15</v>
      </c>
      <c r="U10" s="36"/>
    </row>
    <row r="11" spans="1:21" s="37" customFormat="1" ht="25.5">
      <c r="A11" s="5"/>
      <c r="B11" s="38" t="s">
        <v>16</v>
      </c>
      <c r="C11" s="39" t="s">
        <v>285</v>
      </c>
      <c r="D11" s="40" t="s">
        <v>286</v>
      </c>
      <c r="E11" s="268" t="s">
        <v>282</v>
      </c>
      <c r="F11" s="268" t="s">
        <v>283</v>
      </c>
      <c r="G11" s="268" t="s">
        <v>284</v>
      </c>
      <c r="H11" s="365" t="s">
        <v>64</v>
      </c>
      <c r="I11" s="231" t="s">
        <v>65</v>
      </c>
      <c r="J11" s="231" t="s">
        <v>66</v>
      </c>
      <c r="K11" s="231" t="s">
        <v>253</v>
      </c>
      <c r="L11" s="231" t="s">
        <v>216</v>
      </c>
      <c r="M11" s="231" t="s">
        <v>217</v>
      </c>
      <c r="N11" s="327" t="s">
        <v>254</v>
      </c>
      <c r="O11" s="377" t="s">
        <v>272</v>
      </c>
      <c r="P11" s="377" t="s">
        <v>273</v>
      </c>
      <c r="Q11" s="377" t="s">
        <v>274</v>
      </c>
      <c r="R11" s="412"/>
      <c r="S11" s="410"/>
      <c r="T11" s="408"/>
      <c r="U11" s="36"/>
    </row>
    <row r="12" spans="2:20" ht="15">
      <c r="B12" s="188" t="s">
        <v>94</v>
      </c>
      <c r="C12" s="188" t="s">
        <v>95</v>
      </c>
      <c r="D12" s="188" t="s">
        <v>96</v>
      </c>
      <c r="E12" s="263" t="s">
        <v>97</v>
      </c>
      <c r="F12" s="263" t="s">
        <v>98</v>
      </c>
      <c r="G12" s="257" t="s">
        <v>99</v>
      </c>
      <c r="H12" s="263" t="s">
        <v>100</v>
      </c>
      <c r="I12" s="257" t="s">
        <v>101</v>
      </c>
      <c r="J12" s="188" t="s">
        <v>102</v>
      </c>
      <c r="K12" s="188" t="s">
        <v>103</v>
      </c>
      <c r="L12" s="263" t="s">
        <v>104</v>
      </c>
      <c r="M12" s="263" t="s">
        <v>105</v>
      </c>
      <c r="N12" s="257" t="s">
        <v>106</v>
      </c>
      <c r="O12" s="263" t="s">
        <v>278</v>
      </c>
      <c r="P12" s="257" t="s">
        <v>279</v>
      </c>
      <c r="Q12" s="263" t="s">
        <v>280</v>
      </c>
      <c r="R12" s="188" t="s">
        <v>107</v>
      </c>
      <c r="S12" s="194" t="s">
        <v>108</v>
      </c>
      <c r="T12" s="188" t="s">
        <v>109</v>
      </c>
    </row>
    <row r="13" spans="1:21" s="37" customFormat="1" ht="15">
      <c r="A13" s="5"/>
      <c r="B13" s="42"/>
      <c r="C13" s="43"/>
      <c r="D13" s="42"/>
      <c r="E13" s="264"/>
      <c r="F13" s="264"/>
      <c r="G13" s="264"/>
      <c r="H13" s="42"/>
      <c r="I13" s="42"/>
      <c r="J13" s="42"/>
      <c r="K13" s="42"/>
      <c r="L13" s="42"/>
      <c r="M13" s="42"/>
      <c r="N13" s="42"/>
      <c r="O13" s="42"/>
      <c r="P13" s="42"/>
      <c r="Q13" s="42"/>
      <c r="R13" s="42"/>
      <c r="S13" s="42"/>
      <c r="T13" s="42"/>
      <c r="U13" s="36"/>
    </row>
    <row r="14" spans="1:21" s="37" customFormat="1" ht="15">
      <c r="A14" s="5"/>
      <c r="B14" s="44" t="s">
        <v>76</v>
      </c>
      <c r="C14" s="45"/>
      <c r="D14" s="46"/>
      <c r="E14" s="265"/>
      <c r="F14" s="265"/>
      <c r="G14" s="265"/>
      <c r="H14" s="46"/>
      <c r="I14" s="46"/>
      <c r="J14" s="46"/>
      <c r="K14" s="46"/>
      <c r="L14" s="46"/>
      <c r="M14" s="46"/>
      <c r="N14" s="46"/>
      <c r="O14" s="46"/>
      <c r="P14" s="46"/>
      <c r="Q14" s="46"/>
      <c r="R14" s="47"/>
      <c r="S14" s="195"/>
      <c r="T14" s="47"/>
      <c r="U14" s="36"/>
    </row>
    <row r="15" spans="1:21" s="207" customFormat="1" ht="15" outlineLevel="1">
      <c r="A15" s="204" t="str">
        <f>LEFT(B15,4)</f>
        <v xml:space="preserve">1.1 </v>
      </c>
      <c r="B15" s="49" t="s">
        <v>77</v>
      </c>
      <c r="C15" s="196">
        <f>SUM(C16:C18)</f>
        <v>7593016.09</v>
      </c>
      <c r="D15" s="196">
        <f>SUM(D16:D18)</f>
        <v>4024527.29</v>
      </c>
      <c r="E15" s="196">
        <f aca="true" t="shared" si="0" ref="E15:I15">SUM(E16:E18)</f>
        <v>176025</v>
      </c>
      <c r="F15" s="196">
        <f t="shared" si="0"/>
        <v>0</v>
      </c>
      <c r="G15" s="196">
        <f t="shared" si="0"/>
        <v>0</v>
      </c>
      <c r="H15" s="196">
        <f t="shared" si="0"/>
        <v>176025</v>
      </c>
      <c r="I15" s="196">
        <f t="shared" si="0"/>
        <v>200000</v>
      </c>
      <c r="J15" s="196">
        <f aca="true" t="shared" si="1" ref="J15:M15">SUM(J16:J18)</f>
        <v>0</v>
      </c>
      <c r="K15" s="196">
        <f t="shared" si="1"/>
        <v>0</v>
      </c>
      <c r="L15" s="196">
        <f t="shared" si="1"/>
        <v>0</v>
      </c>
      <c r="M15" s="196">
        <f t="shared" si="1"/>
        <v>0</v>
      </c>
      <c r="N15" s="196">
        <f aca="true" t="shared" si="2" ref="N15">SUM(N16:N18)</f>
        <v>0</v>
      </c>
      <c r="O15" s="196"/>
      <c r="P15" s="196"/>
      <c r="Q15" s="196"/>
      <c r="R15" s="196">
        <f>SUM(R16:R18)</f>
        <v>11993568.38</v>
      </c>
      <c r="S15" s="198">
        <f>'QFR - B'!G15</f>
        <v>12000000</v>
      </c>
      <c r="T15" s="284">
        <f>S15-R15</f>
        <v>6431.61999999918</v>
      </c>
      <c r="U15" s="206"/>
    </row>
    <row r="16" spans="1:21" s="207" customFormat="1" ht="15" outlineLevel="1">
      <c r="A16" s="204" t="s">
        <v>140</v>
      </c>
      <c r="B16" s="200" t="s">
        <v>110</v>
      </c>
      <c r="C16" s="201">
        <v>7593016.09</v>
      </c>
      <c r="D16" s="299">
        <v>0</v>
      </c>
      <c r="E16" s="299"/>
      <c r="F16" s="299">
        <v>0</v>
      </c>
      <c r="G16" s="299"/>
      <c r="H16" s="202">
        <f>SUMIF('Contract level'!$A:$A,"="&amp;'DFP-Com'!$A16,'Contract level'!BE:BE)</f>
        <v>0</v>
      </c>
      <c r="I16" s="202">
        <f>SUMIF('Contract level'!$A:$A,"="&amp;'DFP-Com'!$A16,'Contract level'!BF:BF)</f>
        <v>200000</v>
      </c>
      <c r="J16" s="202">
        <f>SUMIF('Contract level'!$A:$A,"="&amp;'DFP-Com'!$A16,'Contract level'!BG:BG)</f>
        <v>0</v>
      </c>
      <c r="K16" s="202">
        <f>SUMIF('Contract level'!$A:$A,"="&amp;'DFP-Com'!$A16,'Contract level'!BH:BH)</f>
        <v>0</v>
      </c>
      <c r="L16" s="202">
        <f>SUMIF('Contract level'!$A:$A,"="&amp;'DFP-Com'!$A16,'Contract level'!BI:BI)</f>
        <v>0</v>
      </c>
      <c r="M16" s="202">
        <f>SUMIF('Contract level'!$A:$A,"="&amp;'DFP-Com'!$A16,'Contract level'!BJ:BJ)</f>
        <v>0</v>
      </c>
      <c r="N16" s="299">
        <f>SUMIF('Contract level'!$A:$A,"="&amp;'DFP-Com'!$A16,'Contract level'!BK:BK)</f>
        <v>0</v>
      </c>
      <c r="O16" s="299">
        <f>SUMIF('Contract level'!$A:$A,"="&amp;'DFP-Com'!$A16,'Contract level'!BL:BL)</f>
        <v>0</v>
      </c>
      <c r="P16" s="299">
        <f>SUMIF('Contract level'!$A:$A,"="&amp;'DFP-Com'!$A16,'Contract level'!BM:BM)</f>
        <v>0</v>
      </c>
      <c r="Q16" s="299">
        <f>SUMIF('Contract level'!$A:$A,"="&amp;'DFP-Com'!$A16,'Contract level'!BN:BN)</f>
        <v>0</v>
      </c>
      <c r="R16" s="202">
        <f>SUM(H16:N16)+D16+C16</f>
        <v>7793016.09</v>
      </c>
      <c r="S16" s="203">
        <v>0</v>
      </c>
      <c r="T16" s="285"/>
      <c r="U16" s="206"/>
    </row>
    <row r="17" spans="1:21" s="207" customFormat="1" ht="15" outlineLevel="1">
      <c r="A17" s="204" t="s">
        <v>141</v>
      </c>
      <c r="B17" s="200" t="s">
        <v>111</v>
      </c>
      <c r="C17" s="201">
        <v>0</v>
      </c>
      <c r="D17" s="202">
        <v>4023997.83</v>
      </c>
      <c r="E17" s="202">
        <v>175000</v>
      </c>
      <c r="F17" s="202"/>
      <c r="G17" s="202"/>
      <c r="H17" s="202">
        <f>SUMIF('Contract level'!$A:$A,"="&amp;'DFP-Com'!$A17,'Contract level'!BE:BE)</f>
        <v>175000</v>
      </c>
      <c r="I17" s="202">
        <f>SUMIF('Contract level'!$A:$A,"="&amp;'DFP-Com'!$A17,'Contract level'!BF:BF)</f>
        <v>0</v>
      </c>
      <c r="J17" s="202">
        <f>SUMIF('Contract level'!$A:$A,"="&amp;'DFP-Com'!$A17,'Contract level'!BG:BG)</f>
        <v>0</v>
      </c>
      <c r="K17" s="202">
        <f>SUMIF('Contract level'!$A:$A,"="&amp;'DFP-Com'!$A17,'Contract level'!BH:BH)</f>
        <v>0</v>
      </c>
      <c r="L17" s="202">
        <f>SUMIF('Contract level'!$A:$A,"="&amp;'DFP-Com'!$A17,'Contract level'!BI:BI)</f>
        <v>0</v>
      </c>
      <c r="M17" s="202">
        <f>SUMIF('Contract level'!$A:$A,"="&amp;'DFP-Com'!$A17,'Contract level'!BJ:BJ)</f>
        <v>0</v>
      </c>
      <c r="N17" s="299">
        <f>SUMIF('Contract level'!$A:$A,"="&amp;'DFP-Com'!$A17,'Contract level'!BK:BK)</f>
        <v>0</v>
      </c>
      <c r="O17" s="299">
        <f>SUMIF('Contract level'!$A:$A,"="&amp;'DFP-Com'!$A17,'Contract level'!BL:BL)</f>
        <v>0</v>
      </c>
      <c r="P17" s="299">
        <f>SUMIF('Contract level'!$A:$A,"="&amp;'DFP-Com'!$A17,'Contract level'!BM:BM)</f>
        <v>0</v>
      </c>
      <c r="Q17" s="299">
        <f>SUMIF('Contract level'!$A:$A,"="&amp;'DFP-Com'!$A17,'Contract level'!BN:BN)</f>
        <v>0</v>
      </c>
      <c r="R17" s="299">
        <f>SUM(H17:N17)+D17+C17</f>
        <v>4198997.83</v>
      </c>
      <c r="S17" s="203">
        <v>0</v>
      </c>
      <c r="T17" s="285"/>
      <c r="U17" s="206"/>
    </row>
    <row r="18" spans="1:21" s="207" customFormat="1" ht="15" outlineLevel="1">
      <c r="A18" s="204" t="s">
        <v>142</v>
      </c>
      <c r="B18" s="200" t="s">
        <v>118</v>
      </c>
      <c r="C18" s="201">
        <v>0</v>
      </c>
      <c r="D18" s="202">
        <v>529.46</v>
      </c>
      <c r="E18" s="202">
        <v>1025</v>
      </c>
      <c r="F18" s="202"/>
      <c r="G18" s="202"/>
      <c r="H18" s="202">
        <f>SUMIF('Contract level'!$A:$A,"="&amp;'DFP-Com'!$A18,'Contract level'!BE:BE)</f>
        <v>1025</v>
      </c>
      <c r="I18" s="202">
        <f>SUMIF('Contract level'!$A:$A,"="&amp;'DFP-Com'!$A18,'Contract level'!BF:BF)</f>
        <v>0</v>
      </c>
      <c r="J18" s="202">
        <f>SUMIF('Contract level'!$A:$A,"="&amp;'DFP-Com'!$A18,'Contract level'!BG:BG)</f>
        <v>0</v>
      </c>
      <c r="K18" s="202">
        <f>SUMIF('Contract level'!$A:$A,"="&amp;'DFP-Com'!$A18,'Contract level'!BH:BH)</f>
        <v>0</v>
      </c>
      <c r="L18" s="202">
        <f>SUMIF('Contract level'!$A:$A,"="&amp;'DFP-Com'!$A18,'Contract level'!BI:BI)</f>
        <v>0</v>
      </c>
      <c r="M18" s="202">
        <f>SUMIF('Contract level'!$A:$A,"="&amp;'DFP-Com'!$A18,'Contract level'!BJ:BJ)</f>
        <v>0</v>
      </c>
      <c r="N18" s="299">
        <f>SUMIF('Contract level'!$A:$A,"="&amp;'DFP-Com'!$A18,'Contract level'!BK:BK)</f>
        <v>0</v>
      </c>
      <c r="O18" s="299">
        <f>SUMIF('Contract level'!$A:$A,"="&amp;'DFP-Com'!$A18,'Contract level'!BL:BL)</f>
        <v>0</v>
      </c>
      <c r="P18" s="299">
        <f>SUMIF('Contract level'!$A:$A,"="&amp;'DFP-Com'!$A18,'Contract level'!BM:BM)</f>
        <v>0</v>
      </c>
      <c r="Q18" s="299">
        <f>SUMIF('Contract level'!$A:$A,"="&amp;'DFP-Com'!$A18,'Contract level'!BN:BN)</f>
        <v>0</v>
      </c>
      <c r="R18" s="202">
        <f>SUM(H18:N18)+D18+C18</f>
        <v>1554.46</v>
      </c>
      <c r="S18" s="203">
        <v>0</v>
      </c>
      <c r="T18" s="285"/>
      <c r="U18" s="206"/>
    </row>
    <row r="19" spans="1:21" s="207" customFormat="1" ht="12.95" customHeight="1" outlineLevel="1">
      <c r="A19" s="204" t="str">
        <f aca="true" t="shared" si="3" ref="A19:A37">LEFT(B19,4)</f>
        <v xml:space="preserve">1.2 </v>
      </c>
      <c r="B19" s="49" t="s">
        <v>78</v>
      </c>
      <c r="C19" s="196">
        <f>C20</f>
        <v>2365317.11</v>
      </c>
      <c r="D19" s="196">
        <f>D20</f>
        <v>1235002.5</v>
      </c>
      <c r="E19" s="196">
        <f aca="true" t="shared" si="4" ref="E19:R19">E20</f>
        <v>0</v>
      </c>
      <c r="F19" s="196">
        <f t="shared" si="4"/>
        <v>200000</v>
      </c>
      <c r="G19" s="196">
        <f t="shared" si="4"/>
        <v>290000</v>
      </c>
      <c r="H19" s="196">
        <f t="shared" si="4"/>
        <v>490000</v>
      </c>
      <c r="I19" s="196">
        <f t="shared" si="4"/>
        <v>150000</v>
      </c>
      <c r="J19" s="196">
        <f t="shared" si="4"/>
        <v>32912</v>
      </c>
      <c r="K19" s="196">
        <f t="shared" si="4"/>
        <v>0</v>
      </c>
      <c r="L19" s="196">
        <f t="shared" si="4"/>
        <v>0</v>
      </c>
      <c r="M19" s="196">
        <f t="shared" si="4"/>
        <v>0</v>
      </c>
      <c r="N19" s="196">
        <f t="shared" si="4"/>
        <v>24229.5</v>
      </c>
      <c r="O19" s="196">
        <f t="shared" si="4"/>
        <v>0</v>
      </c>
      <c r="P19" s="196">
        <f t="shared" si="4"/>
        <v>0</v>
      </c>
      <c r="Q19" s="196">
        <f t="shared" si="4"/>
        <v>0</v>
      </c>
      <c r="R19" s="196">
        <f t="shared" si="4"/>
        <v>4297461.109999999</v>
      </c>
      <c r="S19" s="198">
        <f>'QFR - B'!G16</f>
        <v>4300000</v>
      </c>
      <c r="T19" s="284">
        <f>S19-R19</f>
        <v>2538.890000000596</v>
      </c>
      <c r="U19" s="206"/>
    </row>
    <row r="20" spans="1:21" s="207" customFormat="1" ht="12.95" customHeight="1" outlineLevel="1">
      <c r="A20" s="204" t="s">
        <v>143</v>
      </c>
      <c r="B20" s="200" t="s">
        <v>119</v>
      </c>
      <c r="C20" s="201">
        <v>2365317.11</v>
      </c>
      <c r="D20" s="299">
        <v>1235002.5</v>
      </c>
      <c r="E20" s="299"/>
      <c r="F20" s="299">
        <v>200000</v>
      </c>
      <c r="G20" s="299">
        <v>290000</v>
      </c>
      <c r="H20" s="202">
        <f>SUMIF('Contract level'!$A:$A,"="&amp;'DFP-Com'!$A20,'Contract level'!BE:BE)</f>
        <v>490000</v>
      </c>
      <c r="I20" s="202">
        <f>SUMIF('Contract level'!$A:$A,"="&amp;'DFP-Com'!$A20,'Contract level'!BF:BF)</f>
        <v>150000</v>
      </c>
      <c r="J20" s="202">
        <f>SUMIF('Contract level'!$A:$A,"="&amp;'DFP-Com'!$A20,'Contract level'!BG:BG)</f>
        <v>32912</v>
      </c>
      <c r="K20" s="202">
        <f>SUMIF('Contract level'!$A:$A,"="&amp;'DFP-Com'!$A20,'Contract level'!BH:BH)</f>
        <v>0</v>
      </c>
      <c r="L20" s="202">
        <f>SUMIF('Contract level'!$A:$A,"="&amp;'DFP-Com'!$A20,'Contract level'!BI:BI)</f>
        <v>0</v>
      </c>
      <c r="M20" s="202">
        <f>SUMIF('Contract level'!$A:$A,"="&amp;'DFP-Com'!$A20,'Contract level'!BJ:BJ)</f>
        <v>0</v>
      </c>
      <c r="N20" s="299">
        <f>SUMIF('Contract level'!$A:$A,"="&amp;'DFP-Com'!$A20,'Contract level'!BK:BK)</f>
        <v>24229.5</v>
      </c>
      <c r="O20" s="299">
        <f>SUMIF('Contract level'!$A:$A,"="&amp;'DFP-Com'!$A20,'Contract level'!BL:BL)</f>
        <v>0</v>
      </c>
      <c r="P20" s="299">
        <f>SUMIF('Contract level'!$A:$A,"="&amp;'DFP-Com'!$A20,'Contract level'!BM:BM)</f>
        <v>0</v>
      </c>
      <c r="Q20" s="299">
        <f>SUMIF('Contract level'!$A:$A,"="&amp;'DFP-Com'!$A20,'Contract level'!BN:BN)</f>
        <v>0</v>
      </c>
      <c r="R20" s="202">
        <f>SUM(H20:Q20)+D20+C20</f>
        <v>4297461.109999999</v>
      </c>
      <c r="S20" s="203">
        <v>0</v>
      </c>
      <c r="T20" s="285"/>
      <c r="U20" s="206"/>
    </row>
    <row r="21" spans="1:21" s="207" customFormat="1" ht="15" outlineLevel="1">
      <c r="A21" s="204">
        <v>1.3</v>
      </c>
      <c r="B21" s="49" t="s">
        <v>79</v>
      </c>
      <c r="C21" s="196">
        <f>SUM(C22:C24)</f>
        <v>2885549.0000000005</v>
      </c>
      <c r="D21" s="196">
        <f>SUM(D22:D24)</f>
        <v>0</v>
      </c>
      <c r="E21" s="196">
        <f aca="true" t="shared" si="5" ref="E21:I21">SUM(E22:E24)</f>
        <v>29991</v>
      </c>
      <c r="F21" s="196">
        <f t="shared" si="5"/>
        <v>0</v>
      </c>
      <c r="G21" s="196">
        <f t="shared" si="5"/>
        <v>0</v>
      </c>
      <c r="H21" s="196">
        <f t="shared" si="5"/>
        <v>29991</v>
      </c>
      <c r="I21" s="196">
        <f t="shared" si="5"/>
        <v>43758</v>
      </c>
      <c r="J21" s="196">
        <f aca="true" t="shared" si="6" ref="J21:M21">SUM(J22:J24)</f>
        <v>0</v>
      </c>
      <c r="K21" s="196">
        <f t="shared" si="6"/>
        <v>0</v>
      </c>
      <c r="L21" s="196">
        <f t="shared" si="6"/>
        <v>29991</v>
      </c>
      <c r="M21" s="196">
        <f t="shared" si="6"/>
        <v>43758</v>
      </c>
      <c r="N21" s="196">
        <f aca="true" t="shared" si="7" ref="N21:Q21">SUM(N22:N24)</f>
        <v>0</v>
      </c>
      <c r="O21" s="196">
        <f t="shared" si="7"/>
        <v>0</v>
      </c>
      <c r="P21" s="196">
        <f t="shared" si="7"/>
        <v>7688.68</v>
      </c>
      <c r="Q21" s="196">
        <f t="shared" si="7"/>
        <v>4852.200000000012</v>
      </c>
      <c r="R21" s="196">
        <f>SUM(R22:R24)</f>
        <v>3045587.8800000004</v>
      </c>
      <c r="S21" s="198">
        <f>'QFR - B'!G17</f>
        <v>3000000</v>
      </c>
      <c r="T21" s="284">
        <f>S21-R21</f>
        <v>-45587.880000000354</v>
      </c>
      <c r="U21" s="206"/>
    </row>
    <row r="22" spans="1:21" s="207" customFormat="1" ht="12.95" customHeight="1" outlineLevel="1">
      <c r="A22" s="204" t="s">
        <v>144</v>
      </c>
      <c r="B22" s="200" t="s">
        <v>112</v>
      </c>
      <c r="C22" s="201">
        <v>2772876.18</v>
      </c>
      <c r="D22" s="299">
        <v>0</v>
      </c>
      <c r="E22" s="202"/>
      <c r="F22" s="202">
        <v>0</v>
      </c>
      <c r="G22" s="202"/>
      <c r="H22" s="202">
        <f>SUMIF('Contract level'!$A:$A,"="&amp;'DFP-Com'!$A22,'Contract level'!BE:BE)</f>
        <v>0</v>
      </c>
      <c r="I22" s="202">
        <f>SUMIF('Contract level'!$A:$A,"="&amp;'DFP-Com'!$A22,'Contract level'!BF:BF)</f>
        <v>0</v>
      </c>
      <c r="J22" s="202">
        <f>SUMIF('Contract level'!$A:$A,"="&amp;'DFP-Com'!$A22,'Contract level'!BG:BG)</f>
        <v>0</v>
      </c>
      <c r="K22" s="202">
        <f>SUMIF('Contract level'!$A:$A,"="&amp;'DFP-Com'!$A22,'Contract level'!BH:BH)</f>
        <v>0</v>
      </c>
      <c r="L22" s="202">
        <f>SUMIF('Contract level'!$A:$A,"="&amp;'DFP-Com'!$A22,'Contract level'!BI:BI)</f>
        <v>0</v>
      </c>
      <c r="M22" s="202">
        <f>SUMIF('Contract level'!$A:$A,"="&amp;'DFP-Com'!$A22,'Contract level'!BJ:BJ)</f>
        <v>0</v>
      </c>
      <c r="N22" s="299">
        <f>SUMIF('Contract level'!$A:$A,"="&amp;'DFP-Com'!$A22,'Contract level'!BK:BK)</f>
        <v>0</v>
      </c>
      <c r="O22" s="299">
        <f>SUMIF('Contract level'!$A:$A,"="&amp;'DFP-Com'!$A22,'Contract level'!BL:BL)</f>
        <v>0</v>
      </c>
      <c r="P22" s="299">
        <f>SUMIF('Contract level'!$A:$A,"="&amp;'DFP-Com'!$A22,'Contract level'!BM:BM)</f>
        <v>0</v>
      </c>
      <c r="Q22" s="299">
        <f>SUMIF('Contract level'!$A:$A,"="&amp;'DFP-Com'!$A22,'Contract level'!BN:BN)</f>
        <v>0</v>
      </c>
      <c r="R22" s="202">
        <f>SUM(H22:Q22)+D22+C22</f>
        <v>2772876.18</v>
      </c>
      <c r="S22" s="203"/>
      <c r="T22" s="285"/>
      <c r="U22" s="206"/>
    </row>
    <row r="23" spans="1:21" s="207" customFormat="1" ht="12.95" customHeight="1" outlineLevel="1">
      <c r="A23" s="204" t="s">
        <v>145</v>
      </c>
      <c r="B23" s="200" t="s">
        <v>128</v>
      </c>
      <c r="C23" s="201">
        <v>112393.2</v>
      </c>
      <c r="D23" s="202">
        <v>0</v>
      </c>
      <c r="E23" s="299">
        <v>29991</v>
      </c>
      <c r="F23" s="299">
        <v>0</v>
      </c>
      <c r="G23" s="299"/>
      <c r="H23" s="202">
        <f>SUMIF('Contract level'!$A:$A,"="&amp;'DFP-Com'!$A23,'Contract level'!BE:BE)</f>
        <v>29991</v>
      </c>
      <c r="I23" s="202">
        <f>SUMIF('Contract level'!$A:$A,"="&amp;'DFP-Com'!$A23,'Contract level'!BF:BF)</f>
        <v>43758</v>
      </c>
      <c r="J23" s="202">
        <f>SUMIF('Contract level'!$A:$A,"="&amp;'DFP-Com'!$A23,'Contract level'!BG:BG)</f>
        <v>0</v>
      </c>
      <c r="K23" s="202">
        <f>SUMIF('Contract level'!$A:$A,"="&amp;'DFP-Com'!$A23,'Contract level'!BH:BH)</f>
        <v>0</v>
      </c>
      <c r="L23" s="202">
        <f>SUMIF('Contract level'!$A:$A,"="&amp;'DFP-Com'!$A23,'Contract level'!BI:BI)</f>
        <v>29991</v>
      </c>
      <c r="M23" s="202">
        <f>SUMIF('Contract level'!$A:$A,"="&amp;'DFP-Com'!$A23,'Contract level'!BJ:BJ)</f>
        <v>43758</v>
      </c>
      <c r="N23" s="299">
        <f>SUMIF('Contract level'!$A:$A,"="&amp;'DFP-Com'!$A23,'Contract level'!BK:BK)</f>
        <v>0</v>
      </c>
      <c r="O23" s="299">
        <f>SUMIF('Contract level'!$A:$A,"="&amp;'DFP-Com'!$A23,'Contract level'!BL:BL)</f>
        <v>0</v>
      </c>
      <c r="P23" s="299">
        <f>SUMIF('Contract level'!$A:$A,"="&amp;'DFP-Com'!$A23,'Contract level'!BM:BM)</f>
        <v>7688.68</v>
      </c>
      <c r="Q23" s="299">
        <f>SUMIF('Contract level'!$A:$A,"="&amp;'DFP-Com'!$A23,'Contract level'!BN:BN)</f>
        <v>4852.200000000012</v>
      </c>
      <c r="R23" s="299">
        <f>SUM(H23:Q23)+D23+C23</f>
        <v>272432.08</v>
      </c>
      <c r="S23" s="203"/>
      <c r="T23" s="285"/>
      <c r="U23" s="206"/>
    </row>
    <row r="24" spans="1:21" s="207" customFormat="1" ht="15" outlineLevel="1">
      <c r="A24" s="204" t="s">
        <v>146</v>
      </c>
      <c r="B24" s="200" t="s">
        <v>127</v>
      </c>
      <c r="C24" s="201">
        <v>279.62</v>
      </c>
      <c r="D24" s="202">
        <v>0</v>
      </c>
      <c r="E24" s="202">
        <v>0</v>
      </c>
      <c r="F24" s="202">
        <v>0</v>
      </c>
      <c r="G24" s="202">
        <v>0</v>
      </c>
      <c r="H24" s="202">
        <f>SUMIF('Contract level'!$A:$A,"="&amp;'DFP-Com'!$A24,'Contract level'!BE:BE)</f>
        <v>0</v>
      </c>
      <c r="I24" s="202">
        <f>SUMIF('Contract level'!$A:$A,"="&amp;'DFP-Com'!$A24,'Contract level'!BF:BF)</f>
        <v>0</v>
      </c>
      <c r="J24" s="202">
        <f>SUMIF('Contract level'!$A:$A,"="&amp;'DFP-Com'!$A24,'Contract level'!BG:BG)</f>
        <v>0</v>
      </c>
      <c r="K24" s="202">
        <f>SUMIF('Contract level'!$A:$A,"="&amp;'DFP-Com'!$A24,'Contract level'!BH:BH)</f>
        <v>0</v>
      </c>
      <c r="L24" s="202">
        <f>SUMIF('Contract level'!$A:$A,"="&amp;'DFP-Com'!$A24,'Contract level'!BI:BI)</f>
        <v>0</v>
      </c>
      <c r="M24" s="202">
        <f>SUMIF('Contract level'!$A:$A,"="&amp;'DFP-Com'!$A24,'Contract level'!BJ:BJ)</f>
        <v>0</v>
      </c>
      <c r="N24" s="299">
        <f>SUMIF('Contract level'!$A:$A,"="&amp;'DFP-Com'!$A24,'Contract level'!BK:BK)</f>
        <v>0</v>
      </c>
      <c r="O24" s="299">
        <f>SUMIF('Contract level'!$A:$A,"="&amp;'DFP-Com'!$A24,'Contract level'!BL:BL)</f>
        <v>0</v>
      </c>
      <c r="P24" s="299">
        <f>SUMIF('Contract level'!$A:$A,"="&amp;'DFP-Com'!$A24,'Contract level'!BM:BM)</f>
        <v>0</v>
      </c>
      <c r="Q24" s="299">
        <f>SUMIF('Contract level'!$A:$A,"="&amp;'DFP-Com'!$A24,'Contract level'!BN:BN)</f>
        <v>0</v>
      </c>
      <c r="R24" s="202">
        <f>SUM(H24:Q24)+D24+C24</f>
        <v>279.62</v>
      </c>
      <c r="S24" s="203"/>
      <c r="T24" s="285"/>
      <c r="U24" s="206"/>
    </row>
    <row r="25" spans="1:21" s="207" customFormat="1" ht="15">
      <c r="A25" s="204" t="str">
        <f t="shared" si="3"/>
        <v>TOTA</v>
      </c>
      <c r="B25" s="51" t="s">
        <v>62</v>
      </c>
      <c r="C25" s="197">
        <f>C21+C19+C15</f>
        <v>12843882.2</v>
      </c>
      <c r="D25" s="197">
        <f>D21+D19+D15</f>
        <v>5259529.79</v>
      </c>
      <c r="E25" s="197">
        <f aca="true" t="shared" si="8" ref="E25:R25">E21+E19+E15</f>
        <v>206016</v>
      </c>
      <c r="F25" s="197">
        <f t="shared" si="8"/>
        <v>200000</v>
      </c>
      <c r="G25" s="197">
        <f t="shared" si="8"/>
        <v>290000</v>
      </c>
      <c r="H25" s="197">
        <f t="shared" si="8"/>
        <v>696016</v>
      </c>
      <c r="I25" s="197">
        <f t="shared" si="8"/>
        <v>393758</v>
      </c>
      <c r="J25" s="197">
        <f aca="true" t="shared" si="9" ref="J25:M25">J21+J19+J15</f>
        <v>32912</v>
      </c>
      <c r="K25" s="197">
        <f t="shared" si="9"/>
        <v>0</v>
      </c>
      <c r="L25" s="197">
        <f t="shared" si="9"/>
        <v>29991</v>
      </c>
      <c r="M25" s="197">
        <f t="shared" si="9"/>
        <v>43758</v>
      </c>
      <c r="N25" s="197">
        <f aca="true" t="shared" si="10" ref="N25:Q25">N21+N19+N15</f>
        <v>24229.5</v>
      </c>
      <c r="O25" s="197">
        <f t="shared" si="10"/>
        <v>0</v>
      </c>
      <c r="P25" s="197">
        <f t="shared" si="10"/>
        <v>7688.68</v>
      </c>
      <c r="Q25" s="197">
        <f t="shared" si="10"/>
        <v>4852.200000000012</v>
      </c>
      <c r="R25" s="197">
        <f t="shared" si="8"/>
        <v>19336617.37</v>
      </c>
      <c r="S25" s="199">
        <f>S15+S19+S21</f>
        <v>19300000</v>
      </c>
      <c r="T25" s="286">
        <f>T15+T19+T21</f>
        <v>-36617.37000000058</v>
      </c>
      <c r="U25" s="206"/>
    </row>
    <row r="26" spans="1:21" s="37" customFormat="1" ht="15">
      <c r="A26" s="204" t="str">
        <f t="shared" si="3"/>
        <v/>
      </c>
      <c r="B26" s="53"/>
      <c r="C26" s="273"/>
      <c r="D26" s="216"/>
      <c r="E26" s="216"/>
      <c r="F26" s="216"/>
      <c r="G26" s="216"/>
      <c r="H26" s="216"/>
      <c r="I26" s="216"/>
      <c r="J26" s="216"/>
      <c r="K26" s="216"/>
      <c r="L26" s="216"/>
      <c r="M26" s="216"/>
      <c r="N26" s="216"/>
      <c r="O26" s="216"/>
      <c r="P26" s="216"/>
      <c r="Q26" s="216"/>
      <c r="R26" s="216"/>
      <c r="S26" s="269"/>
      <c r="T26" s="287"/>
      <c r="U26" s="36"/>
    </row>
    <row r="27" spans="1:21" s="37" customFormat="1" ht="15">
      <c r="A27" s="204" t="str">
        <f t="shared" si="3"/>
        <v>2. R</v>
      </c>
      <c r="B27" s="44" t="s">
        <v>82</v>
      </c>
      <c r="C27" s="274"/>
      <c r="D27" s="217"/>
      <c r="E27" s="217"/>
      <c r="F27" s="217"/>
      <c r="G27" s="217"/>
      <c r="H27" s="217"/>
      <c r="I27" s="217"/>
      <c r="J27" s="217"/>
      <c r="K27" s="217"/>
      <c r="L27" s="217"/>
      <c r="M27" s="217"/>
      <c r="N27" s="217"/>
      <c r="O27" s="217"/>
      <c r="P27" s="217"/>
      <c r="Q27" s="217"/>
      <c r="R27" s="217"/>
      <c r="S27" s="270"/>
      <c r="T27" s="288"/>
      <c r="U27" s="36"/>
    </row>
    <row r="28" spans="1:21" s="37" customFormat="1" ht="15" outlineLevel="1">
      <c r="A28" s="204">
        <v>2.1</v>
      </c>
      <c r="B28" s="49" t="s">
        <v>129</v>
      </c>
      <c r="C28" s="219">
        <f aca="true" t="shared" si="11" ref="C28:R28">SUM(C29:C29)</f>
        <v>333589.09</v>
      </c>
      <c r="D28" s="219">
        <f t="shared" si="11"/>
        <v>174.22</v>
      </c>
      <c r="E28" s="219">
        <f t="shared" si="11"/>
        <v>240000</v>
      </c>
      <c r="F28" s="219">
        <f t="shared" si="11"/>
        <v>120000</v>
      </c>
      <c r="G28" s="219">
        <f t="shared" si="11"/>
        <v>0</v>
      </c>
      <c r="H28" s="219">
        <f t="shared" si="11"/>
        <v>360000</v>
      </c>
      <c r="I28" s="219">
        <f t="shared" si="11"/>
        <v>106236.69</v>
      </c>
      <c r="J28" s="219">
        <f t="shared" si="11"/>
        <v>0</v>
      </c>
      <c r="K28" s="219">
        <f t="shared" si="11"/>
        <v>0</v>
      </c>
      <c r="L28" s="219">
        <f t="shared" si="11"/>
        <v>0</v>
      </c>
      <c r="M28" s="219">
        <f t="shared" si="11"/>
        <v>0</v>
      </c>
      <c r="N28" s="219">
        <f t="shared" si="11"/>
        <v>0</v>
      </c>
      <c r="O28" s="219">
        <f t="shared" si="11"/>
        <v>0</v>
      </c>
      <c r="P28" s="219">
        <f t="shared" si="11"/>
        <v>0</v>
      </c>
      <c r="Q28" s="219">
        <f t="shared" si="11"/>
        <v>0</v>
      </c>
      <c r="R28" s="219">
        <f t="shared" si="11"/>
        <v>800000</v>
      </c>
      <c r="S28" s="198">
        <f>'QFR - B'!G20</f>
        <v>800000</v>
      </c>
      <c r="T28" s="284">
        <f>S28-R28</f>
        <v>0</v>
      </c>
      <c r="U28" s="36"/>
    </row>
    <row r="29" spans="1:21" s="207" customFormat="1" ht="15" outlineLevel="1">
      <c r="A29" s="204" t="s">
        <v>147</v>
      </c>
      <c r="B29" s="200" t="s">
        <v>122</v>
      </c>
      <c r="C29" s="201">
        <v>333589.09</v>
      </c>
      <c r="D29" s="299">
        <v>174.22</v>
      </c>
      <c r="E29" s="299">
        <v>240000</v>
      </c>
      <c r="F29" s="299">
        <v>120000</v>
      </c>
      <c r="G29" s="299">
        <v>0</v>
      </c>
      <c r="H29" s="202">
        <f>SUMIF('Contract level'!$A:$A,"="&amp;'DFP-Com'!$A29,'Contract level'!BE:BE)</f>
        <v>360000</v>
      </c>
      <c r="I29" s="202">
        <f>SUMIF('Contract level'!$A:$A,"="&amp;'DFP-Com'!$A29,'Contract level'!BF:BF)</f>
        <v>106236.69</v>
      </c>
      <c r="J29" s="202">
        <f>SUMIF('Contract level'!$A:$A,"="&amp;'DFP-Com'!$A29,'Contract level'!BG:BG)</f>
        <v>0</v>
      </c>
      <c r="K29" s="202">
        <f>SUMIF('Contract level'!$A:$A,"="&amp;'DFP-Com'!$A29,'Contract level'!BH:BH)</f>
        <v>0</v>
      </c>
      <c r="L29" s="202">
        <f>SUMIF('Contract level'!$A:$A,"="&amp;'DFP-Com'!$A29,'Contract level'!BI:BI)</f>
        <v>0</v>
      </c>
      <c r="M29" s="202">
        <f>SUMIF('Contract level'!$A:$A,"="&amp;'DFP-Com'!$A29,'Contract level'!BJ:BJ)</f>
        <v>0</v>
      </c>
      <c r="N29" s="299">
        <f>SUMIF('Contract level'!$A:$A,"="&amp;'DFP-Com'!$A29,'Contract level'!BK:BK)</f>
        <v>0</v>
      </c>
      <c r="O29" s="299">
        <f>SUMIF('Contract level'!$A:$A,"="&amp;'DFP-Com'!$A29,'Contract level'!BL:BL)</f>
        <v>0</v>
      </c>
      <c r="P29" s="299">
        <f>SUMIF('Contract level'!$A:$A,"="&amp;'DFP-Com'!$A29,'Contract level'!BM:BM)</f>
        <v>0</v>
      </c>
      <c r="Q29" s="299">
        <f>SUMIF('Contract level'!$A:$A,"="&amp;'DFP-Com'!$A29,'Contract level'!BN:BN)</f>
        <v>0</v>
      </c>
      <c r="R29" s="202">
        <f>SUM(H29:Q29)+D29+C29</f>
        <v>800000</v>
      </c>
      <c r="S29" s="203"/>
      <c r="T29" s="285"/>
      <c r="U29" s="206"/>
    </row>
    <row r="30" spans="1:21" s="37" customFormat="1" ht="15" outlineLevel="1">
      <c r="A30" s="204">
        <v>2.2</v>
      </c>
      <c r="B30" s="49" t="s">
        <v>86</v>
      </c>
      <c r="C30" s="196">
        <f>SUM(C31:C33)</f>
        <v>1623472.7099999997</v>
      </c>
      <c r="D30" s="196">
        <f>SUM(D31:D33)</f>
        <v>0</v>
      </c>
      <c r="E30" s="196">
        <f aca="true" t="shared" si="12" ref="E30:I30">SUM(E31:E33)</f>
        <v>147000</v>
      </c>
      <c r="F30" s="196">
        <f t="shared" si="12"/>
        <v>75000</v>
      </c>
      <c r="G30" s="196">
        <f t="shared" si="12"/>
        <v>900000</v>
      </c>
      <c r="H30" s="196">
        <f t="shared" si="12"/>
        <v>1122000</v>
      </c>
      <c r="I30" s="196">
        <f t="shared" si="12"/>
        <v>770000</v>
      </c>
      <c r="J30" s="196">
        <f aca="true" t="shared" si="13" ref="J30:M30">SUM(J31:J33)</f>
        <v>0</v>
      </c>
      <c r="K30" s="196">
        <f t="shared" si="13"/>
        <v>0</v>
      </c>
      <c r="L30" s="196">
        <f t="shared" si="13"/>
        <v>0</v>
      </c>
      <c r="M30" s="196">
        <f t="shared" si="13"/>
        <v>0</v>
      </c>
      <c r="N30" s="196">
        <f aca="true" t="shared" si="14" ref="N30:Q30">SUM(N31:N33)</f>
        <v>0</v>
      </c>
      <c r="O30" s="196">
        <f t="shared" si="14"/>
        <v>0</v>
      </c>
      <c r="P30" s="196">
        <f t="shared" si="14"/>
        <v>0</v>
      </c>
      <c r="Q30" s="196">
        <f t="shared" si="14"/>
        <v>0</v>
      </c>
      <c r="R30" s="196">
        <f>SUM(R31:R33)</f>
        <v>3515472.71</v>
      </c>
      <c r="S30" s="198">
        <f>'QFR - B'!G21</f>
        <v>3600000</v>
      </c>
      <c r="T30" s="284">
        <f>S30-R30</f>
        <v>84527.29000000004</v>
      </c>
      <c r="U30" s="36"/>
    </row>
    <row r="31" spans="1:21" s="207" customFormat="1" ht="15" outlineLevel="1">
      <c r="A31" s="204" t="s">
        <v>148</v>
      </c>
      <c r="B31" s="200" t="s">
        <v>123</v>
      </c>
      <c r="C31" s="201">
        <v>587282.07</v>
      </c>
      <c r="D31" s="299">
        <v>0</v>
      </c>
      <c r="E31" s="202">
        <v>147000</v>
      </c>
      <c r="F31" s="202"/>
      <c r="G31" s="202"/>
      <c r="H31" s="202">
        <f>SUMIF('Contract level'!$A:$A,"="&amp;'DFP-Com'!$A31,'Contract level'!BE:BE)</f>
        <v>147000</v>
      </c>
      <c r="I31" s="202">
        <f>SUMIF('Contract level'!$A:$A,"="&amp;'DFP-Com'!$A31,'Contract level'!BF:BF)</f>
        <v>0</v>
      </c>
      <c r="J31" s="202">
        <f>SUMIF('Contract level'!$A:$A,"="&amp;'DFP-Com'!$A31,'Contract level'!BG:BG)</f>
        <v>0</v>
      </c>
      <c r="K31" s="202">
        <f>SUMIF('Contract level'!$A:$A,"="&amp;'DFP-Com'!$A31,'Contract level'!BH:BH)</f>
        <v>0</v>
      </c>
      <c r="L31" s="202">
        <f>SUMIF('Contract level'!$A:$A,"="&amp;'DFP-Com'!$A31,'Contract level'!BI:BI)</f>
        <v>0</v>
      </c>
      <c r="M31" s="202">
        <f>SUMIF('Contract level'!$A:$A,"="&amp;'DFP-Com'!$A31,'Contract level'!BJ:BJ)</f>
        <v>0</v>
      </c>
      <c r="N31" s="299">
        <f>SUMIF('Contract level'!$A:$A,"="&amp;'DFP-Com'!$A31,'Contract level'!BK:BK)</f>
        <v>0</v>
      </c>
      <c r="O31" s="299">
        <f>SUMIF('Contract level'!$A:$A,"="&amp;'DFP-Com'!$A31,'Contract level'!BL:BL)</f>
        <v>0</v>
      </c>
      <c r="P31" s="299">
        <f>SUMIF('Contract level'!$A:$A,"="&amp;'DFP-Com'!$A31,'Contract level'!BM:BM)</f>
        <v>0</v>
      </c>
      <c r="Q31" s="299">
        <f>SUMIF('Contract level'!$A:$A,"="&amp;'DFP-Com'!$A31,'Contract level'!BN:BN)</f>
        <v>0</v>
      </c>
      <c r="R31" s="202">
        <f>SUM(H31:Q31)+D31+C31</f>
        <v>734282.07</v>
      </c>
      <c r="S31" s="203"/>
      <c r="T31" s="285"/>
      <c r="U31" s="206"/>
    </row>
    <row r="32" spans="1:21" s="207" customFormat="1" ht="15" outlineLevel="1">
      <c r="A32" s="204" t="s">
        <v>149</v>
      </c>
      <c r="B32" s="200" t="s">
        <v>124</v>
      </c>
      <c r="C32" s="201">
        <v>1030229</v>
      </c>
      <c r="D32" s="202">
        <v>0</v>
      </c>
      <c r="E32" s="299"/>
      <c r="F32" s="299"/>
      <c r="G32" s="299">
        <v>900000</v>
      </c>
      <c r="H32" s="202">
        <f>SUMIF('Contract level'!$A:$A,"="&amp;'DFP-Com'!$A32,'Contract level'!BE:BE)</f>
        <v>900000</v>
      </c>
      <c r="I32" s="202">
        <f>SUMIF('Contract level'!$A:$A,"="&amp;'DFP-Com'!$A32,'Contract level'!BF:BF)</f>
        <v>770000</v>
      </c>
      <c r="J32" s="202">
        <f>SUMIF('Contract level'!$A:$A,"="&amp;'DFP-Com'!$A32,'Contract level'!BG:BG)</f>
        <v>0</v>
      </c>
      <c r="K32" s="202">
        <f>SUMIF('Contract level'!$A:$A,"="&amp;'DFP-Com'!$A32,'Contract level'!BH:BH)</f>
        <v>0</v>
      </c>
      <c r="L32" s="202">
        <f>SUMIF('Contract level'!$A:$A,"="&amp;'DFP-Com'!$A32,'Contract level'!BI:BI)</f>
        <v>0</v>
      </c>
      <c r="M32" s="202">
        <f>SUMIF('Contract level'!$A:$A,"="&amp;'DFP-Com'!$A32,'Contract level'!BJ:BJ)</f>
        <v>0</v>
      </c>
      <c r="N32" s="299">
        <f>SUMIF('Contract level'!$A:$A,"="&amp;'DFP-Com'!$A32,'Contract level'!BK:BK)</f>
        <v>0</v>
      </c>
      <c r="O32" s="299">
        <f>SUMIF('Contract level'!$A:$A,"="&amp;'DFP-Com'!$A32,'Contract level'!BL:BL)</f>
        <v>0</v>
      </c>
      <c r="P32" s="299">
        <f>SUMIF('Contract level'!$A:$A,"="&amp;'DFP-Com'!$A32,'Contract level'!BM:BM)</f>
        <v>0</v>
      </c>
      <c r="Q32" s="299">
        <f>SUMIF('Contract level'!$A:$A,"="&amp;'DFP-Com'!$A32,'Contract level'!BN:BN)</f>
        <v>0</v>
      </c>
      <c r="R32" s="299">
        <f>SUM(H32:Q32)+D32+C32</f>
        <v>2700229</v>
      </c>
      <c r="S32" s="203"/>
      <c r="T32" s="285"/>
      <c r="U32" s="206"/>
    </row>
    <row r="33" spans="1:21" s="207" customFormat="1" ht="15" outlineLevel="1">
      <c r="A33" s="204" t="s">
        <v>150</v>
      </c>
      <c r="B33" s="200" t="s">
        <v>126</v>
      </c>
      <c r="C33" s="201">
        <v>5961.64</v>
      </c>
      <c r="D33" s="299">
        <v>0</v>
      </c>
      <c r="E33" s="202"/>
      <c r="F33" s="202">
        <v>75000</v>
      </c>
      <c r="G33" s="202"/>
      <c r="H33" s="202">
        <f>SUMIF('Contract level'!$A:$A,"="&amp;'DFP-Com'!$A33,'Contract level'!BE:BE)</f>
        <v>75000</v>
      </c>
      <c r="I33" s="202">
        <f>SUMIF('Contract level'!$A:$A,"="&amp;'DFP-Com'!$A33,'Contract level'!BF:BF)</f>
        <v>0</v>
      </c>
      <c r="J33" s="202">
        <f>SUMIF('Contract level'!$A:$A,"="&amp;'DFP-Com'!$A33,'Contract level'!BG:BG)</f>
        <v>0</v>
      </c>
      <c r="K33" s="202">
        <f>SUMIF('Contract level'!$A:$A,"="&amp;'DFP-Com'!$A33,'Contract level'!BH:BH)</f>
        <v>0</v>
      </c>
      <c r="L33" s="202">
        <f>SUMIF('Contract level'!$A:$A,"="&amp;'DFP-Com'!$A33,'Contract level'!BI:BI)</f>
        <v>0</v>
      </c>
      <c r="M33" s="202">
        <f>SUMIF('Contract level'!$A:$A,"="&amp;'DFP-Com'!$A33,'Contract level'!BJ:BJ)</f>
        <v>0</v>
      </c>
      <c r="N33" s="299">
        <f>SUMIF('Contract level'!$A:$A,"="&amp;'DFP-Com'!$A33,'Contract level'!BK:BK)</f>
        <v>0</v>
      </c>
      <c r="O33" s="299">
        <f>SUMIF('Contract level'!$A:$A,"="&amp;'DFP-Com'!$A33,'Contract level'!BL:BL)</f>
        <v>0</v>
      </c>
      <c r="P33" s="299">
        <f>SUMIF('Contract level'!$A:$A,"="&amp;'DFP-Com'!$A33,'Contract level'!BM:BM)</f>
        <v>0</v>
      </c>
      <c r="Q33" s="299">
        <f>SUMIF('Contract level'!$A:$A,"="&amp;'DFP-Com'!$A33,'Contract level'!BN:BN)</f>
        <v>0</v>
      </c>
      <c r="R33" s="202">
        <f>SUM(H33:Q33)+D33+C33</f>
        <v>80961.64</v>
      </c>
      <c r="S33" s="203"/>
      <c r="T33" s="285"/>
      <c r="U33" s="206"/>
    </row>
    <row r="34" spans="1:21" s="37" customFormat="1" ht="15">
      <c r="A34" s="204" t="str">
        <f t="shared" si="3"/>
        <v>TOTA</v>
      </c>
      <c r="B34" s="58" t="s">
        <v>63</v>
      </c>
      <c r="C34" s="197">
        <f>C30+C28</f>
        <v>1957061.7999999998</v>
      </c>
      <c r="D34" s="197">
        <f>D30+D28</f>
        <v>174.22</v>
      </c>
      <c r="E34" s="197">
        <f>+E28+E30</f>
        <v>387000</v>
      </c>
      <c r="F34" s="197">
        <f>+F28+F30</f>
        <v>195000</v>
      </c>
      <c r="G34" s="197">
        <f>+G28+G30</f>
        <v>900000</v>
      </c>
      <c r="H34" s="197">
        <f aca="true" t="shared" si="15" ref="H34:M34">H30+H28</f>
        <v>1482000</v>
      </c>
      <c r="I34" s="197">
        <f t="shared" si="15"/>
        <v>876236.69</v>
      </c>
      <c r="J34" s="197">
        <f t="shared" si="15"/>
        <v>0</v>
      </c>
      <c r="K34" s="197">
        <f t="shared" si="15"/>
        <v>0</v>
      </c>
      <c r="L34" s="197">
        <f t="shared" si="15"/>
        <v>0</v>
      </c>
      <c r="M34" s="197">
        <f t="shared" si="15"/>
        <v>0</v>
      </c>
      <c r="N34" s="197">
        <f aca="true" t="shared" si="16" ref="N34:Q34">N30+N28</f>
        <v>0</v>
      </c>
      <c r="O34" s="197">
        <f t="shared" si="16"/>
        <v>0</v>
      </c>
      <c r="P34" s="197">
        <f t="shared" si="16"/>
        <v>0</v>
      </c>
      <c r="Q34" s="197">
        <f t="shared" si="16"/>
        <v>0</v>
      </c>
      <c r="R34" s="197">
        <f>R28+R30</f>
        <v>4315472.71</v>
      </c>
      <c r="S34" s="272">
        <f>SUM(S28:S33)</f>
        <v>4400000</v>
      </c>
      <c r="T34" s="286">
        <f>SUM(T27:T33)</f>
        <v>84527.29000000004</v>
      </c>
      <c r="U34" s="36"/>
    </row>
    <row r="35" spans="1:21" s="37" customFormat="1" ht="15">
      <c r="A35" s="204" t="str">
        <f t="shared" si="3"/>
        <v/>
      </c>
      <c r="B35" s="53"/>
      <c r="C35" s="273"/>
      <c r="D35" s="216"/>
      <c r="E35" s="216"/>
      <c r="F35" s="216"/>
      <c r="G35" s="216"/>
      <c r="H35" s="216"/>
      <c r="I35" s="216"/>
      <c r="J35" s="216"/>
      <c r="K35" s="216"/>
      <c r="L35" s="216"/>
      <c r="M35" s="216"/>
      <c r="N35" s="216"/>
      <c r="O35" s="216"/>
      <c r="P35" s="216"/>
      <c r="Q35" s="216"/>
      <c r="R35" s="216"/>
      <c r="S35" s="269"/>
      <c r="T35" s="287"/>
      <c r="U35" s="36"/>
    </row>
    <row r="36" spans="1:21" s="63" customFormat="1" ht="15">
      <c r="A36" s="204" t="str">
        <f t="shared" si="3"/>
        <v>3. M</v>
      </c>
      <c r="B36" s="44" t="s">
        <v>90</v>
      </c>
      <c r="C36" s="275"/>
      <c r="D36" s="266"/>
      <c r="E36" s="266"/>
      <c r="F36" s="266"/>
      <c r="G36" s="266"/>
      <c r="H36" s="266"/>
      <c r="I36" s="266"/>
      <c r="J36" s="266"/>
      <c r="K36" s="266"/>
      <c r="L36" s="266"/>
      <c r="M36" s="266"/>
      <c r="N36" s="266"/>
      <c r="O36" s="266"/>
      <c r="P36" s="266"/>
      <c r="Q36" s="266"/>
      <c r="R36" s="217"/>
      <c r="S36" s="270"/>
      <c r="T36" s="288"/>
      <c r="U36" s="62"/>
    </row>
    <row r="37" spans="1:21" s="63" customFormat="1" ht="15" outlineLevel="1">
      <c r="A37" s="204" t="str">
        <f t="shared" si="3"/>
        <v xml:space="preserve">   M</v>
      </c>
      <c r="B37" s="64" t="s">
        <v>91</v>
      </c>
      <c r="C37" s="196">
        <f aca="true" t="shared" si="17" ref="C37:G37">SUM(C38:C41)</f>
        <v>218211.58</v>
      </c>
      <c r="D37" s="196">
        <f t="shared" si="17"/>
        <v>96418.62000000001</v>
      </c>
      <c r="E37" s="196">
        <f t="shared" si="17"/>
        <v>0</v>
      </c>
      <c r="F37" s="196">
        <f t="shared" si="17"/>
        <v>0</v>
      </c>
      <c r="G37" s="196">
        <f t="shared" si="17"/>
        <v>0</v>
      </c>
      <c r="H37" s="196">
        <f aca="true" t="shared" si="18" ref="H37:R37">SUM(H38:H41)</f>
        <v>0</v>
      </c>
      <c r="I37" s="196">
        <f t="shared" si="18"/>
        <v>718000</v>
      </c>
      <c r="J37" s="196">
        <f t="shared" si="18"/>
        <v>30000</v>
      </c>
      <c r="K37" s="196">
        <f t="shared" si="18"/>
        <v>0</v>
      </c>
      <c r="L37" s="196">
        <f t="shared" si="18"/>
        <v>0</v>
      </c>
      <c r="M37" s="196">
        <f t="shared" si="18"/>
        <v>160000</v>
      </c>
      <c r="N37" s="196">
        <f t="shared" si="18"/>
        <v>0</v>
      </c>
      <c r="O37" s="196">
        <f t="shared" si="18"/>
        <v>0</v>
      </c>
      <c r="P37" s="196">
        <f t="shared" si="18"/>
        <v>0</v>
      </c>
      <c r="Q37" s="196">
        <f t="shared" si="18"/>
        <v>0</v>
      </c>
      <c r="R37" s="219">
        <f t="shared" si="18"/>
        <v>1222630.2</v>
      </c>
      <c r="S37" s="198">
        <f>'QFR - B'!G24</f>
        <v>1700000</v>
      </c>
      <c r="T37" s="284">
        <f>S37-R37</f>
        <v>477369.80000000005</v>
      </c>
      <c r="U37" s="62"/>
    </row>
    <row r="38" spans="1:21" s="214" customFormat="1" ht="15" outlineLevel="1">
      <c r="A38" s="204" t="s">
        <v>151</v>
      </c>
      <c r="B38" s="211" t="s">
        <v>113</v>
      </c>
      <c r="C38" s="201">
        <v>202848.12</v>
      </c>
      <c r="D38" s="299">
        <v>96334.49</v>
      </c>
      <c r="E38" s="201"/>
      <c r="F38" s="201"/>
      <c r="G38" s="201"/>
      <c r="H38" s="202">
        <f>SUMIF('Contract level'!$A:$A,"="&amp;'DFP-Com'!$A38,'Contract level'!BE:BE)</f>
        <v>0</v>
      </c>
      <c r="I38" s="202">
        <f>SUMIF('Contract level'!$A:$A,"="&amp;'DFP-Com'!$A38,'Contract level'!BF:BF)</f>
        <v>68000</v>
      </c>
      <c r="J38" s="202">
        <f>SUMIF('Contract level'!$A:$A,"="&amp;'DFP-Com'!$A38,'Contract level'!BG:BG)</f>
        <v>0</v>
      </c>
      <c r="K38" s="202">
        <f>SUMIF('Contract level'!$A:$A,"="&amp;'DFP-Com'!$A38,'Contract level'!BH:BH)</f>
        <v>0</v>
      </c>
      <c r="L38" s="202">
        <f>SUMIF('Contract level'!$A:$A,"="&amp;'DFP-Com'!$A38,'Contract level'!BI:BI)</f>
        <v>0</v>
      </c>
      <c r="M38" s="202">
        <f>SUMIF('Contract level'!$A:$A,"="&amp;'DFP-Com'!$A38,'Contract level'!BJ:BJ)</f>
        <v>0</v>
      </c>
      <c r="N38" s="299">
        <f>SUMIF('Contract level'!$A:$A,"="&amp;'DFP-Com'!$A38,'Contract level'!BK:BK)</f>
        <v>0</v>
      </c>
      <c r="O38" s="299">
        <f>SUMIF('Contract level'!$A:$A,"="&amp;'DFP-Com'!$A38,'Contract level'!BL:BL)</f>
        <v>0</v>
      </c>
      <c r="P38" s="299">
        <f>SUMIF('Contract level'!$A:$A,"="&amp;'DFP-Com'!$A38,'Contract level'!BM:BM)</f>
        <v>0</v>
      </c>
      <c r="Q38" s="299">
        <f>SUMIF('Contract level'!$A:$A,"="&amp;'DFP-Com'!$A38,'Contract level'!BN:BN)</f>
        <v>0</v>
      </c>
      <c r="R38" s="202">
        <f>SUM(H38:Q38)+D38+C38</f>
        <v>367182.61</v>
      </c>
      <c r="S38" s="271"/>
      <c r="T38" s="289"/>
      <c r="U38" s="213"/>
    </row>
    <row r="39" spans="1:21" s="214" customFormat="1" ht="15" outlineLevel="1">
      <c r="A39" s="204" t="s">
        <v>152</v>
      </c>
      <c r="B39" s="211" t="s">
        <v>114</v>
      </c>
      <c r="C39" s="201">
        <v>0</v>
      </c>
      <c r="D39" s="202">
        <v>0</v>
      </c>
      <c r="E39" s="201"/>
      <c r="F39" s="201"/>
      <c r="G39" s="201"/>
      <c r="H39" s="202">
        <f>SUMIF('Contract level'!$A:$A,"="&amp;'DFP-Com'!$A39,'Contract level'!BE:BE)</f>
        <v>0</v>
      </c>
      <c r="I39" s="202">
        <f>SUMIF('Contract level'!$A:$A,"="&amp;'DFP-Com'!$A39,'Contract level'!BF:BF)</f>
        <v>0</v>
      </c>
      <c r="J39" s="202">
        <f>SUMIF('Contract level'!$A:$A,"="&amp;'DFP-Com'!$A39,'Contract level'!BG:BG)</f>
        <v>0</v>
      </c>
      <c r="K39" s="202">
        <f>SUMIF('Contract level'!$A:$A,"="&amp;'DFP-Com'!$A39,'Contract level'!BH:BH)</f>
        <v>0</v>
      </c>
      <c r="L39" s="202">
        <f>SUMIF('Contract level'!$A:$A,"="&amp;'DFP-Com'!$A39,'Contract level'!BI:BI)</f>
        <v>0</v>
      </c>
      <c r="M39" s="202">
        <f>SUMIF('Contract level'!$A:$A,"="&amp;'DFP-Com'!$A39,'Contract level'!BJ:BJ)</f>
        <v>0</v>
      </c>
      <c r="N39" s="299">
        <f>SUMIF('Contract level'!$A:$A,"="&amp;'DFP-Com'!$A39,'Contract level'!BK:BK)</f>
        <v>0</v>
      </c>
      <c r="O39" s="299">
        <f>SUMIF('Contract level'!$A:$A,"="&amp;'DFP-Com'!$A39,'Contract level'!BL:BL)</f>
        <v>0</v>
      </c>
      <c r="P39" s="299">
        <f>SUMIF('Contract level'!$A:$A,"="&amp;'DFP-Com'!$A39,'Contract level'!BM:BM)</f>
        <v>0</v>
      </c>
      <c r="Q39" s="299">
        <f>SUMIF('Contract level'!$A:$A,"="&amp;'DFP-Com'!$A39,'Contract level'!BN:BN)</f>
        <v>0</v>
      </c>
      <c r="R39" s="299">
        <f>SUM(H39:Q39)+D39+C39</f>
        <v>0</v>
      </c>
      <c r="S39" s="271"/>
      <c r="T39" s="289"/>
      <c r="U39" s="213"/>
    </row>
    <row r="40" spans="1:21" s="214" customFormat="1" ht="15" outlineLevel="1">
      <c r="A40" s="204" t="s">
        <v>153</v>
      </c>
      <c r="B40" s="211" t="s">
        <v>115</v>
      </c>
      <c r="C40" s="201">
        <v>0</v>
      </c>
      <c r="D40" s="202">
        <v>0</v>
      </c>
      <c r="E40" s="201"/>
      <c r="F40" s="201"/>
      <c r="G40" s="201"/>
      <c r="H40" s="202">
        <f>SUMIF('Contract level'!$A:$A,"="&amp;'DFP-Com'!$A40,'Contract level'!BE:BE)</f>
        <v>0</v>
      </c>
      <c r="I40" s="202">
        <f>SUMIF('Contract level'!$A:$A,"="&amp;'DFP-Com'!$A40,'Contract level'!BF:BF)</f>
        <v>0</v>
      </c>
      <c r="J40" s="202">
        <f>SUMIF('Contract level'!$A:$A,"="&amp;'DFP-Com'!$A40,'Contract level'!BG:BG)</f>
        <v>0</v>
      </c>
      <c r="K40" s="202">
        <f>SUMIF('Contract level'!$A:$A,"="&amp;'DFP-Com'!$A40,'Contract level'!BH:BH)</f>
        <v>0</v>
      </c>
      <c r="L40" s="202">
        <f>SUMIF('Contract level'!$A:$A,"="&amp;'DFP-Com'!$A40,'Contract level'!BI:BI)</f>
        <v>0</v>
      </c>
      <c r="M40" s="202">
        <f>SUMIF('Contract level'!$A:$A,"="&amp;'DFP-Com'!$A40,'Contract level'!BJ:BJ)</f>
        <v>160000</v>
      </c>
      <c r="N40" s="299">
        <f>SUMIF('Contract level'!$A:$A,"="&amp;'DFP-Com'!$A40,'Contract level'!BK:BK)</f>
        <v>0</v>
      </c>
      <c r="O40" s="299">
        <f>SUMIF('Contract level'!$A:$A,"="&amp;'DFP-Com'!$A40,'Contract level'!BL:BL)</f>
        <v>0</v>
      </c>
      <c r="P40" s="299">
        <f>SUMIF('Contract level'!$A:$A,"="&amp;'DFP-Com'!$A40,'Contract level'!BM:BM)</f>
        <v>0</v>
      </c>
      <c r="Q40" s="299">
        <f>SUMIF('Contract level'!$A:$A,"="&amp;'DFP-Com'!$A40,'Contract level'!BN:BN)</f>
        <v>0</v>
      </c>
      <c r="R40" s="299">
        <f>SUM(H40:Q40)+D40+C40</f>
        <v>160000</v>
      </c>
      <c r="S40" s="271"/>
      <c r="T40" s="289"/>
      <c r="U40" s="213"/>
    </row>
    <row r="41" spans="1:21" s="214" customFormat="1" ht="15" outlineLevel="1">
      <c r="A41" s="204" t="s">
        <v>154</v>
      </c>
      <c r="B41" s="211" t="s">
        <v>125</v>
      </c>
      <c r="C41" s="201">
        <v>15363.46</v>
      </c>
      <c r="D41" s="202">
        <v>84.13</v>
      </c>
      <c r="E41" s="201"/>
      <c r="F41" s="201"/>
      <c r="G41" s="201"/>
      <c r="H41" s="202">
        <f>SUMIF('Contract level'!$A:$A,"="&amp;'DFP-Com'!$A41,'Contract level'!BE:BE)</f>
        <v>0</v>
      </c>
      <c r="I41" s="202">
        <f>SUMIF('Contract level'!$A:$A,"="&amp;'DFP-Com'!$A41,'Contract level'!BF:BF)</f>
        <v>650000</v>
      </c>
      <c r="J41" s="202">
        <f>SUMIF('Contract level'!$A:$A,"="&amp;'DFP-Com'!$A41,'Contract level'!BG:BG)</f>
        <v>30000</v>
      </c>
      <c r="K41" s="202">
        <f>SUMIF('Contract level'!$A:$A,"="&amp;'DFP-Com'!$A41,'Contract level'!BH:BH)</f>
        <v>0</v>
      </c>
      <c r="L41" s="202">
        <f>SUMIF('Contract level'!$A:$A,"="&amp;'DFP-Com'!$A41,'Contract level'!BI:BI)</f>
        <v>0</v>
      </c>
      <c r="M41" s="202">
        <f>SUMIF('Contract level'!$A:$A,"="&amp;'DFP-Com'!$A41,'Contract level'!BJ:BJ)</f>
        <v>0</v>
      </c>
      <c r="N41" s="299">
        <f>SUMIF('Contract level'!$A:$A,"="&amp;'DFP-Com'!$A41,'Contract level'!BK:BK)</f>
        <v>0</v>
      </c>
      <c r="O41" s="299">
        <f>SUMIF('Contract level'!$A:$A,"="&amp;'DFP-Com'!$A41,'Contract level'!BL:BL)</f>
        <v>0</v>
      </c>
      <c r="P41" s="299">
        <f>SUMIF('Contract level'!$A:$A,"="&amp;'DFP-Com'!$A41,'Contract level'!BM:BM)</f>
        <v>0</v>
      </c>
      <c r="Q41" s="299">
        <f>SUMIF('Contract level'!$A:$A,"="&amp;'DFP-Com'!$A41,'Contract level'!BN:BN)</f>
        <v>0</v>
      </c>
      <c r="R41" s="299">
        <f>SUM(H41:Q41)+D41+C41</f>
        <v>695447.59</v>
      </c>
      <c r="S41" s="271"/>
      <c r="T41" s="289"/>
      <c r="U41" s="213"/>
    </row>
    <row r="42" spans="1:21" s="37" customFormat="1" ht="15">
      <c r="A42" s="204"/>
      <c r="B42" s="58" t="s">
        <v>17</v>
      </c>
      <c r="C42" s="197">
        <f>C37</f>
        <v>218211.58</v>
      </c>
      <c r="D42" s="197">
        <f>D37</f>
        <v>96418.62000000001</v>
      </c>
      <c r="E42" s="197">
        <f aca="true" t="shared" si="19" ref="E42:T42">E37</f>
        <v>0</v>
      </c>
      <c r="F42" s="197">
        <f t="shared" si="19"/>
        <v>0</v>
      </c>
      <c r="G42" s="197">
        <f t="shared" si="19"/>
        <v>0</v>
      </c>
      <c r="H42" s="197">
        <f t="shared" si="19"/>
        <v>0</v>
      </c>
      <c r="I42" s="197">
        <f t="shared" si="19"/>
        <v>718000</v>
      </c>
      <c r="J42" s="197">
        <f aca="true" t="shared" si="20" ref="J42:M42">J37</f>
        <v>30000</v>
      </c>
      <c r="K42" s="197">
        <f t="shared" si="20"/>
        <v>0</v>
      </c>
      <c r="L42" s="197">
        <f t="shared" si="20"/>
        <v>0</v>
      </c>
      <c r="M42" s="197">
        <f t="shared" si="20"/>
        <v>160000</v>
      </c>
      <c r="N42" s="197">
        <f aca="true" t="shared" si="21" ref="N42:Q42">N37</f>
        <v>0</v>
      </c>
      <c r="O42" s="197">
        <f t="shared" si="21"/>
        <v>0</v>
      </c>
      <c r="P42" s="197">
        <f t="shared" si="21"/>
        <v>0</v>
      </c>
      <c r="Q42" s="197">
        <f t="shared" si="21"/>
        <v>0</v>
      </c>
      <c r="R42" s="197">
        <f t="shared" si="19"/>
        <v>1222630.2</v>
      </c>
      <c r="S42" s="272">
        <f t="shared" si="19"/>
        <v>1700000</v>
      </c>
      <c r="T42" s="290">
        <f t="shared" si="19"/>
        <v>477369.80000000005</v>
      </c>
      <c r="U42" s="36"/>
    </row>
    <row r="43" spans="1:21" s="37" customFormat="1" ht="15">
      <c r="A43" s="204"/>
      <c r="B43" s="53"/>
      <c r="C43" s="273"/>
      <c r="D43" s="216"/>
      <c r="E43" s="216"/>
      <c r="F43" s="216"/>
      <c r="G43" s="216"/>
      <c r="H43" s="216"/>
      <c r="I43" s="216"/>
      <c r="J43" s="216"/>
      <c r="K43" s="216"/>
      <c r="L43" s="216"/>
      <c r="M43" s="216"/>
      <c r="N43" s="216"/>
      <c r="O43" s="216"/>
      <c r="P43" s="216"/>
      <c r="Q43" s="216"/>
      <c r="R43" s="216"/>
      <c r="S43" s="269"/>
      <c r="T43" s="287"/>
      <c r="U43" s="36"/>
    </row>
    <row r="44" spans="1:21" s="63" customFormat="1" ht="15">
      <c r="A44" s="204"/>
      <c r="B44" s="44" t="s">
        <v>84</v>
      </c>
      <c r="C44" s="275"/>
      <c r="D44" s="266"/>
      <c r="E44" s="266"/>
      <c r="F44" s="266"/>
      <c r="G44" s="266"/>
      <c r="H44" s="266"/>
      <c r="I44" s="266"/>
      <c r="J44" s="266"/>
      <c r="K44" s="266"/>
      <c r="L44" s="266"/>
      <c r="M44" s="266"/>
      <c r="N44" s="266"/>
      <c r="O44" s="266"/>
      <c r="P44" s="266"/>
      <c r="Q44" s="266"/>
      <c r="R44" s="217"/>
      <c r="S44" s="270"/>
      <c r="T44" s="288"/>
      <c r="U44" s="62"/>
    </row>
    <row r="45" spans="1:21" s="37" customFormat="1" ht="15" outlineLevel="1">
      <c r="A45" s="204"/>
      <c r="B45" s="65" t="s">
        <v>93</v>
      </c>
      <c r="C45" s="196">
        <f aca="true" t="shared" si="22" ref="C45:I45">SUM(C46:C49)</f>
        <v>480543.91</v>
      </c>
      <c r="D45" s="196">
        <f t="shared" si="22"/>
        <v>123332.84</v>
      </c>
      <c r="E45" s="196">
        <f t="shared" si="22"/>
        <v>38991</v>
      </c>
      <c r="F45" s="196">
        <f t="shared" si="22"/>
        <v>2000</v>
      </c>
      <c r="G45" s="196">
        <f t="shared" si="22"/>
        <v>1000</v>
      </c>
      <c r="H45" s="196">
        <f t="shared" si="22"/>
        <v>41991</v>
      </c>
      <c r="I45" s="196">
        <f t="shared" si="22"/>
        <v>30491</v>
      </c>
      <c r="J45" s="196">
        <f aca="true" t="shared" si="23" ref="J45:M45">SUM(J46:J49)</f>
        <v>34800</v>
      </c>
      <c r="K45" s="196">
        <f t="shared" si="23"/>
        <v>124696.35</v>
      </c>
      <c r="L45" s="196">
        <f t="shared" si="23"/>
        <v>31800</v>
      </c>
      <c r="M45" s="196">
        <f t="shared" si="23"/>
        <v>32991</v>
      </c>
      <c r="N45" s="196">
        <f aca="true" t="shared" si="24" ref="N45:Q45">SUM(N46:N49)</f>
        <v>26568.120000000003</v>
      </c>
      <c r="O45" s="196">
        <f t="shared" si="24"/>
        <v>78385.9</v>
      </c>
      <c r="P45" s="196">
        <f t="shared" si="24"/>
        <v>11469.8</v>
      </c>
      <c r="Q45" s="196">
        <f t="shared" si="24"/>
        <v>3018.54</v>
      </c>
      <c r="R45" s="219">
        <f>C45+D45+SUM(H45:Q45)</f>
        <v>1020088.46</v>
      </c>
      <c r="S45" s="198">
        <f>'QFR - B'!G27</f>
        <v>797500</v>
      </c>
      <c r="T45" s="284">
        <f>S45-R45</f>
        <v>-222588.45999999996</v>
      </c>
      <c r="U45" s="36"/>
    </row>
    <row r="46" spans="1:21" s="207" customFormat="1" ht="12.75" customHeight="1" outlineLevel="1">
      <c r="A46" s="204" t="s">
        <v>155</v>
      </c>
      <c r="B46" s="215" t="s">
        <v>135</v>
      </c>
      <c r="C46" s="201">
        <v>311472.61</v>
      </c>
      <c r="D46" s="202">
        <v>110466.44</v>
      </c>
      <c r="E46" s="298">
        <v>29991</v>
      </c>
      <c r="F46" s="298"/>
      <c r="G46" s="298"/>
      <c r="H46" s="202">
        <f>SUMIF('Contract level'!$A:$A,"="&amp;'DFP-Com'!$A46,'Contract level'!BE:BE)</f>
        <v>29991</v>
      </c>
      <c r="I46" s="202">
        <f>SUMIF('Contract level'!$A:$A,"="&amp;'DFP-Com'!$A46,'Contract level'!BF:BF)</f>
        <v>29991</v>
      </c>
      <c r="J46" s="202">
        <f>SUMIF('Contract level'!$A:$A,"="&amp;'DFP-Com'!$A46,'Contract level'!BG:BG)</f>
        <v>28800</v>
      </c>
      <c r="K46" s="202">
        <f>SUMIF('Contract level'!$A:$A,"="&amp;'DFP-Com'!$A46,'Contract level'!BH:BH)</f>
        <v>119991</v>
      </c>
      <c r="L46" s="202">
        <f>SUMIF('Contract level'!$A:$A,"="&amp;'DFP-Com'!$A46,'Contract level'!BI:BI)</f>
        <v>28800</v>
      </c>
      <c r="M46" s="202">
        <f>SUMIF('Contract level'!$A:$A,"="&amp;'DFP-Com'!$A46,'Contract level'!BJ:BJ)</f>
        <v>29991</v>
      </c>
      <c r="N46" s="299">
        <f>SUMIF('Contract level'!$A:$A,"="&amp;'DFP-Com'!$A46,'Contract level'!BK:BK)</f>
        <v>22803.96</v>
      </c>
      <c r="O46" s="299">
        <f>SUMIF('Contract level'!$A:$A,"="&amp;'DFP-Com'!$A46,'Contract level'!BL:BL)</f>
        <v>78385.9</v>
      </c>
      <c r="P46" s="299">
        <f>SUMIF('Contract level'!$A:$A,"="&amp;'DFP-Com'!$A46,'Contract level'!BM:BM)</f>
        <v>8469.8</v>
      </c>
      <c r="Q46" s="299">
        <f>SUMIF('Contract level'!$A:$A,"="&amp;'DFP-Com'!$A46,'Contract level'!BN:BN)</f>
        <v>3018.54</v>
      </c>
      <c r="R46" s="202">
        <f>SUM(H46:Q46)+D46+C46</f>
        <v>802181.25</v>
      </c>
      <c r="S46" s="271"/>
      <c r="T46" s="285"/>
      <c r="U46" s="206"/>
    </row>
    <row r="47" spans="1:21" s="207" customFormat="1" ht="15" outlineLevel="1">
      <c r="A47" s="204" t="s">
        <v>156</v>
      </c>
      <c r="B47" s="215" t="s">
        <v>136</v>
      </c>
      <c r="C47" s="201">
        <v>19751.64</v>
      </c>
      <c r="D47" s="202">
        <v>4226.4</v>
      </c>
      <c r="E47" s="298">
        <v>2000</v>
      </c>
      <c r="F47" s="298">
        <v>2000</v>
      </c>
      <c r="G47" s="298">
        <v>1000</v>
      </c>
      <c r="H47" s="202">
        <f>SUMIF('Contract level'!$A:$A,"="&amp;'DFP-Com'!$A47,'Contract level'!BE:BE)</f>
        <v>5000</v>
      </c>
      <c r="I47" s="202">
        <f>SUMIF('Contract level'!$A:$A,"="&amp;'DFP-Com'!$A47,'Contract level'!BF:BF)</f>
        <v>500</v>
      </c>
      <c r="J47" s="202">
        <f>SUMIF('Contract level'!$A:$A,"="&amp;'DFP-Com'!$A47,'Contract level'!BG:BG)</f>
        <v>1000</v>
      </c>
      <c r="K47" s="202">
        <f>SUMIF('Contract level'!$A:$A,"="&amp;'DFP-Com'!$A47,'Contract level'!BH:BH)</f>
        <v>2705.3500000000004</v>
      </c>
      <c r="L47" s="202">
        <f>SUMIF('Contract level'!$A:$A,"="&amp;'DFP-Com'!$A47,'Contract level'!BI:BI)</f>
        <v>1000</v>
      </c>
      <c r="M47" s="202">
        <f>SUMIF('Contract level'!$A:$A,"="&amp;'DFP-Com'!$A47,'Contract level'!BJ:BJ)</f>
        <v>1000</v>
      </c>
      <c r="N47" s="299">
        <f>SUMIF('Contract level'!$A:$A,"="&amp;'DFP-Com'!$A47,'Contract level'!BK:BK)</f>
        <v>2436.26</v>
      </c>
      <c r="O47" s="299">
        <f>SUMIF('Contract level'!$A:$A,"="&amp;'DFP-Com'!$A47,'Contract level'!BL:BL)</f>
        <v>0</v>
      </c>
      <c r="P47" s="299">
        <f>SUMIF('Contract level'!$A:$A,"="&amp;'DFP-Com'!$A47,'Contract level'!BM:BM)</f>
        <v>0</v>
      </c>
      <c r="Q47" s="299">
        <f>SUMIF('Contract level'!$A:$A,"="&amp;'DFP-Com'!$A47,'Contract level'!BN:BN)</f>
        <v>0</v>
      </c>
      <c r="R47" s="299">
        <f aca="true" t="shared" si="25" ref="R47:R49">SUM(H47:Q47)+D47+C47</f>
        <v>37619.65</v>
      </c>
      <c r="S47" s="271"/>
      <c r="T47" s="289"/>
      <c r="U47" s="206"/>
    </row>
    <row r="48" spans="1:21" s="207" customFormat="1" ht="15" outlineLevel="1">
      <c r="A48" s="204" t="s">
        <v>157</v>
      </c>
      <c r="B48" s="215" t="s">
        <v>137</v>
      </c>
      <c r="C48" s="201">
        <v>120000</v>
      </c>
      <c r="D48" s="202">
        <v>0</v>
      </c>
      <c r="E48" s="298"/>
      <c r="F48" s="298"/>
      <c r="G48" s="298"/>
      <c r="H48" s="202">
        <f>SUMIF('Contract level'!$A:$A,"="&amp;'DFP-Com'!$A48,'Contract level'!BE:BE)</f>
        <v>0</v>
      </c>
      <c r="I48" s="202">
        <f>SUMIF('Contract level'!$A:$A,"="&amp;'DFP-Com'!$A48,'Contract level'!BF:BF)</f>
        <v>0</v>
      </c>
      <c r="J48" s="202">
        <f>SUMIF('Contract level'!$A:$A,"="&amp;'DFP-Com'!$A48,'Contract level'!BG:BG)</f>
        <v>0</v>
      </c>
      <c r="K48" s="202">
        <f>SUMIF('Contract level'!$A:$A,"="&amp;'DFP-Com'!$A48,'Contract level'!BH:BH)</f>
        <v>0</v>
      </c>
      <c r="L48" s="202">
        <f>SUMIF('Contract level'!$A:$A,"="&amp;'DFP-Com'!$A48,'Contract level'!BI:BI)</f>
        <v>0</v>
      </c>
      <c r="M48" s="202">
        <f>SUMIF('Contract level'!$A:$A,"="&amp;'DFP-Com'!$A48,'Contract level'!BJ:BJ)</f>
        <v>0</v>
      </c>
      <c r="N48" s="299">
        <f>SUMIF('Contract level'!$A:$A,"="&amp;'DFP-Com'!$A48,'Contract level'!BK:BK)</f>
        <v>0</v>
      </c>
      <c r="O48" s="299">
        <f>SUMIF('Contract level'!$A:$A,"="&amp;'DFP-Com'!$A48,'Contract level'!BL:BL)</f>
        <v>0</v>
      </c>
      <c r="P48" s="299">
        <f>SUMIF('Contract level'!$A:$A,"="&amp;'DFP-Com'!$A48,'Contract level'!BM:BM)</f>
        <v>0</v>
      </c>
      <c r="Q48" s="299">
        <f>SUMIF('Contract level'!$A:$A,"="&amp;'DFP-Com'!$A48,'Contract level'!BN:BN)</f>
        <v>0</v>
      </c>
      <c r="R48" s="299">
        <f t="shared" si="25"/>
        <v>120000</v>
      </c>
      <c r="S48" s="271"/>
      <c r="T48" s="289"/>
      <c r="U48" s="206"/>
    </row>
    <row r="49" spans="1:21" s="207" customFormat="1" ht="15" outlineLevel="1">
      <c r="A49" s="204" t="s">
        <v>158</v>
      </c>
      <c r="B49" s="215" t="s">
        <v>138</v>
      </c>
      <c r="C49" s="201">
        <v>29319.659999999996</v>
      </c>
      <c r="D49" s="299">
        <v>8640</v>
      </c>
      <c r="E49" s="298">
        <v>7000</v>
      </c>
      <c r="F49" s="298"/>
      <c r="G49" s="298"/>
      <c r="H49" s="202">
        <f>SUMIF('Contract level'!$A:$A,"="&amp;'DFP-Com'!$A49,'Contract level'!BE:BE)</f>
        <v>7000</v>
      </c>
      <c r="I49" s="202">
        <f>SUMIF('Contract level'!$A:$A,"="&amp;'DFP-Com'!$A49,'Contract level'!BF:BF)</f>
        <v>0</v>
      </c>
      <c r="J49" s="202">
        <f>SUMIF('Contract level'!$A:$A,"="&amp;'DFP-Com'!$A49,'Contract level'!BG:BG)</f>
        <v>5000</v>
      </c>
      <c r="K49" s="202">
        <f>SUMIF('Contract level'!$A:$A,"="&amp;'DFP-Com'!$A49,'Contract level'!BH:BH)</f>
        <v>2000</v>
      </c>
      <c r="L49" s="202">
        <f>SUMIF('Contract level'!$A:$A,"="&amp;'DFP-Com'!$A49,'Contract level'!BI:BI)</f>
        <v>2000</v>
      </c>
      <c r="M49" s="202">
        <f>SUMIF('Contract level'!$A:$A,"="&amp;'DFP-Com'!$A49,'Contract level'!BJ:BJ)</f>
        <v>2000</v>
      </c>
      <c r="N49" s="299">
        <f>SUMIF('Contract level'!$A:$A,"="&amp;'DFP-Com'!$A49,'Contract level'!BK:BK)</f>
        <v>1327.9</v>
      </c>
      <c r="O49" s="299">
        <f>SUMIF('Contract level'!$A:$A,"="&amp;'DFP-Com'!$A49,'Contract level'!BL:BL)</f>
        <v>0</v>
      </c>
      <c r="P49" s="299">
        <f>SUMIF('Contract level'!$A:$A,"="&amp;'DFP-Com'!$A49,'Contract level'!BM:BM)</f>
        <v>3000</v>
      </c>
      <c r="Q49" s="299">
        <f>SUMIF('Contract level'!$A:$A,"="&amp;'DFP-Com'!$A49,'Contract level'!BN:BN)</f>
        <v>0</v>
      </c>
      <c r="R49" s="299">
        <f t="shared" si="25"/>
        <v>60287.56</v>
      </c>
      <c r="S49" s="271"/>
      <c r="T49" s="289"/>
      <c r="U49" s="206"/>
    </row>
    <row r="50" spans="1:21" s="63" customFormat="1" ht="15">
      <c r="A50" s="10"/>
      <c r="B50" s="66" t="s">
        <v>92</v>
      </c>
      <c r="C50" s="197">
        <f aca="true" t="shared" si="26" ref="C50:T50">C45</f>
        <v>480543.91</v>
      </c>
      <c r="D50" s="197">
        <f t="shared" si="26"/>
        <v>123332.84</v>
      </c>
      <c r="E50" s="197">
        <f t="shared" si="26"/>
        <v>38991</v>
      </c>
      <c r="F50" s="197">
        <f t="shared" si="26"/>
        <v>2000</v>
      </c>
      <c r="G50" s="197">
        <f t="shared" si="26"/>
        <v>1000</v>
      </c>
      <c r="H50" s="197">
        <f t="shared" si="26"/>
        <v>41991</v>
      </c>
      <c r="I50" s="197">
        <f t="shared" si="26"/>
        <v>30491</v>
      </c>
      <c r="J50" s="197">
        <f aca="true" t="shared" si="27" ref="J50:M50">J45</f>
        <v>34800</v>
      </c>
      <c r="K50" s="197">
        <f t="shared" si="27"/>
        <v>124696.35</v>
      </c>
      <c r="L50" s="197">
        <f t="shared" si="27"/>
        <v>31800</v>
      </c>
      <c r="M50" s="197">
        <f t="shared" si="27"/>
        <v>32991</v>
      </c>
      <c r="N50" s="197">
        <f aca="true" t="shared" si="28" ref="N50:Q50">N45</f>
        <v>26568.120000000003</v>
      </c>
      <c r="O50" s="197">
        <f t="shared" si="28"/>
        <v>78385.9</v>
      </c>
      <c r="P50" s="197">
        <f t="shared" si="28"/>
        <v>11469.8</v>
      </c>
      <c r="Q50" s="197">
        <f t="shared" si="28"/>
        <v>3018.54</v>
      </c>
      <c r="R50" s="197">
        <f t="shared" si="26"/>
        <v>1020088.46</v>
      </c>
      <c r="S50" s="272">
        <f t="shared" si="26"/>
        <v>797500</v>
      </c>
      <c r="T50" s="290">
        <f t="shared" si="26"/>
        <v>-222588.45999999996</v>
      </c>
      <c r="U50" s="62"/>
    </row>
    <row r="51" spans="1:21" s="37" customFormat="1" ht="15">
      <c r="A51" s="5"/>
      <c r="B51" s="53"/>
      <c r="C51" s="273"/>
      <c r="D51" s="216"/>
      <c r="E51" s="216"/>
      <c r="F51" s="216"/>
      <c r="G51" s="216"/>
      <c r="H51" s="216"/>
      <c r="I51" s="216"/>
      <c r="J51" s="216"/>
      <c r="K51" s="216"/>
      <c r="L51" s="216"/>
      <c r="M51" s="216"/>
      <c r="N51" s="216"/>
      <c r="O51" s="216"/>
      <c r="P51" s="216"/>
      <c r="Q51" s="216"/>
      <c r="R51" s="218"/>
      <c r="S51" s="269"/>
      <c r="T51" s="291"/>
      <c r="U51" s="36"/>
    </row>
    <row r="52" spans="1:21" s="227" customFormat="1" ht="13.5" customHeight="1" thickBot="1">
      <c r="A52" s="223"/>
      <c r="B52" s="228" t="s">
        <v>131</v>
      </c>
      <c r="C52" s="225">
        <f aca="true" t="shared" si="29" ref="C52:G52">C50+C42+C34+C25</f>
        <v>15499699.489999998</v>
      </c>
      <c r="D52" s="225">
        <f t="shared" si="29"/>
        <v>5479455.47</v>
      </c>
      <c r="E52" s="225">
        <f t="shared" si="29"/>
        <v>632007</v>
      </c>
      <c r="F52" s="225">
        <f t="shared" si="29"/>
        <v>397000</v>
      </c>
      <c r="G52" s="225">
        <f t="shared" si="29"/>
        <v>1191000</v>
      </c>
      <c r="H52" s="225">
        <f aca="true" t="shared" si="30" ref="H52:T52">H50+H42+H34+H25</f>
        <v>2220007</v>
      </c>
      <c r="I52" s="225">
        <f t="shared" si="30"/>
        <v>2018485.69</v>
      </c>
      <c r="J52" s="225">
        <f aca="true" t="shared" si="31" ref="J52:M52">J50+J42+J34+J25</f>
        <v>97712</v>
      </c>
      <c r="K52" s="225">
        <f t="shared" si="31"/>
        <v>124696.35</v>
      </c>
      <c r="L52" s="225">
        <f t="shared" si="31"/>
        <v>61791</v>
      </c>
      <c r="M52" s="225">
        <f t="shared" si="31"/>
        <v>236749</v>
      </c>
      <c r="N52" s="225">
        <f aca="true" t="shared" si="32" ref="N52:Q52">N50+N42+N34+N25</f>
        <v>50797.62</v>
      </c>
      <c r="O52" s="225">
        <f t="shared" si="32"/>
        <v>78385.9</v>
      </c>
      <c r="P52" s="225">
        <f t="shared" si="32"/>
        <v>19158.48</v>
      </c>
      <c r="Q52" s="225">
        <f t="shared" si="32"/>
        <v>7870.740000000012</v>
      </c>
      <c r="R52" s="225">
        <f t="shared" si="30"/>
        <v>25894808.740000002</v>
      </c>
      <c r="S52" s="225">
        <f t="shared" si="30"/>
        <v>26197500</v>
      </c>
      <c r="T52" s="292">
        <f t="shared" si="30"/>
        <v>302691.25999999954</v>
      </c>
      <c r="U52" s="226"/>
    </row>
    <row r="53" spans="2:20" ht="13.5" thickTop="1">
      <c r="B53" s="7" t="s">
        <v>255</v>
      </c>
      <c r="C53" s="276"/>
      <c r="D53" s="267"/>
      <c r="H53" s="267"/>
      <c r="I53" s="267"/>
      <c r="J53" s="267"/>
      <c r="K53" s="267"/>
      <c r="L53" s="267"/>
      <c r="M53" s="267"/>
      <c r="N53" s="267"/>
      <c r="O53" s="267"/>
      <c r="P53" s="267"/>
      <c r="Q53" s="267"/>
      <c r="R53" s="267"/>
      <c r="S53" s="277"/>
      <c r="T53" s="293"/>
    </row>
    <row r="54" spans="2:20" ht="25.35" customHeight="1">
      <c r="B54" s="407" t="s">
        <v>134</v>
      </c>
      <c r="C54" s="407"/>
      <c r="D54" s="407"/>
      <c r="E54" s="407"/>
      <c r="F54" s="407"/>
      <c r="G54" s="407"/>
      <c r="H54" s="267"/>
      <c r="I54" s="267"/>
      <c r="J54" s="267"/>
      <c r="K54" s="267"/>
      <c r="L54" s="267"/>
      <c r="M54" s="267"/>
      <c r="N54" s="267"/>
      <c r="O54" s="267"/>
      <c r="P54" s="267"/>
      <c r="Q54" s="267"/>
      <c r="R54" s="267"/>
      <c r="S54" s="277"/>
      <c r="T54" s="294"/>
    </row>
    <row r="55" spans="2:20" ht="15">
      <c r="B55" s="7"/>
      <c r="C55" s="276"/>
      <c r="D55" s="267"/>
      <c r="H55" s="267"/>
      <c r="I55" s="267"/>
      <c r="J55" s="267"/>
      <c r="K55" s="267"/>
      <c r="L55" s="267"/>
      <c r="M55" s="267">
        <f>120000-42000</f>
        <v>78000</v>
      </c>
      <c r="N55" s="267"/>
      <c r="O55" s="267"/>
      <c r="P55" s="267"/>
      <c r="Q55" s="267"/>
      <c r="R55" s="267"/>
      <c r="S55" s="277"/>
      <c r="T55" s="293"/>
    </row>
    <row r="56" spans="2:20" ht="15">
      <c r="B56" s="7"/>
      <c r="C56" s="276"/>
      <c r="D56" s="267"/>
      <c r="H56" s="267"/>
      <c r="I56" s="267"/>
      <c r="J56" s="267"/>
      <c r="K56" s="267"/>
      <c r="L56" s="267"/>
      <c r="M56" s="267"/>
      <c r="N56" s="267"/>
      <c r="O56" s="267"/>
      <c r="P56" s="267"/>
      <c r="Q56" s="267"/>
      <c r="R56" s="267"/>
      <c r="S56" s="277"/>
      <c r="T56" s="294"/>
    </row>
    <row r="57" spans="2:20" ht="15">
      <c r="B57" s="7"/>
      <c r="C57" s="276"/>
      <c r="D57" s="267"/>
      <c r="H57" s="267"/>
      <c r="I57" s="267"/>
      <c r="J57" s="267"/>
      <c r="K57" s="267"/>
      <c r="L57" s="267"/>
      <c r="M57" s="267"/>
      <c r="N57" s="267"/>
      <c r="O57" s="267"/>
      <c r="P57" s="267"/>
      <c r="Q57" s="267"/>
      <c r="R57" s="267"/>
      <c r="S57" s="277"/>
      <c r="T57" s="294"/>
    </row>
    <row r="58" spans="2:20" ht="15">
      <c r="B58" s="7"/>
      <c r="C58" s="276"/>
      <c r="D58" s="267"/>
      <c r="H58" s="267"/>
      <c r="I58" s="267"/>
      <c r="J58" s="267"/>
      <c r="K58" s="267"/>
      <c r="L58" s="267"/>
      <c r="M58" s="267"/>
      <c r="N58" s="267"/>
      <c r="O58" s="267"/>
      <c r="P58" s="267"/>
      <c r="Q58" s="267"/>
      <c r="R58" s="267"/>
      <c r="S58" s="277"/>
      <c r="T58" s="294"/>
    </row>
    <row r="59" spans="2:20" ht="15">
      <c r="B59" s="7"/>
      <c r="C59" s="276"/>
      <c r="D59" s="267"/>
      <c r="H59" s="267"/>
      <c r="I59" s="267"/>
      <c r="J59" s="267"/>
      <c r="K59" s="267"/>
      <c r="L59" s="267"/>
      <c r="M59" s="267"/>
      <c r="N59" s="267"/>
      <c r="O59" s="267"/>
      <c r="P59" s="267"/>
      <c r="Q59" s="267"/>
      <c r="R59" s="267"/>
      <c r="S59" s="277"/>
      <c r="T59" s="294"/>
    </row>
    <row r="60" spans="2:20" ht="15">
      <c r="B60" s="7"/>
      <c r="C60" s="276"/>
      <c r="D60" s="267"/>
      <c r="H60" s="267"/>
      <c r="I60" s="267"/>
      <c r="J60" s="267"/>
      <c r="K60" s="267"/>
      <c r="L60" s="267"/>
      <c r="M60" s="267"/>
      <c r="N60" s="267"/>
      <c r="O60" s="267"/>
      <c r="P60" s="267"/>
      <c r="Q60" s="267"/>
      <c r="R60" s="267"/>
      <c r="S60" s="277"/>
      <c r="T60" s="294"/>
    </row>
    <row r="61" spans="2:20" ht="15">
      <c r="B61" s="7"/>
      <c r="C61" s="276"/>
      <c r="D61" s="267"/>
      <c r="H61" s="267"/>
      <c r="I61" s="267"/>
      <c r="J61" s="267"/>
      <c r="K61" s="267"/>
      <c r="L61" s="267"/>
      <c r="M61" s="267"/>
      <c r="N61" s="267"/>
      <c r="O61" s="267"/>
      <c r="P61" s="267"/>
      <c r="Q61" s="267"/>
      <c r="R61" s="267"/>
      <c r="S61" s="277"/>
      <c r="T61" s="294"/>
    </row>
    <row r="62" spans="2:20" ht="15">
      <c r="B62" s="7"/>
      <c r="C62" s="276"/>
      <c r="D62" s="267"/>
      <c r="H62" s="267"/>
      <c r="I62" s="267"/>
      <c r="J62" s="267"/>
      <c r="K62" s="267"/>
      <c r="L62" s="267"/>
      <c r="M62" s="267"/>
      <c r="N62" s="267"/>
      <c r="O62" s="267"/>
      <c r="P62" s="267"/>
      <c r="Q62" s="267"/>
      <c r="R62" s="267"/>
      <c r="S62" s="277"/>
      <c r="T62" s="294"/>
    </row>
    <row r="63" spans="2:20" ht="15">
      <c r="B63" s="7"/>
      <c r="C63" s="276"/>
      <c r="D63" s="267"/>
      <c r="H63" s="267"/>
      <c r="I63" s="267"/>
      <c r="J63" s="267"/>
      <c r="K63" s="267"/>
      <c r="L63" s="267"/>
      <c r="M63" s="267"/>
      <c r="N63" s="267"/>
      <c r="O63" s="267"/>
      <c r="P63" s="267"/>
      <c r="Q63" s="267"/>
      <c r="R63" s="267"/>
      <c r="S63" s="277"/>
      <c r="T63" s="294"/>
    </row>
    <row r="64" spans="2:20" ht="15">
      <c r="B64" s="7"/>
      <c r="C64" s="276"/>
      <c r="D64" s="267"/>
      <c r="H64" s="267"/>
      <c r="I64" s="267"/>
      <c r="J64" s="267"/>
      <c r="K64" s="267"/>
      <c r="L64" s="267"/>
      <c r="M64" s="267"/>
      <c r="N64" s="267"/>
      <c r="O64" s="267"/>
      <c r="P64" s="267"/>
      <c r="Q64" s="267"/>
      <c r="R64" s="267"/>
      <c r="S64" s="277"/>
      <c r="T64" s="294"/>
    </row>
    <row r="65" spans="3:20" ht="15">
      <c r="C65" s="276"/>
      <c r="D65" s="267"/>
      <c r="H65" s="267"/>
      <c r="I65" s="267"/>
      <c r="J65" s="267"/>
      <c r="K65" s="267"/>
      <c r="L65" s="267"/>
      <c r="M65" s="267"/>
      <c r="N65" s="267"/>
      <c r="O65" s="267"/>
      <c r="P65" s="267"/>
      <c r="Q65" s="267"/>
      <c r="R65" s="267"/>
      <c r="S65" s="277"/>
      <c r="T65" s="294"/>
    </row>
    <row r="66" spans="3:20" ht="15">
      <c r="C66" s="276"/>
      <c r="D66" s="267"/>
      <c r="H66" s="267"/>
      <c r="I66" s="267"/>
      <c r="J66" s="267"/>
      <c r="K66" s="267"/>
      <c r="L66" s="267"/>
      <c r="M66" s="267"/>
      <c r="N66" s="267"/>
      <c r="O66" s="267"/>
      <c r="P66" s="267"/>
      <c r="Q66" s="267"/>
      <c r="R66" s="267"/>
      <c r="S66" s="277"/>
      <c r="T66" s="294"/>
    </row>
    <row r="67" spans="3:20" ht="15">
      <c r="C67" s="276"/>
      <c r="D67" s="267"/>
      <c r="H67" s="267"/>
      <c r="I67" s="267"/>
      <c r="J67" s="267"/>
      <c r="K67" s="267"/>
      <c r="L67" s="267"/>
      <c r="M67" s="267"/>
      <c r="N67" s="267"/>
      <c r="O67" s="267"/>
      <c r="P67" s="267"/>
      <c r="Q67" s="267"/>
      <c r="R67" s="267"/>
      <c r="S67" s="277"/>
      <c r="T67" s="294"/>
    </row>
    <row r="68" spans="3:20" ht="15">
      <c r="C68" s="276"/>
      <c r="D68" s="267"/>
      <c r="H68" s="267"/>
      <c r="I68" s="267"/>
      <c r="J68" s="267"/>
      <c r="K68" s="267"/>
      <c r="L68" s="267"/>
      <c r="M68" s="267"/>
      <c r="N68" s="267"/>
      <c r="O68" s="267"/>
      <c r="P68" s="267"/>
      <c r="Q68" s="267"/>
      <c r="R68" s="267"/>
      <c r="S68" s="277"/>
      <c r="T68" s="294"/>
    </row>
    <row r="69" spans="3:20" ht="15">
      <c r="C69" s="276"/>
      <c r="D69" s="267"/>
      <c r="H69" s="267"/>
      <c r="I69" s="267"/>
      <c r="J69" s="267"/>
      <c r="K69" s="267"/>
      <c r="L69" s="267"/>
      <c r="M69" s="267"/>
      <c r="N69" s="267"/>
      <c r="O69" s="267"/>
      <c r="P69" s="267"/>
      <c r="Q69" s="267"/>
      <c r="R69" s="267"/>
      <c r="S69" s="277"/>
      <c r="T69" s="294"/>
    </row>
    <row r="70" spans="3:20" ht="15">
      <c r="C70" s="276"/>
      <c r="D70" s="267"/>
      <c r="H70" s="267"/>
      <c r="I70" s="267"/>
      <c r="J70" s="267"/>
      <c r="K70" s="267"/>
      <c r="L70" s="267"/>
      <c r="M70" s="267"/>
      <c r="N70" s="267"/>
      <c r="O70" s="267"/>
      <c r="P70" s="267"/>
      <c r="Q70" s="267"/>
      <c r="R70" s="267"/>
      <c r="S70" s="277"/>
      <c r="T70" s="294"/>
    </row>
    <row r="71" ht="15">
      <c r="T71" s="294"/>
    </row>
    <row r="72" ht="15">
      <c r="T72" s="294"/>
    </row>
    <row r="73" ht="15">
      <c r="T73" s="294"/>
    </row>
    <row r="74" ht="15">
      <c r="T74" s="294"/>
    </row>
    <row r="75" ht="15">
      <c r="T75" s="294"/>
    </row>
    <row r="76" ht="15">
      <c r="T76" s="294"/>
    </row>
    <row r="77" ht="15">
      <c r="T77" s="294"/>
    </row>
    <row r="87" spans="8:18" ht="15">
      <c r="H87" s="69"/>
      <c r="I87" s="69"/>
      <c r="J87" s="69"/>
      <c r="K87" s="69"/>
      <c r="L87" s="69"/>
      <c r="M87" s="69"/>
      <c r="N87" s="69"/>
      <c r="O87" s="69"/>
      <c r="P87" s="69"/>
      <c r="Q87" s="69"/>
      <c r="R87" s="70"/>
    </row>
    <row r="88" ht="15">
      <c r="D88" s="71"/>
    </row>
  </sheetData>
  <mergeCells count="7">
    <mergeCell ref="B54:G54"/>
    <mergeCell ref="T10:T11"/>
    <mergeCell ref="B9:B10"/>
    <mergeCell ref="S10:S11"/>
    <mergeCell ref="R10:R11"/>
    <mergeCell ref="E10:G10"/>
    <mergeCell ref="E9:G9"/>
  </mergeCells>
  <printOptions horizontalCentered="1"/>
  <pageMargins left="0.25" right="0.25" top="0.75" bottom="0.75" header="0.3" footer="0.3"/>
  <pageSetup fitToHeight="1" fitToWidth="1" horizontalDpi="600" verticalDpi="600" orientation="landscape" scale="3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5"/>
  <sheetViews>
    <sheetView showGridLines="0" tabSelected="1" zoomScale="130" zoomScaleNormal="130" zoomScalePageLayoutView="85" workbookViewId="0" topLeftCell="B27">
      <selection activeCell="D43" sqref="D43"/>
    </sheetView>
  </sheetViews>
  <sheetFormatPr defaultColWidth="0" defaultRowHeight="15" outlineLevelRow="1" outlineLevelCol="1"/>
  <cols>
    <col min="1" max="1" width="8.57421875" style="1" hidden="1" customWidth="1" outlineLevel="1"/>
    <col min="2" max="2" width="49.421875" style="1" customWidth="1" collapsed="1"/>
    <col min="3" max="3" width="17.421875" style="67" customWidth="1"/>
    <col min="4" max="4" width="21.140625" style="1" customWidth="1"/>
    <col min="5" max="6" width="15.57421875" style="1" bestFit="1" customWidth="1"/>
    <col min="7" max="7" width="13.7109375" style="267" bestFit="1" customWidth="1"/>
    <col min="8" max="8" width="16.28125" style="1" customWidth="1"/>
    <col min="9" max="13" width="18.57421875" style="1" bestFit="1" customWidth="1"/>
    <col min="14" max="17" width="15.00390625" style="1" customWidth="1"/>
    <col min="18" max="19" width="17.421875" style="1" customWidth="1"/>
    <col min="20" max="20" width="19.421875" style="6" customWidth="1"/>
    <col min="21" max="21" width="2.8515625" style="1" customWidth="1"/>
    <col min="22" max="22" width="17.421875" style="10" hidden="1" customWidth="1"/>
    <col min="23" max="23" width="22.421875" style="10" hidden="1" customWidth="1"/>
    <col min="24" max="33" width="11.421875" style="5" hidden="1" customWidth="1"/>
    <col min="34" max="16384" width="0" style="5" hidden="1" customWidth="1"/>
  </cols>
  <sheetData>
    <row r="1" spans="2:7" ht="13.5" hidden="1" outlineLevel="1" thickBot="1">
      <c r="B1" s="2" t="s">
        <v>18</v>
      </c>
      <c r="C1" s="3"/>
      <c r="D1" s="4"/>
      <c r="E1" s="5"/>
      <c r="F1" s="5"/>
      <c r="G1" s="258"/>
    </row>
    <row r="2" spans="2:24" ht="13.5" hidden="1" outlineLevel="1" thickBot="1">
      <c r="B2" s="8"/>
      <c r="C2" s="3"/>
      <c r="D2" s="4"/>
      <c r="E2" s="5"/>
      <c r="F2" s="5"/>
      <c r="G2" s="258"/>
      <c r="U2" s="9"/>
      <c r="X2" s="10"/>
    </row>
    <row r="3" spans="2:7" ht="12.75" customHeight="1" hidden="1" outlineLevel="1">
      <c r="B3" s="11" t="s">
        <v>1</v>
      </c>
      <c r="C3" s="12"/>
      <c r="D3" s="13" t="s">
        <v>67</v>
      </c>
      <c r="E3" s="77"/>
      <c r="F3" s="77"/>
      <c r="G3" s="259"/>
    </row>
    <row r="4" spans="2:7" ht="12.75" customHeight="1" hidden="1" outlineLevel="1">
      <c r="B4" s="14" t="s">
        <v>2</v>
      </c>
      <c r="C4" s="15"/>
      <c r="D4" s="16" t="s">
        <v>68</v>
      </c>
      <c r="E4" s="77"/>
      <c r="F4" s="77"/>
      <c r="G4" s="259"/>
    </row>
    <row r="5" spans="2:7" ht="12.75" customHeight="1" hidden="1" outlineLevel="1">
      <c r="B5" s="17" t="s">
        <v>3</v>
      </c>
      <c r="C5" s="15"/>
      <c r="D5" s="16" t="str">
        <f>'THP DR'!B7</f>
        <v>TR14GTM15001</v>
      </c>
      <c r="E5" s="77"/>
      <c r="F5" s="77"/>
      <c r="G5" s="259"/>
    </row>
    <row r="6" spans="2:24" ht="12.75" customHeight="1" hidden="1" outlineLevel="1">
      <c r="B6" s="14" t="s">
        <v>4</v>
      </c>
      <c r="C6" s="15"/>
      <c r="D6" s="339">
        <f>'THP DR'!B10</f>
        <v>43361</v>
      </c>
      <c r="E6" s="81"/>
      <c r="F6" s="81"/>
      <c r="G6" s="259"/>
      <c r="U6" s="7"/>
      <c r="X6" s="10"/>
    </row>
    <row r="7" spans="2:21" ht="13.5" customHeight="1" hidden="1" outlineLevel="1" thickBot="1">
      <c r="B7" s="18" t="s">
        <v>5</v>
      </c>
      <c r="C7" s="19"/>
      <c r="D7" s="189">
        <v>10</v>
      </c>
      <c r="E7" s="311"/>
      <c r="F7" s="311"/>
      <c r="G7" s="259"/>
      <c r="U7" s="20"/>
    </row>
    <row r="8" spans="2:21" ht="12.75" customHeight="1" hidden="1" outlineLevel="1">
      <c r="B8" s="5"/>
      <c r="C8" s="21"/>
      <c r="D8" s="22"/>
      <c r="E8" s="22"/>
      <c r="F8" s="22"/>
      <c r="G8" s="260"/>
      <c r="U8" s="20"/>
    </row>
    <row r="9" spans="2:21" ht="12.75" customHeight="1" hidden="1" outlineLevel="1">
      <c r="B9" s="23"/>
      <c r="C9" s="23"/>
      <c r="D9" s="23"/>
      <c r="E9" s="23"/>
      <c r="F9" s="23"/>
      <c r="G9" s="261"/>
      <c r="T9" s="24"/>
      <c r="U9" s="20"/>
    </row>
    <row r="10" spans="1:23" s="329" customFormat="1" ht="13.5" customHeight="1" hidden="1" outlineLevel="1">
      <c r="A10" s="25"/>
      <c r="B10" s="26"/>
      <c r="C10" s="27"/>
      <c r="D10" s="28"/>
      <c r="E10" s="28"/>
      <c r="F10" s="28"/>
      <c r="G10" s="262"/>
      <c r="H10" s="25"/>
      <c r="I10" s="25"/>
      <c r="J10" s="25"/>
      <c r="K10" s="25"/>
      <c r="L10" s="25"/>
      <c r="M10" s="25"/>
      <c r="N10" s="25"/>
      <c r="O10" s="25"/>
      <c r="P10" s="25"/>
      <c r="Q10" s="25"/>
      <c r="R10" s="25"/>
      <c r="S10" s="25"/>
      <c r="T10" s="24"/>
      <c r="U10" s="20"/>
      <c r="V10" s="10"/>
      <c r="W10" s="10"/>
    </row>
    <row r="11" spans="1:23" ht="15.75" hidden="1" outlineLevel="1">
      <c r="A11" s="5"/>
      <c r="B11" s="409" t="s">
        <v>19</v>
      </c>
      <c r="C11" s="29" t="s">
        <v>7</v>
      </c>
      <c r="D11" s="30" t="s">
        <v>8</v>
      </c>
      <c r="E11" s="421" t="s">
        <v>9</v>
      </c>
      <c r="F11" s="422"/>
      <c r="G11" s="422"/>
      <c r="H11" s="423"/>
      <c r="I11" s="324"/>
      <c r="J11" s="324"/>
      <c r="K11" s="230"/>
      <c r="L11" s="230"/>
      <c r="M11" s="230"/>
      <c r="N11" s="230"/>
      <c r="O11" s="230"/>
      <c r="P11" s="230"/>
      <c r="Q11" s="230"/>
      <c r="R11" s="31" t="s">
        <v>10</v>
      </c>
      <c r="S11" s="31" t="s">
        <v>10</v>
      </c>
      <c r="T11" s="31" t="s">
        <v>11</v>
      </c>
      <c r="U11" s="32"/>
      <c r="V11" s="5"/>
      <c r="W11" s="5"/>
    </row>
    <row r="12" spans="1:23" ht="87" customHeight="1" collapsed="1">
      <c r="A12" s="5"/>
      <c r="B12" s="409"/>
      <c r="C12" s="33" t="s">
        <v>219</v>
      </c>
      <c r="D12" s="34" t="s">
        <v>257</v>
      </c>
      <c r="E12" s="418" t="str">
        <f>"Grant Quarter #"&amp;$D$7</f>
        <v>Grant Quarter #10</v>
      </c>
      <c r="F12" s="419"/>
      <c r="G12" s="420"/>
      <c r="H12" s="365" t="s">
        <v>70</v>
      </c>
      <c r="I12" s="327" t="s">
        <v>71</v>
      </c>
      <c r="J12" s="327" t="s">
        <v>72</v>
      </c>
      <c r="K12" s="327" t="s">
        <v>73</v>
      </c>
      <c r="L12" s="327" t="s">
        <v>74</v>
      </c>
      <c r="M12" s="327" t="s">
        <v>214</v>
      </c>
      <c r="N12" s="327" t="s">
        <v>215</v>
      </c>
      <c r="O12" s="376" t="s">
        <v>275</v>
      </c>
      <c r="P12" s="376" t="s">
        <v>276</v>
      </c>
      <c r="Q12" s="376" t="s">
        <v>277</v>
      </c>
      <c r="R12" s="416" t="s">
        <v>20</v>
      </c>
      <c r="S12" s="417" t="s">
        <v>117</v>
      </c>
      <c r="T12" s="415" t="s">
        <v>15</v>
      </c>
      <c r="U12" s="35"/>
      <c r="V12" s="5"/>
      <c r="W12" s="5"/>
    </row>
    <row r="13" spans="1:23" ht="25.5">
      <c r="A13" s="5"/>
      <c r="B13" s="38" t="s">
        <v>16</v>
      </c>
      <c r="C13" s="39" t="s">
        <v>285</v>
      </c>
      <c r="D13" s="40" t="s">
        <v>286</v>
      </c>
      <c r="E13" s="268" t="s">
        <v>282</v>
      </c>
      <c r="F13" s="268" t="s">
        <v>283</v>
      </c>
      <c r="G13" s="268" t="s">
        <v>284</v>
      </c>
      <c r="H13" s="365" t="s">
        <v>64</v>
      </c>
      <c r="I13" s="327" t="s">
        <v>65</v>
      </c>
      <c r="J13" s="327" t="s">
        <v>66</v>
      </c>
      <c r="K13" s="327" t="s">
        <v>253</v>
      </c>
      <c r="L13" s="327" t="s">
        <v>216</v>
      </c>
      <c r="M13" s="327" t="s">
        <v>217</v>
      </c>
      <c r="N13" s="327" t="s">
        <v>254</v>
      </c>
      <c r="O13" s="376" t="s">
        <v>272</v>
      </c>
      <c r="P13" s="376" t="s">
        <v>273</v>
      </c>
      <c r="Q13" s="376" t="s">
        <v>274</v>
      </c>
      <c r="R13" s="416"/>
      <c r="S13" s="417"/>
      <c r="T13" s="415"/>
      <c r="U13" s="35"/>
      <c r="V13" s="5"/>
      <c r="W13" s="5"/>
    </row>
    <row r="14" spans="1:21" s="330" customFormat="1" ht="15">
      <c r="A14"/>
      <c r="B14" s="188" t="s">
        <v>94</v>
      </c>
      <c r="C14" s="188" t="s">
        <v>95</v>
      </c>
      <c r="D14" s="188" t="s">
        <v>96</v>
      </c>
      <c r="E14" s="263" t="s">
        <v>97</v>
      </c>
      <c r="F14" s="263" t="s">
        <v>98</v>
      </c>
      <c r="G14" s="257" t="s">
        <v>99</v>
      </c>
      <c r="H14" s="263" t="s">
        <v>100</v>
      </c>
      <c r="I14" s="257" t="s">
        <v>101</v>
      </c>
      <c r="J14" s="188" t="s">
        <v>102</v>
      </c>
      <c r="K14" s="188" t="s">
        <v>103</v>
      </c>
      <c r="L14" s="263" t="s">
        <v>104</v>
      </c>
      <c r="M14" s="263" t="s">
        <v>105</v>
      </c>
      <c r="N14" s="257" t="s">
        <v>106</v>
      </c>
      <c r="O14" s="263" t="s">
        <v>278</v>
      </c>
      <c r="P14" s="257" t="s">
        <v>279</v>
      </c>
      <c r="Q14" s="263" t="s">
        <v>280</v>
      </c>
      <c r="R14" s="188" t="s">
        <v>107</v>
      </c>
      <c r="S14" s="194" t="s">
        <v>108</v>
      </c>
      <c r="T14" s="188" t="s">
        <v>109</v>
      </c>
      <c r="U14" s="35"/>
    </row>
    <row r="15" spans="1:23" ht="15">
      <c r="A15" s="5"/>
      <c r="B15" s="42"/>
      <c r="C15" s="43"/>
      <c r="D15" s="42"/>
      <c r="E15" s="264"/>
      <c r="F15" s="264"/>
      <c r="G15" s="264"/>
      <c r="H15" s="42"/>
      <c r="I15" s="42"/>
      <c r="J15" s="42"/>
      <c r="K15" s="42"/>
      <c r="L15" s="42"/>
      <c r="M15" s="42"/>
      <c r="N15" s="42"/>
      <c r="O15" s="42"/>
      <c r="P15" s="42"/>
      <c r="Q15" s="42"/>
      <c r="R15" s="42"/>
      <c r="S15" s="42"/>
      <c r="T15" s="295"/>
      <c r="U15" s="35"/>
      <c r="V15" s="5"/>
      <c r="W15" s="5"/>
    </row>
    <row r="16" spans="1:23" ht="15">
      <c r="A16" s="5"/>
      <c r="B16" s="44" t="s">
        <v>76</v>
      </c>
      <c r="C16" s="45"/>
      <c r="D16" s="46"/>
      <c r="E16" s="265"/>
      <c r="F16" s="265"/>
      <c r="G16" s="265"/>
      <c r="H16" s="46"/>
      <c r="I16" s="46"/>
      <c r="J16" s="46"/>
      <c r="K16" s="46"/>
      <c r="L16" s="46"/>
      <c r="M16" s="46"/>
      <c r="N16" s="46"/>
      <c r="O16" s="46"/>
      <c r="P16" s="46"/>
      <c r="Q16" s="46"/>
      <c r="R16" s="47"/>
      <c r="S16" s="195"/>
      <c r="T16" s="296"/>
      <c r="U16" s="35"/>
      <c r="V16" s="5"/>
      <c r="W16" s="5"/>
    </row>
    <row r="17" spans="1:21" s="205" customFormat="1" ht="15" outlineLevel="1">
      <c r="A17" s="204"/>
      <c r="B17" s="49" t="s">
        <v>77</v>
      </c>
      <c r="C17" s="196">
        <f>SUM(C18:C20)</f>
        <v>1918219.519112628</v>
      </c>
      <c r="D17" s="196">
        <f>SUM(D18:D20)</f>
        <v>944030.2845000001</v>
      </c>
      <c r="E17" s="196">
        <f>SUM(E18:E20)</f>
        <v>894276.67</v>
      </c>
      <c r="F17" s="196">
        <f aca="true" t="shared" si="0" ref="F17:I17">SUM(F18:F20)</f>
        <v>0</v>
      </c>
      <c r="G17" s="196">
        <f t="shared" si="0"/>
        <v>0</v>
      </c>
      <c r="H17" s="196">
        <f t="shared" si="0"/>
        <v>894276.6745</v>
      </c>
      <c r="I17" s="196">
        <f t="shared" si="0"/>
        <v>1004226.7660000001</v>
      </c>
      <c r="J17" s="196">
        <f aca="true" t="shared" si="1" ref="J17">SUM(J18:J20)</f>
        <v>777441.9204778158</v>
      </c>
      <c r="K17" s="196">
        <f aca="true" t="shared" si="2" ref="K17:L17">SUM(K18:K20)</f>
        <v>1541696.8251126283</v>
      </c>
      <c r="L17" s="196">
        <f t="shared" si="2"/>
        <v>725612.459112628</v>
      </c>
      <c r="M17" s="196">
        <f aca="true" t="shared" si="3" ref="M17:N17">SUM(M18:M20)</f>
        <v>3768164.1481843004</v>
      </c>
      <c r="N17" s="196">
        <f t="shared" si="3"/>
        <v>0</v>
      </c>
      <c r="O17" s="196">
        <f aca="true" t="shared" si="4" ref="O17:Q17">SUM(O18:O20)</f>
        <v>209949.89150000003</v>
      </c>
      <c r="P17" s="196">
        <f t="shared" si="4"/>
        <v>209949.89150000003</v>
      </c>
      <c r="Q17" s="196">
        <f t="shared" si="4"/>
        <v>0</v>
      </c>
      <c r="R17" s="196">
        <f>SUM(R18:R20)</f>
        <v>11993568.38</v>
      </c>
      <c r="S17" s="198">
        <f>'QFR - B'!G15</f>
        <v>12000000</v>
      </c>
      <c r="T17" s="284">
        <f>S17-R17</f>
        <v>6431.61999999918</v>
      </c>
      <c r="U17" s="390"/>
    </row>
    <row r="18" spans="1:21" s="205" customFormat="1" ht="15" outlineLevel="1">
      <c r="A18" s="204"/>
      <c r="B18" s="200" t="s">
        <v>110</v>
      </c>
      <c r="C18" s="201">
        <v>1917690.059112628</v>
      </c>
      <c r="D18" s="299">
        <v>518294.61000000004</v>
      </c>
      <c r="E18" s="299"/>
      <c r="F18" s="299">
        <v>0</v>
      </c>
      <c r="G18" s="299"/>
      <c r="H18" s="202">
        <f>SUMIF('Contract level'!$A:$A,"="&amp;'DFP-Com'!$A16,'Contract level'!AK:AK)</f>
        <v>0</v>
      </c>
      <c r="I18" s="299">
        <f>SUMIF('Contract level'!$A:$A,"="&amp;'DFP-Com'!$A16,'Contract level'!AL:AL)</f>
        <v>200000</v>
      </c>
      <c r="J18" s="202">
        <f>SUMIF('Contract level'!$A:$A,"="&amp;'DFP-Com'!$A16,'Contract level'!AM:AM)</f>
        <v>777441.9204778158</v>
      </c>
      <c r="K18" s="202">
        <f>SUMIF('Contract level'!$A:$A,"="&amp;'DFP-Com'!$A16,'Contract level'!AN:AN)</f>
        <v>725612.459112628</v>
      </c>
      <c r="L18" s="202">
        <f>SUMIF('Contract level'!$A:$A,"="&amp;'DFP-Com'!$A16,'Contract level'!AO:AO)</f>
        <v>725612.459112628</v>
      </c>
      <c r="M18" s="299">
        <f>SUMIF('Contract level'!$A:$A,"="&amp;'DFP-Com'!$A16,'Contract level'!AP:AP)</f>
        <v>2928364.5821843003</v>
      </c>
      <c r="N18" s="299">
        <f>SUMIF('Contract level'!$A:$A,"="&amp;'DFP-Com'!$A16,'Contract level'!AQ:AQ)</f>
        <v>0</v>
      </c>
      <c r="O18" s="299">
        <f>SUMIF('Contract level'!$A:$A,"="&amp;'DFP-Com'!$A16,'Contract level'!AR:AR)</f>
        <v>0</v>
      </c>
      <c r="P18" s="299">
        <f>SUMIF('Contract level'!$A:$A,"="&amp;'DFP-Com'!$A16,'Contract level'!AS:AS)</f>
        <v>0</v>
      </c>
      <c r="Q18" s="299">
        <f>SUMIF('Contract level'!$A:$A,"="&amp;'DFP-Com'!$A16,'Contract level'!AT:AT)</f>
        <v>0</v>
      </c>
      <c r="R18" s="202">
        <f>SUM(H18:Q18)+D18+C18</f>
        <v>7793016.09</v>
      </c>
      <c r="S18" s="203">
        <v>0</v>
      </c>
      <c r="T18" s="285"/>
      <c r="U18" s="35"/>
    </row>
    <row r="19" spans="1:21" s="205" customFormat="1" ht="15" outlineLevel="1">
      <c r="A19" s="204"/>
      <c r="B19" s="200" t="s">
        <v>111</v>
      </c>
      <c r="C19" s="201"/>
      <c r="D19" s="299">
        <v>425735.6745</v>
      </c>
      <c r="E19" s="202">
        <v>893251.67</v>
      </c>
      <c r="F19" s="202"/>
      <c r="G19" s="202"/>
      <c r="H19" s="202">
        <f>SUMIF('Contract level'!$A:$A,"="&amp;'DFP-Com'!$A17,'Contract level'!AK:AK)</f>
        <v>893251.6745</v>
      </c>
      <c r="I19" s="202">
        <f>SUMIF('Contract level'!$A:$A,"="&amp;'DFP-Com'!$A17,'Contract level'!AL:AL)</f>
        <v>804226.7660000001</v>
      </c>
      <c r="J19" s="202">
        <f>SUMIF('Contract level'!$A:$A,"="&amp;'DFP-Com'!$A17,'Contract level'!AM:AM)</f>
        <v>0</v>
      </c>
      <c r="K19" s="202">
        <f>SUMIF('Contract level'!$A:$A,"="&amp;'DFP-Com'!$A17,'Contract level'!AN:AN)</f>
        <v>816084.3660000002</v>
      </c>
      <c r="L19" s="202">
        <f>SUMIF('Contract level'!$A:$A,"="&amp;'DFP-Com'!$A17,'Contract level'!AO:AO)</f>
        <v>0</v>
      </c>
      <c r="M19" s="299">
        <f>SUMIF('Contract level'!$A:$A,"="&amp;'DFP-Com'!$A17,'Contract level'!AP:AP)</f>
        <v>839799.5660000001</v>
      </c>
      <c r="N19" s="299">
        <f>SUMIF('Contract level'!$A:$A,"="&amp;'DFP-Com'!$A17,'Contract level'!AQ:AQ)</f>
        <v>0</v>
      </c>
      <c r="O19" s="299">
        <f>SUMIF('Contract level'!$A:$A,"="&amp;'DFP-Com'!$A17,'Contract level'!AR:AR)</f>
        <v>209949.89150000003</v>
      </c>
      <c r="P19" s="299">
        <f>SUMIF('Contract level'!$A:$A,"="&amp;'DFP-Com'!$A17,'Contract level'!AS:AS)</f>
        <v>209949.89150000003</v>
      </c>
      <c r="Q19" s="299">
        <f>SUMIF('Contract level'!$A:$A,"="&amp;'DFP-Com'!$A17,'Contract level'!AT:AT)</f>
        <v>0</v>
      </c>
      <c r="R19" s="299">
        <f>SUM(H19:Q19)+D19+C19</f>
        <v>4198997.83</v>
      </c>
      <c r="S19" s="203">
        <v>0</v>
      </c>
      <c r="T19" s="285"/>
      <c r="U19" s="35"/>
    </row>
    <row r="20" spans="1:21" s="205" customFormat="1" ht="15" outlineLevel="1">
      <c r="A20" s="204"/>
      <c r="B20" s="200" t="s">
        <v>118</v>
      </c>
      <c r="C20" s="201">
        <v>529.46</v>
      </c>
      <c r="D20" s="299">
        <v>0</v>
      </c>
      <c r="E20" s="299">
        <v>1025</v>
      </c>
      <c r="F20" s="299"/>
      <c r="G20" s="299"/>
      <c r="H20" s="202">
        <f>SUMIF('Contract level'!$A:$A,"="&amp;'DFP-Com'!$A18,'Contract level'!AK:AK)</f>
        <v>1025</v>
      </c>
      <c r="I20" s="202">
        <f>SUMIF('Contract level'!$A:$A,"="&amp;'DFP-Com'!$A18,'Contract level'!AL:AL)</f>
        <v>0</v>
      </c>
      <c r="J20" s="202">
        <f>SUMIF('Contract level'!$A:$A,"="&amp;'DFP-Com'!$A18,'Contract level'!AM:AM)</f>
        <v>0</v>
      </c>
      <c r="K20" s="202">
        <f>SUMIF('Contract level'!$A:$A,"="&amp;'DFP-Com'!$A18,'Contract level'!AN:AN)</f>
        <v>0</v>
      </c>
      <c r="L20" s="202">
        <f>SUMIF('Contract level'!$A:$A,"="&amp;'DFP-Com'!$A18,'Contract level'!AO:AO)</f>
        <v>0</v>
      </c>
      <c r="M20" s="299">
        <f>SUMIF('Contract level'!$A:$A,"="&amp;'DFP-Com'!$A18,'Contract level'!AP:AP)</f>
        <v>0</v>
      </c>
      <c r="N20" s="299">
        <f>SUMIF('Contract level'!$A:$A,"="&amp;'DFP-Com'!$A18,'Contract level'!AQ:AQ)</f>
        <v>0</v>
      </c>
      <c r="O20" s="299">
        <f>SUMIF('Contract level'!$A:$A,"="&amp;'DFP-Com'!$A18,'Contract level'!AR:AR)</f>
        <v>0</v>
      </c>
      <c r="P20" s="299">
        <f>SUMIF('Contract level'!$A:$A,"="&amp;'DFP-Com'!$A18,'Contract level'!AS:AS)</f>
        <v>0</v>
      </c>
      <c r="Q20" s="299">
        <f>SUMIF('Contract level'!$A:$A,"="&amp;'DFP-Com'!$A18,'Contract level'!AT:AT)</f>
        <v>0</v>
      </c>
      <c r="R20" s="299">
        <f>SUM(H20:Q20)+D20+C20</f>
        <v>1554.46</v>
      </c>
      <c r="S20" s="203">
        <v>0</v>
      </c>
      <c r="T20" s="285"/>
      <c r="U20" s="35"/>
    </row>
    <row r="21" spans="1:21" s="205" customFormat="1" ht="25.5" outlineLevel="1">
      <c r="A21" s="204"/>
      <c r="B21" s="49" t="s">
        <v>78</v>
      </c>
      <c r="C21" s="196">
        <f>C22</f>
        <v>221309.21999999997</v>
      </c>
      <c r="D21" s="196">
        <f>D22</f>
        <v>195550.95</v>
      </c>
      <c r="E21" s="196">
        <f aca="true" t="shared" si="5" ref="E21:Q21">E22</f>
        <v>169462.14</v>
      </c>
      <c r="F21" s="196">
        <f t="shared" si="5"/>
        <v>142929.62000000002</v>
      </c>
      <c r="G21" s="196">
        <f t="shared" si="5"/>
        <v>130257.21</v>
      </c>
      <c r="H21" s="196">
        <f t="shared" si="5"/>
        <v>442648.97000000003</v>
      </c>
      <c r="I21" s="196">
        <f t="shared" si="5"/>
        <v>811030.96</v>
      </c>
      <c r="J21" s="196">
        <f t="shared" si="5"/>
        <v>612326.03</v>
      </c>
      <c r="K21" s="196">
        <f t="shared" si="5"/>
        <v>589030.97</v>
      </c>
      <c r="L21" s="196">
        <f t="shared" si="5"/>
        <v>413950.68999999994</v>
      </c>
      <c r="M21" s="196">
        <f t="shared" si="5"/>
        <v>236112</v>
      </c>
      <c r="N21" s="196">
        <f t="shared" si="5"/>
        <v>750301.3200000001</v>
      </c>
      <c r="O21" s="196">
        <f t="shared" si="5"/>
        <v>8400</v>
      </c>
      <c r="P21" s="196">
        <f t="shared" si="5"/>
        <v>8400</v>
      </c>
      <c r="Q21" s="196">
        <f t="shared" si="5"/>
        <v>8400</v>
      </c>
      <c r="R21" s="196">
        <f>R22</f>
        <v>4297461.109999999</v>
      </c>
      <c r="S21" s="198">
        <f>'QFR - B'!G16</f>
        <v>4300000</v>
      </c>
      <c r="T21" s="284">
        <f>S21-R21</f>
        <v>2538.890000000596</v>
      </c>
      <c r="U21" s="389"/>
    </row>
    <row r="22" spans="1:21" s="205" customFormat="1" ht="12.95" customHeight="1" outlineLevel="1">
      <c r="A22" s="204"/>
      <c r="B22" s="200" t="s">
        <v>119</v>
      </c>
      <c r="C22" s="201">
        <v>221309.21999999997</v>
      </c>
      <c r="D22" s="299">
        <v>195550.95</v>
      </c>
      <c r="E22" s="299">
        <v>169462.14</v>
      </c>
      <c r="F22" s="299">
        <v>142929.62000000002</v>
      </c>
      <c r="G22" s="299">
        <v>130257.21</v>
      </c>
      <c r="H22" s="202">
        <f>SUMIF('Contract level'!$A:$A,"="&amp;'DFP-Com'!$A20,'Contract level'!AK:AK)</f>
        <v>442648.97000000003</v>
      </c>
      <c r="I22" s="202">
        <f>SUMIF('Contract level'!$A:$A,"="&amp;'DFP-Com'!$A20,'Contract level'!AL:AL)</f>
        <v>811030.96</v>
      </c>
      <c r="J22" s="202">
        <f>SUMIF('Contract level'!$A:$A,"="&amp;'DFP-Com'!$A20,'Contract level'!AM:AM)</f>
        <v>612326.03</v>
      </c>
      <c r="K22" s="202">
        <f>SUMIF('Contract level'!$A:$A,"="&amp;'DFP-Com'!$A20,'Contract level'!AN:AN)</f>
        <v>589030.97</v>
      </c>
      <c r="L22" s="202">
        <f>SUMIF('Contract level'!$A:$A,"="&amp;'DFP-Com'!$A20,'Contract level'!AO:AO)</f>
        <v>413950.68999999994</v>
      </c>
      <c r="M22" s="299">
        <f>SUMIF('Contract level'!$A:$A,"="&amp;'DFP-Com'!$A20,'Contract level'!AP:AP)</f>
        <v>236112</v>
      </c>
      <c r="N22" s="299">
        <f>SUMIF('Contract level'!$A:$A,"="&amp;'DFP-Com'!$A20,'Contract level'!AQ:AQ)</f>
        <v>750301.3200000001</v>
      </c>
      <c r="O22" s="299">
        <f>SUMIF('Contract level'!$A:$A,"="&amp;'DFP-Com'!$A20,'Contract level'!AR:AR)</f>
        <v>8400</v>
      </c>
      <c r="P22" s="299">
        <f>SUMIF('Contract level'!$A:$A,"="&amp;'DFP-Com'!$A20,'Contract level'!AS:AS)</f>
        <v>8400</v>
      </c>
      <c r="Q22" s="299">
        <f>SUMIF('Contract level'!$A:$A,"="&amp;'DFP-Com'!$A20,'Contract level'!AT:AT)</f>
        <v>8400</v>
      </c>
      <c r="R22" s="202">
        <f>SUM(H22:Q22)+D22+C22</f>
        <v>4297461.109999999</v>
      </c>
      <c r="S22" s="203">
        <v>0</v>
      </c>
      <c r="T22" s="285"/>
      <c r="U22" s="68"/>
    </row>
    <row r="23" spans="1:21" s="205" customFormat="1" ht="15" outlineLevel="1">
      <c r="A23" s="204"/>
      <c r="B23" s="49" t="s">
        <v>79</v>
      </c>
      <c r="C23" s="196">
        <f>SUM(C24:C26)</f>
        <v>647711.5652336448</v>
      </c>
      <c r="D23" s="196">
        <f>SUM(D24:D26)</f>
        <v>121994.16</v>
      </c>
      <c r="E23" s="196">
        <f aca="true" t="shared" si="6" ref="E23:R23">SUM(E24:E26)</f>
        <v>5641.6</v>
      </c>
      <c r="F23" s="196">
        <f t="shared" si="6"/>
        <v>990965.5256500001</v>
      </c>
      <c r="G23" s="196">
        <f t="shared" si="6"/>
        <v>5641.6</v>
      </c>
      <c r="H23" s="196">
        <f t="shared" si="6"/>
        <v>1002248.72565</v>
      </c>
      <c r="I23" s="196">
        <f t="shared" si="6"/>
        <v>17700</v>
      </c>
      <c r="J23" s="196">
        <f aca="true" t="shared" si="7" ref="J23">SUM(J24:J26)</f>
        <v>250932.57588785051</v>
      </c>
      <c r="K23" s="196">
        <f aca="true" t="shared" si="8" ref="K23:L23">SUM(K24:K26)</f>
        <v>17700</v>
      </c>
      <c r="L23" s="196">
        <f t="shared" si="8"/>
        <v>17700</v>
      </c>
      <c r="M23" s="196">
        <f aca="true" t="shared" si="9" ref="M23:N23">SUM(M24:M26)</f>
        <v>898800.8532285049</v>
      </c>
      <c r="N23" s="196">
        <f t="shared" si="9"/>
        <v>17700</v>
      </c>
      <c r="O23" s="196">
        <f aca="true" t="shared" si="10" ref="O23:Q23">SUM(O24:O26)</f>
        <v>17700</v>
      </c>
      <c r="P23" s="196">
        <f t="shared" si="10"/>
        <v>17700</v>
      </c>
      <c r="Q23" s="196">
        <f t="shared" si="10"/>
        <v>17700</v>
      </c>
      <c r="R23" s="196">
        <f t="shared" si="6"/>
        <v>3045587.880000001</v>
      </c>
      <c r="S23" s="198">
        <f>'QFR - B'!G17</f>
        <v>3000000</v>
      </c>
      <c r="T23" s="284">
        <f>S23-R23</f>
        <v>-45587.88000000082</v>
      </c>
      <c r="U23" s="389"/>
    </row>
    <row r="24" spans="1:21" s="205" customFormat="1" ht="12.95" customHeight="1" outlineLevel="1">
      <c r="A24" s="204"/>
      <c r="B24" s="200" t="s">
        <v>112</v>
      </c>
      <c r="C24" s="201">
        <v>570124.0652336448</v>
      </c>
      <c r="D24" s="299">
        <v>103658.92</v>
      </c>
      <c r="E24" s="299"/>
      <c r="F24" s="299">
        <v>984759.7656500001</v>
      </c>
      <c r="G24" s="299"/>
      <c r="H24" s="202">
        <f>SUMIF('Contract level'!$A:$A,"="&amp;'DFP-Com'!$A22,'Contract level'!AK:AK)</f>
        <v>984759.7656500001</v>
      </c>
      <c r="I24" s="202">
        <f>SUMIF('Contract level'!$A:$A,"="&amp;'DFP-Com'!$A22,'Contract level'!AL:AL)</f>
        <v>0</v>
      </c>
      <c r="J24" s="202">
        <f>SUMIF('Contract level'!$A:$A,"="&amp;'DFP-Com'!$A22,'Contract level'!AM:AM)</f>
        <v>233232.57588785051</v>
      </c>
      <c r="K24" s="202">
        <f>SUMIF('Contract level'!$A:$A,"="&amp;'DFP-Com'!$A22,'Contract level'!AN:AN)</f>
        <v>0</v>
      </c>
      <c r="L24" s="202">
        <f>SUMIF('Contract level'!$A:$A,"="&amp;'DFP-Com'!$A22,'Contract level'!AO:AO)</f>
        <v>0</v>
      </c>
      <c r="M24" s="299">
        <f>SUMIF('Contract level'!$A:$A,"="&amp;'DFP-Com'!$A22,'Contract level'!AP:AP)</f>
        <v>881100.8532285049</v>
      </c>
      <c r="N24" s="299">
        <f>SUMIF('Contract level'!$A:$A,"="&amp;'DFP-Com'!$A22,'Contract level'!AQ:AQ)</f>
        <v>0</v>
      </c>
      <c r="O24" s="299">
        <f>SUMIF('Contract level'!$A:$A,"="&amp;'DFP-Com'!$A22,'Contract level'!AR:AR)</f>
        <v>0</v>
      </c>
      <c r="P24" s="299">
        <f>SUMIF('Contract level'!$A:$A,"="&amp;'DFP-Com'!$A22,'Contract level'!AS:AS)</f>
        <v>0</v>
      </c>
      <c r="Q24" s="299">
        <f>SUMIF('Contract level'!$A:$A,"="&amp;'DFP-Com'!$A22,'Contract level'!AT:AT)</f>
        <v>0</v>
      </c>
      <c r="R24" s="202">
        <f>SUM(H24:Q24)+D24+C24</f>
        <v>2772876.1800000006</v>
      </c>
      <c r="S24" s="203">
        <v>0</v>
      </c>
      <c r="T24" s="285"/>
      <c r="U24" s="68"/>
    </row>
    <row r="25" spans="1:21" s="205" customFormat="1" ht="12.95" customHeight="1" outlineLevel="1">
      <c r="A25" s="204"/>
      <c r="B25" s="200" t="s">
        <v>128</v>
      </c>
      <c r="C25" s="201">
        <v>77307.88</v>
      </c>
      <c r="D25" s="299">
        <v>18335.239999999998</v>
      </c>
      <c r="E25" s="299">
        <v>5641.6</v>
      </c>
      <c r="F25" s="299">
        <v>6205.76</v>
      </c>
      <c r="G25" s="299">
        <v>5641.6</v>
      </c>
      <c r="H25" s="202">
        <f>SUMIF('Contract level'!$A:$A,"="&amp;'DFP-Com'!$A23,'Contract level'!AK:AK)</f>
        <v>17488.96</v>
      </c>
      <c r="I25" s="202">
        <f>SUMIF('Contract level'!$A:$A,"="&amp;'DFP-Com'!$A23,'Contract level'!AL:AL)</f>
        <v>17700</v>
      </c>
      <c r="J25" s="202">
        <f>SUMIF('Contract level'!$A:$A,"="&amp;'DFP-Com'!$A23,'Contract level'!AM:AM)</f>
        <v>17700</v>
      </c>
      <c r="K25" s="202">
        <f>SUMIF('Contract level'!$A:$A,"="&amp;'DFP-Com'!$A23,'Contract level'!AN:AN)</f>
        <v>17700</v>
      </c>
      <c r="L25" s="202">
        <f>SUMIF('Contract level'!$A:$A,"="&amp;'DFP-Com'!$A23,'Contract level'!AO:AO)</f>
        <v>17700</v>
      </c>
      <c r="M25" s="299">
        <f>SUMIF('Contract level'!$A:$A,"="&amp;'DFP-Com'!$A23,'Contract level'!AP:AP)</f>
        <v>17700</v>
      </c>
      <c r="N25" s="299">
        <f>SUMIF('Contract level'!$A:$A,"="&amp;'DFP-Com'!$A23,'Contract level'!AQ:AQ)</f>
        <v>17700</v>
      </c>
      <c r="O25" s="299">
        <f>SUMIF('Contract level'!$A:$A,"="&amp;'DFP-Com'!$A23,'Contract level'!AR:AR)</f>
        <v>17700</v>
      </c>
      <c r="P25" s="299">
        <f>SUMIF('Contract level'!$A:$A,"="&amp;'DFP-Com'!$A23,'Contract level'!AS:AS)</f>
        <v>17700</v>
      </c>
      <c r="Q25" s="299">
        <f>SUMIF('Contract level'!$A:$A,"="&amp;'DFP-Com'!$A23,'Contract level'!AT:AT)</f>
        <v>17700</v>
      </c>
      <c r="R25" s="299">
        <f aca="true" t="shared" si="11" ref="R25">SUM(H25:Q25)+D25+C25</f>
        <v>272432.07999999996</v>
      </c>
      <c r="S25" s="203">
        <v>0</v>
      </c>
      <c r="T25" s="285"/>
      <c r="U25" s="68"/>
    </row>
    <row r="26" spans="1:21" s="205" customFormat="1" ht="15" outlineLevel="1">
      <c r="A26" s="204"/>
      <c r="B26" s="200" t="s">
        <v>127</v>
      </c>
      <c r="C26" s="201">
        <v>279.62</v>
      </c>
      <c r="D26" s="299">
        <v>0</v>
      </c>
      <c r="E26" s="202">
        <v>0</v>
      </c>
      <c r="F26" s="202">
        <v>0</v>
      </c>
      <c r="G26" s="202">
        <v>0</v>
      </c>
      <c r="H26" s="202">
        <f>SUMIF('Contract level'!$A:$A,"="&amp;'DFP-Com'!$A24,'Contract level'!AK:AK)</f>
        <v>0</v>
      </c>
      <c r="I26" s="202">
        <f>SUMIF('Contract level'!$A:$A,"="&amp;'DFP-Com'!$A24,'Contract level'!AL:AL)</f>
        <v>0</v>
      </c>
      <c r="J26" s="202">
        <f>SUMIF('Contract level'!$A:$A,"="&amp;'DFP-Com'!$A24,'Contract level'!AM:AM)</f>
        <v>0</v>
      </c>
      <c r="K26" s="202">
        <f>SUMIF('Contract level'!$A:$A,"="&amp;'DFP-Com'!$A24,'Contract level'!AN:AN)</f>
        <v>0</v>
      </c>
      <c r="L26" s="202">
        <f>SUMIF('Contract level'!$A:$A,"="&amp;'DFP-Com'!$A24,'Contract level'!AO:AO)</f>
        <v>0</v>
      </c>
      <c r="M26" s="299">
        <f>SUMIF('Contract level'!$A:$A,"="&amp;'DFP-Com'!$A24,'Contract level'!AP:AP)</f>
        <v>0</v>
      </c>
      <c r="N26" s="299">
        <f>SUMIF('Contract level'!$A:$A,"="&amp;'DFP-Com'!$A24,'Contract level'!AQ:AQ)</f>
        <v>0</v>
      </c>
      <c r="O26" s="299">
        <f>SUMIF('Contract level'!$A:$A,"="&amp;'DFP-Com'!$A24,'Contract level'!AR:AR)</f>
        <v>0</v>
      </c>
      <c r="P26" s="299">
        <f>SUMIF('Contract level'!$A:$A,"="&amp;'DFP-Com'!$A24,'Contract level'!AS:AS)</f>
        <v>0</v>
      </c>
      <c r="Q26" s="299">
        <f>SUMIF('Contract level'!$A:$A,"="&amp;'DFP-Com'!$A24,'Contract level'!AT:AT)</f>
        <v>0</v>
      </c>
      <c r="R26" s="299">
        <f>SUM(H26:Q26)+D26+C26</f>
        <v>279.62</v>
      </c>
      <c r="S26" s="203">
        <v>0</v>
      </c>
      <c r="T26" s="285"/>
      <c r="U26" s="68"/>
    </row>
    <row r="27" spans="1:21" s="205" customFormat="1" ht="15">
      <c r="A27" s="204"/>
      <c r="B27" s="51" t="s">
        <v>62</v>
      </c>
      <c r="C27" s="197">
        <f>C23+C21+C17</f>
        <v>2787240.3043462727</v>
      </c>
      <c r="D27" s="197">
        <f>D23+D21+D17</f>
        <v>1261575.3945</v>
      </c>
      <c r="E27" s="197">
        <f aca="true" t="shared" si="12" ref="E27:R27">E23+E21+E17</f>
        <v>1069380.4100000001</v>
      </c>
      <c r="F27" s="197">
        <f t="shared" si="12"/>
        <v>1133895.14565</v>
      </c>
      <c r="G27" s="197">
        <f t="shared" si="12"/>
        <v>135898.81</v>
      </c>
      <c r="H27" s="197">
        <f t="shared" si="12"/>
        <v>2339174.37015</v>
      </c>
      <c r="I27" s="197">
        <f t="shared" si="12"/>
        <v>1832957.726</v>
      </c>
      <c r="J27" s="197">
        <f aca="true" t="shared" si="13" ref="J27">J23+J21+J17</f>
        <v>1640700.5263656662</v>
      </c>
      <c r="K27" s="197">
        <f aca="true" t="shared" si="14" ref="K27:L27">K23+K21+K17</f>
        <v>2148427.7951126285</v>
      </c>
      <c r="L27" s="197">
        <f t="shared" si="14"/>
        <v>1157263.1491126278</v>
      </c>
      <c r="M27" s="197">
        <f aca="true" t="shared" si="15" ref="M27:N27">M23+M21+M17</f>
        <v>4903077.001412805</v>
      </c>
      <c r="N27" s="197">
        <f t="shared" si="15"/>
        <v>768001.3200000001</v>
      </c>
      <c r="O27" s="197">
        <f aca="true" t="shared" si="16" ref="O27:Q27">O23+O21+O17</f>
        <v>236049.89150000003</v>
      </c>
      <c r="P27" s="197">
        <f t="shared" si="16"/>
        <v>236049.89150000003</v>
      </c>
      <c r="Q27" s="197">
        <f t="shared" si="16"/>
        <v>26100</v>
      </c>
      <c r="R27" s="197">
        <f t="shared" si="12"/>
        <v>19336617.37</v>
      </c>
      <c r="S27" s="199">
        <f>S17+S21+S23</f>
        <v>19300000</v>
      </c>
      <c r="T27" s="286">
        <f>T17+T21+T23</f>
        <v>-36617.37000000104</v>
      </c>
      <c r="U27" s="68"/>
    </row>
    <row r="28" spans="1:23" ht="15">
      <c r="A28" s="48"/>
      <c r="B28" s="53"/>
      <c r="C28" s="54"/>
      <c r="D28" s="55"/>
      <c r="E28" s="216"/>
      <c r="F28" s="216"/>
      <c r="G28" s="216"/>
      <c r="H28" s="216"/>
      <c r="I28" s="216"/>
      <c r="J28" s="216"/>
      <c r="K28" s="216"/>
      <c r="L28" s="216"/>
      <c r="M28" s="216"/>
      <c r="N28" s="216"/>
      <c r="O28" s="216"/>
      <c r="P28" s="216"/>
      <c r="Q28" s="216"/>
      <c r="R28" s="216"/>
      <c r="S28" s="269"/>
      <c r="T28" s="287"/>
      <c r="U28" s="7"/>
      <c r="V28" s="5"/>
      <c r="W28" s="5"/>
    </row>
    <row r="29" spans="1:23" ht="15">
      <c r="A29" s="48"/>
      <c r="B29" s="44" t="s">
        <v>82</v>
      </c>
      <c r="C29" s="56"/>
      <c r="D29" s="57"/>
      <c r="E29" s="217"/>
      <c r="F29" s="217"/>
      <c r="G29" s="217"/>
      <c r="H29" s="217"/>
      <c r="I29" s="217"/>
      <c r="J29" s="217"/>
      <c r="K29" s="217"/>
      <c r="L29" s="217"/>
      <c r="M29" s="217"/>
      <c r="N29" s="217"/>
      <c r="O29" s="217"/>
      <c r="P29" s="217"/>
      <c r="Q29" s="217"/>
      <c r="R29" s="217"/>
      <c r="S29" s="270"/>
      <c r="T29" s="288"/>
      <c r="U29" s="7"/>
      <c r="V29" s="5"/>
      <c r="W29" s="5"/>
    </row>
    <row r="30" spans="1:23" ht="15" outlineLevel="1">
      <c r="A30" s="48"/>
      <c r="B30" s="49" t="s">
        <v>129</v>
      </c>
      <c r="C30" s="41">
        <f aca="true" t="shared" si="17" ref="C30:R30">SUM(C31:C31)</f>
        <v>210711.39</v>
      </c>
      <c r="D30" s="41">
        <f t="shared" si="17"/>
        <v>48123.259999999995</v>
      </c>
      <c r="E30" s="219">
        <f t="shared" si="17"/>
        <v>23808</v>
      </c>
      <c r="F30" s="219">
        <f t="shared" si="17"/>
        <v>25288.800000000003</v>
      </c>
      <c r="G30" s="219">
        <f t="shared" si="17"/>
        <v>43808</v>
      </c>
      <c r="H30" s="219">
        <f t="shared" si="17"/>
        <v>92904.79999999999</v>
      </c>
      <c r="I30" s="219">
        <f t="shared" si="17"/>
        <v>145129.7975</v>
      </c>
      <c r="J30" s="219">
        <f t="shared" si="17"/>
        <v>116105.9375</v>
      </c>
      <c r="K30" s="219">
        <f t="shared" si="17"/>
        <v>119105.9375</v>
      </c>
      <c r="L30" s="219">
        <f t="shared" si="17"/>
        <v>66105.93749999984</v>
      </c>
      <c r="M30" s="219">
        <f t="shared" si="17"/>
        <v>500</v>
      </c>
      <c r="N30" s="219">
        <f t="shared" si="17"/>
        <v>1000</v>
      </c>
      <c r="O30" s="219">
        <f t="shared" si="17"/>
        <v>312.94</v>
      </c>
      <c r="P30" s="219">
        <f t="shared" si="17"/>
        <v>0</v>
      </c>
      <c r="Q30" s="219">
        <f t="shared" si="17"/>
        <v>0</v>
      </c>
      <c r="R30" s="219">
        <f t="shared" si="17"/>
        <v>799999.9999999998</v>
      </c>
      <c r="S30" s="198">
        <f>'QFR - B'!G20</f>
        <v>800000</v>
      </c>
      <c r="T30" s="284">
        <f>S30-R30</f>
        <v>0</v>
      </c>
      <c r="U30" s="388"/>
      <c r="V30" s="5"/>
      <c r="W30" s="5"/>
    </row>
    <row r="31" spans="1:21" s="205" customFormat="1" ht="15" outlineLevel="1">
      <c r="A31" s="204"/>
      <c r="B31" s="200" t="s">
        <v>122</v>
      </c>
      <c r="C31" s="208">
        <v>210711.39</v>
      </c>
      <c r="D31" s="209">
        <v>48123.259999999995</v>
      </c>
      <c r="E31" s="299">
        <v>23808</v>
      </c>
      <c r="F31" s="299">
        <v>25288.800000000003</v>
      </c>
      <c r="G31" s="299">
        <v>43808</v>
      </c>
      <c r="H31" s="202">
        <f>SUMIF('Contract level'!$A:$A,"="&amp;'DFP-Com'!$A29,'Contract level'!AK:AK)</f>
        <v>92904.79999999999</v>
      </c>
      <c r="I31" s="202">
        <f>SUMIF('Contract level'!$A:$A,"="&amp;'DFP-Com'!$A29,'Contract level'!AL:AL)</f>
        <v>145129.7975</v>
      </c>
      <c r="J31" s="202">
        <f>SUMIF('Contract level'!$A:$A,"="&amp;'DFP-Com'!$A29,'Contract level'!AM:AM)</f>
        <v>116105.9375</v>
      </c>
      <c r="K31" s="202">
        <f>SUMIF('Contract level'!$A:$A,"="&amp;'DFP-Com'!$A29,'Contract level'!AN:AN)</f>
        <v>119105.9375</v>
      </c>
      <c r="L31" s="202">
        <f>SUMIF('Contract level'!$A:$A,"="&amp;'DFP-Com'!$A29,'Contract level'!AO:AO)</f>
        <v>66105.93749999984</v>
      </c>
      <c r="M31" s="299">
        <f>SUMIF('Contract level'!$A:$A,"="&amp;'DFP-Com'!$A29,'Contract level'!AP:AP)</f>
        <v>500</v>
      </c>
      <c r="N31" s="299">
        <f>SUMIF('Contract level'!$A:$A,"="&amp;'DFP-Com'!$A29,'Contract level'!AQ:AQ)</f>
        <v>1000</v>
      </c>
      <c r="O31" s="299">
        <f>SUMIF('Contract level'!$A:$A,"="&amp;'DFP-Com'!$A29,'Contract level'!AR:AR)</f>
        <v>312.94</v>
      </c>
      <c r="P31" s="299">
        <f>SUMIF('Contract level'!$A:$A,"="&amp;'DFP-Com'!$A29,'Contract level'!AS:AS)</f>
        <v>0</v>
      </c>
      <c r="Q31" s="299">
        <f>SUMIF('Contract level'!$A:$A,"="&amp;'DFP-Com'!$A29,'Contract level'!AT:AT)</f>
        <v>0</v>
      </c>
      <c r="R31" s="202">
        <f>SUM(H31:Q31)+D31+C31</f>
        <v>799999.9999999998</v>
      </c>
      <c r="S31" s="203"/>
      <c r="T31" s="285"/>
      <c r="U31" s="242"/>
    </row>
    <row r="32" spans="1:23" ht="15" outlineLevel="1">
      <c r="A32" s="48"/>
      <c r="B32" s="49" t="s">
        <v>86</v>
      </c>
      <c r="C32" s="373">
        <f>SUM(C33:C35)</f>
        <v>530299.6200000001</v>
      </c>
      <c r="D32" s="373">
        <f>SUM(D33:D35)</f>
        <v>24500.000000000004</v>
      </c>
      <c r="E32" s="196">
        <f aca="true" t="shared" si="18" ref="E32:I32">SUM(E33:E35)</f>
        <v>521314.24</v>
      </c>
      <c r="F32" s="196">
        <f t="shared" si="18"/>
        <v>12250</v>
      </c>
      <c r="G32" s="196">
        <f t="shared" si="18"/>
        <v>75000</v>
      </c>
      <c r="H32" s="196">
        <f t="shared" si="18"/>
        <v>608564.24</v>
      </c>
      <c r="I32" s="196">
        <f t="shared" si="18"/>
        <v>1327641.86</v>
      </c>
      <c r="J32" s="196">
        <f aca="true" t="shared" si="19" ref="J32">SUM(J33:J35)</f>
        <v>871750</v>
      </c>
      <c r="K32" s="196">
        <f aca="true" t="shared" si="20" ref="K32:L32">SUM(K33:K35)</f>
        <v>76750</v>
      </c>
      <c r="L32" s="196">
        <f t="shared" si="20"/>
        <v>75966.97000000004</v>
      </c>
      <c r="M32" s="196">
        <f aca="true" t="shared" si="21" ref="M32:N32">SUM(M33:M35)</f>
        <v>0</v>
      </c>
      <c r="N32" s="196">
        <f t="shared" si="21"/>
        <v>0</v>
      </c>
      <c r="O32" s="196">
        <f aca="true" t="shared" si="22" ref="O32:Q32">SUM(O33:O35)</f>
        <v>0</v>
      </c>
      <c r="P32" s="196">
        <f t="shared" si="22"/>
        <v>0</v>
      </c>
      <c r="Q32" s="196">
        <f t="shared" si="22"/>
        <v>0</v>
      </c>
      <c r="R32" s="196">
        <f>SUM(R33:R35)</f>
        <v>3515472.6900000004</v>
      </c>
      <c r="S32" s="198">
        <f>'QFR - B'!G21</f>
        <v>3600000</v>
      </c>
      <c r="T32" s="284">
        <f>S32-R32</f>
        <v>84527.30999999959</v>
      </c>
      <c r="U32" s="388"/>
      <c r="V32" s="5"/>
      <c r="W32" s="5"/>
    </row>
    <row r="33" spans="1:21" s="205" customFormat="1" ht="15" outlineLevel="1">
      <c r="A33" s="204"/>
      <c r="B33" s="200" t="s">
        <v>123</v>
      </c>
      <c r="C33" s="208">
        <v>398887.74000000005</v>
      </c>
      <c r="D33" s="209">
        <v>24500.000000000004</v>
      </c>
      <c r="E33" s="299">
        <v>6199.74</v>
      </c>
      <c r="F33" s="299">
        <v>12250</v>
      </c>
      <c r="G33" s="299">
        <v>0</v>
      </c>
      <c r="H33" s="202">
        <f>SUMIF('Contract level'!$A:$A,"="&amp;'DFP-Com'!$A31,'Contract level'!AK:AK)</f>
        <v>18449.739999999994</v>
      </c>
      <c r="I33" s="202">
        <f>SUMIF('Contract level'!$A:$A,"="&amp;'DFP-Com'!$A31,'Contract level'!AL:AL)</f>
        <v>80550.26000000001</v>
      </c>
      <c r="J33" s="202">
        <f>SUMIF('Contract level'!$A:$A,"="&amp;'DFP-Com'!$A31,'Contract level'!AM:AM)</f>
        <v>36750</v>
      </c>
      <c r="K33" s="202">
        <f>SUMIF('Contract level'!$A:$A,"="&amp;'DFP-Com'!$A31,'Contract level'!AN:AN)</f>
        <v>76750</v>
      </c>
      <c r="L33" s="202">
        <f>SUMIF('Contract level'!$A:$A,"="&amp;'DFP-Com'!$A31,'Contract level'!AO:AO)</f>
        <v>75966.97000000004</v>
      </c>
      <c r="M33" s="299">
        <f>SUMIF('Contract level'!$A:$A,"="&amp;'DFP-Com'!$A31,'Contract level'!AP:AP)</f>
        <v>0</v>
      </c>
      <c r="N33" s="299">
        <f>SUMIF('Contract level'!$A:$A,"="&amp;'DFP-Com'!$A31,'Contract level'!AQ:AQ)</f>
        <v>0</v>
      </c>
      <c r="O33" s="299">
        <f>SUMIF('Contract level'!$A:$A,"="&amp;'DFP-Com'!$A31,'Contract level'!AR:AR)</f>
        <v>0</v>
      </c>
      <c r="P33" s="299">
        <f>SUMIF('Contract level'!$A:$A,"="&amp;'DFP-Com'!$A31,'Contract level'!AS:AS)</f>
        <v>0</v>
      </c>
      <c r="Q33" s="299">
        <f>SUMIF('Contract level'!$A:$A,"="&amp;'DFP-Com'!$A31,'Contract level'!AT:AT)</f>
        <v>0</v>
      </c>
      <c r="R33" s="202">
        <f>SUM(H33:Q33)+D33+C33</f>
        <v>711854.7100000001</v>
      </c>
      <c r="S33" s="203"/>
      <c r="T33" s="285"/>
      <c r="U33" s="242"/>
    </row>
    <row r="34" spans="1:21" s="205" customFormat="1" ht="15" outlineLevel="1">
      <c r="A34" s="204"/>
      <c r="B34" s="200" t="s">
        <v>124</v>
      </c>
      <c r="C34" s="208">
        <v>125450.24</v>
      </c>
      <c r="D34" s="209">
        <v>0</v>
      </c>
      <c r="E34" s="299">
        <v>515114.5</v>
      </c>
      <c r="F34" s="299">
        <v>0</v>
      </c>
      <c r="G34" s="299"/>
      <c r="H34" s="202">
        <f>SUMIF('Contract level'!$A:$A,"="&amp;'DFP-Com'!$A32,'Contract level'!AK:AK)</f>
        <v>515114.5</v>
      </c>
      <c r="I34" s="202">
        <f>SUMIF('Contract level'!$A:$A,"="&amp;'DFP-Com'!$A32,'Contract level'!AL:AL)</f>
        <v>1247091.6</v>
      </c>
      <c r="J34" s="202">
        <f>SUMIF('Contract level'!$A:$A,"="&amp;'DFP-Com'!$A32,'Contract level'!AM:AM)</f>
        <v>835000</v>
      </c>
      <c r="K34" s="202">
        <f>SUMIF('Contract level'!$A:$A,"="&amp;'DFP-Com'!$A32,'Contract level'!AN:AN)</f>
        <v>0</v>
      </c>
      <c r="L34" s="202">
        <f>SUMIF('Contract level'!$A:$A,"="&amp;'DFP-Com'!$A32,'Contract level'!AO:AO)</f>
        <v>0</v>
      </c>
      <c r="M34" s="299">
        <f>SUMIF('Contract level'!$A:$A,"="&amp;'DFP-Com'!$A32,'Contract level'!AP:AP)</f>
        <v>0</v>
      </c>
      <c r="N34" s="299">
        <f>SUMIF('Contract level'!$A:$A,"="&amp;'DFP-Com'!$A32,'Contract level'!AQ:AQ)</f>
        <v>0</v>
      </c>
      <c r="O34" s="299">
        <f>SUMIF('Contract level'!$A:$A,"="&amp;'DFP-Com'!$A32,'Contract level'!AR:AR)</f>
        <v>0</v>
      </c>
      <c r="P34" s="299">
        <f>SUMIF('Contract level'!$A:$A,"="&amp;'DFP-Com'!$A32,'Contract level'!AS:AS)</f>
        <v>0</v>
      </c>
      <c r="Q34" s="299">
        <f>SUMIF('Contract level'!$A:$A,"="&amp;'DFP-Com'!$A32,'Contract level'!AT:AT)</f>
        <v>0</v>
      </c>
      <c r="R34" s="299">
        <f>SUM(H34:Q34)+D34+C34</f>
        <v>2722656.3400000003</v>
      </c>
      <c r="S34" s="203"/>
      <c r="T34" s="285"/>
      <c r="U34" s="242"/>
    </row>
    <row r="35" spans="1:21" s="205" customFormat="1" ht="15" outlineLevel="1">
      <c r="A35" s="204"/>
      <c r="B35" s="200" t="s">
        <v>126</v>
      </c>
      <c r="C35" s="208">
        <v>5961.64</v>
      </c>
      <c r="D35" s="209">
        <v>0</v>
      </c>
      <c r="E35" s="202"/>
      <c r="F35" s="202"/>
      <c r="G35" s="202">
        <v>75000</v>
      </c>
      <c r="H35" s="202">
        <f>SUMIF('Contract level'!$A:$A,"="&amp;'DFP-Com'!$A33,'Contract level'!AK:AK)</f>
        <v>75000</v>
      </c>
      <c r="I35" s="202">
        <f>SUMIF('Contract level'!$A:$A,"="&amp;'DFP-Com'!$A33,'Contract level'!AL:AL)</f>
        <v>0</v>
      </c>
      <c r="J35" s="202">
        <f>SUMIF('Contract level'!$A:$A,"="&amp;'DFP-Com'!$A33,'Contract level'!AM:AM)</f>
        <v>0</v>
      </c>
      <c r="K35" s="202">
        <f>SUMIF('Contract level'!$A:$A,"="&amp;'DFP-Com'!$A33,'Contract level'!AN:AN)</f>
        <v>0</v>
      </c>
      <c r="L35" s="202">
        <f>SUMIF('Contract level'!$A:$A,"="&amp;'DFP-Com'!$A33,'Contract level'!AO:AO)</f>
        <v>0</v>
      </c>
      <c r="M35" s="299">
        <f>SUMIF('Contract level'!$A:$A,"="&amp;'DFP-Com'!$A33,'Contract level'!AP:AP)</f>
        <v>0</v>
      </c>
      <c r="N35" s="299">
        <f>SUMIF('Contract level'!$A:$A,"="&amp;'DFP-Com'!$A33,'Contract level'!AQ:AQ)</f>
        <v>0</v>
      </c>
      <c r="O35" s="299">
        <f>SUMIF('Contract level'!$A:$A,"="&amp;'DFP-Com'!$A33,'Contract level'!AR:AR)</f>
        <v>0</v>
      </c>
      <c r="P35" s="299">
        <f>SUMIF('Contract level'!$A:$A,"="&amp;'DFP-Com'!$A33,'Contract level'!AS:AS)</f>
        <v>0</v>
      </c>
      <c r="Q35" s="299">
        <f>SUMIF('Contract level'!$A:$A,"="&amp;'DFP-Com'!$A33,'Contract level'!AT:AT)</f>
        <v>0</v>
      </c>
      <c r="R35" s="299">
        <f>SUM(H35:Q35)+D35+C35</f>
        <v>80961.64</v>
      </c>
      <c r="S35" s="203"/>
      <c r="T35" s="285"/>
      <c r="U35" s="68"/>
    </row>
    <row r="36" spans="1:23" ht="15">
      <c r="A36" s="48"/>
      <c r="B36" s="58" t="s">
        <v>63</v>
      </c>
      <c r="C36" s="52">
        <f>C32+C30</f>
        <v>741011.0100000001</v>
      </c>
      <c r="D36" s="52">
        <f>D32+D30</f>
        <v>72623.26</v>
      </c>
      <c r="E36" s="197">
        <f aca="true" t="shared" si="23" ref="E36:T36">E32+E30</f>
        <v>545122.24</v>
      </c>
      <c r="F36" s="197">
        <f t="shared" si="23"/>
        <v>37538.8</v>
      </c>
      <c r="G36" s="197">
        <f t="shared" si="23"/>
        <v>118808</v>
      </c>
      <c r="H36" s="197">
        <f t="shared" si="23"/>
        <v>701469.04</v>
      </c>
      <c r="I36" s="197">
        <f t="shared" si="23"/>
        <v>1472771.6575000002</v>
      </c>
      <c r="J36" s="197">
        <f aca="true" t="shared" si="24" ref="J36">J32+J30</f>
        <v>987855.9375</v>
      </c>
      <c r="K36" s="197">
        <f t="shared" si="23"/>
        <v>195855.9375</v>
      </c>
      <c r="L36" s="197">
        <f t="shared" si="23"/>
        <v>142072.90749999988</v>
      </c>
      <c r="M36" s="197">
        <f aca="true" t="shared" si="25" ref="M36:N36">M32+M30</f>
        <v>500</v>
      </c>
      <c r="N36" s="197">
        <f t="shared" si="25"/>
        <v>1000</v>
      </c>
      <c r="O36" s="197">
        <f aca="true" t="shared" si="26" ref="O36:Q36">O32+O30</f>
        <v>312.94</v>
      </c>
      <c r="P36" s="197">
        <f t="shared" si="26"/>
        <v>0</v>
      </c>
      <c r="Q36" s="197">
        <f t="shared" si="26"/>
        <v>0</v>
      </c>
      <c r="R36" s="197">
        <f>R32+R30</f>
        <v>4315472.69</v>
      </c>
      <c r="S36" s="197">
        <f t="shared" si="23"/>
        <v>4400000</v>
      </c>
      <c r="T36" s="290">
        <f t="shared" si="23"/>
        <v>84527.30999999959</v>
      </c>
      <c r="U36" s="242"/>
      <c r="V36" s="5"/>
      <c r="W36" s="5"/>
    </row>
    <row r="37" spans="1:23" ht="15">
      <c r="A37" s="48"/>
      <c r="B37" s="53"/>
      <c r="C37" s="54"/>
      <c r="D37" s="55"/>
      <c r="E37" s="216"/>
      <c r="F37" s="216"/>
      <c r="G37" s="216"/>
      <c r="H37" s="216"/>
      <c r="I37" s="216"/>
      <c r="J37" s="216"/>
      <c r="K37" s="216"/>
      <c r="L37" s="216"/>
      <c r="M37" s="216"/>
      <c r="N37" s="216"/>
      <c r="O37" s="216"/>
      <c r="P37" s="216"/>
      <c r="Q37" s="216"/>
      <c r="R37" s="216"/>
      <c r="S37" s="269"/>
      <c r="T37" s="287"/>
      <c r="U37" s="7"/>
      <c r="V37" s="5"/>
      <c r="W37" s="5"/>
    </row>
    <row r="38" spans="1:21" s="10" customFormat="1" ht="15">
      <c r="A38" s="59"/>
      <c r="B38" s="44" t="s">
        <v>90</v>
      </c>
      <c r="C38" s="60"/>
      <c r="D38" s="61"/>
      <c r="E38" s="266"/>
      <c r="F38" s="266"/>
      <c r="G38" s="266"/>
      <c r="H38" s="266"/>
      <c r="I38" s="266"/>
      <c r="J38" s="266"/>
      <c r="K38" s="266"/>
      <c r="L38" s="266"/>
      <c r="M38" s="266"/>
      <c r="N38" s="266"/>
      <c r="O38" s="266"/>
      <c r="P38" s="266"/>
      <c r="Q38" s="266"/>
      <c r="R38" s="217"/>
      <c r="S38" s="270"/>
      <c r="T38" s="288"/>
      <c r="U38" s="7"/>
    </row>
    <row r="39" spans="1:21" s="10" customFormat="1" ht="15" outlineLevel="1">
      <c r="A39" s="59"/>
      <c r="B39" s="64" t="s">
        <v>91</v>
      </c>
      <c r="C39" s="50">
        <f aca="true" t="shared" si="27" ref="C39:G39">SUM(C40:C43)</f>
        <v>148793.9699999999</v>
      </c>
      <c r="D39" s="50">
        <f t="shared" si="27"/>
        <v>107960.62000000001</v>
      </c>
      <c r="E39" s="196">
        <f t="shared" si="27"/>
        <v>21042</v>
      </c>
      <c r="F39" s="196">
        <f t="shared" si="27"/>
        <v>4000</v>
      </c>
      <c r="G39" s="196">
        <f t="shared" si="27"/>
        <v>4633.61</v>
      </c>
      <c r="H39" s="196">
        <f>SUM(H40:H43)</f>
        <v>29675.60999999997</v>
      </c>
      <c r="I39" s="196">
        <f aca="true" t="shared" si="28" ref="I39">SUM(I40:I42)</f>
        <v>24199.999999999978</v>
      </c>
      <c r="J39" s="196">
        <f aca="true" t="shared" si="29" ref="J39">SUM(J40:J42)</f>
        <v>23800.000000000164</v>
      </c>
      <c r="K39" s="196">
        <f aca="true" t="shared" si="30" ref="K39:L39">SUM(K40:K42)</f>
        <v>28200</v>
      </c>
      <c r="L39" s="196">
        <f t="shared" si="30"/>
        <v>10000</v>
      </c>
      <c r="M39" s="196">
        <f aca="true" t="shared" si="31" ref="M39:N39">SUM(M40:M42)</f>
        <v>170000</v>
      </c>
      <c r="N39" s="196">
        <f t="shared" si="31"/>
        <v>0</v>
      </c>
      <c r="O39" s="196">
        <f aca="true" t="shared" si="32" ref="O39:Q39">SUM(O40:O42)</f>
        <v>0</v>
      </c>
      <c r="P39" s="196">
        <f t="shared" si="32"/>
        <v>0</v>
      </c>
      <c r="Q39" s="196">
        <f t="shared" si="32"/>
        <v>0</v>
      </c>
      <c r="R39" s="219">
        <f>SUM(R40:R43)</f>
        <v>1222630.2000000002</v>
      </c>
      <c r="S39" s="198">
        <f>'QFR - B'!G24</f>
        <v>1700000</v>
      </c>
      <c r="T39" s="284">
        <f>S39-R39</f>
        <v>477369.7999999998</v>
      </c>
      <c r="U39" s="394"/>
    </row>
    <row r="40" spans="1:21" s="212" customFormat="1" ht="15" outlineLevel="1">
      <c r="A40" s="210"/>
      <c r="B40" s="211" t="s">
        <v>113</v>
      </c>
      <c r="C40" s="208">
        <v>133430.50999999992</v>
      </c>
      <c r="D40" s="208">
        <v>107876.49</v>
      </c>
      <c r="E40" s="298">
        <v>21042</v>
      </c>
      <c r="F40" s="299">
        <v>4000</v>
      </c>
      <c r="G40" s="299">
        <v>4633.61</v>
      </c>
      <c r="H40" s="202">
        <f>SUMIF('Contract level'!$A:$A,"="&amp;'DFP-Com'!$A38,'Contract level'!AK:AK)</f>
        <v>29675.60999999997</v>
      </c>
      <c r="I40" s="202">
        <f>SUMIF('Contract level'!$A:$A,"="&amp;'DFP-Com'!$A38,'Contract level'!AL:AL)</f>
        <v>24199.999999999978</v>
      </c>
      <c r="J40" s="202">
        <f>SUMIF('Contract level'!$A:$A,"="&amp;'DFP-Com'!$A38,'Contract level'!AM:AM)</f>
        <v>23800.000000000164</v>
      </c>
      <c r="K40" s="202">
        <f>SUMIF('Contract level'!$A:$A,"="&amp;'DFP-Com'!$A38,'Contract level'!AN:AN)</f>
        <v>28200</v>
      </c>
      <c r="L40" s="202">
        <f>SUMIF('Contract level'!$A:$A,"="&amp;'DFP-Com'!$A38,'Contract level'!AO:AO)</f>
        <v>10000</v>
      </c>
      <c r="M40" s="299">
        <f>SUMIF('Contract level'!$A:$A,"="&amp;'DFP-Com'!$A38,'Contract level'!AP:AP)</f>
        <v>10000</v>
      </c>
      <c r="N40" s="299">
        <f>SUMIF('Contract level'!$A:$A,"="&amp;'DFP-Com'!$A38,'Contract level'!AQ:AQ)</f>
        <v>0</v>
      </c>
      <c r="O40" s="299">
        <f>SUMIF('Contract level'!$A:$A,"="&amp;'DFP-Com'!$A38,'Contract level'!AR:AR)</f>
        <v>0</v>
      </c>
      <c r="P40" s="299">
        <f>SUMIF('Contract level'!$A:$A,"="&amp;'DFP-Com'!$A38,'Contract level'!AS:AS)</f>
        <v>0</v>
      </c>
      <c r="Q40" s="299">
        <f>SUMIF('Contract level'!$A:$A,"="&amp;'DFP-Com'!$A38,'Contract level'!AT:AT)</f>
        <v>0</v>
      </c>
      <c r="R40" s="202">
        <f>SUM(H40:Q40)+D40+C40</f>
        <v>367182.61000000004</v>
      </c>
      <c r="S40" s="271"/>
      <c r="T40" s="289"/>
      <c r="U40" s="68"/>
    </row>
    <row r="41" spans="1:21" s="212" customFormat="1" ht="15" outlineLevel="1">
      <c r="A41" s="210"/>
      <c r="B41" s="211" t="s">
        <v>114</v>
      </c>
      <c r="C41" s="208"/>
      <c r="D41" s="208">
        <v>0</v>
      </c>
      <c r="E41" s="201"/>
      <c r="F41" s="201"/>
      <c r="G41" s="201"/>
      <c r="H41" s="202">
        <f>SUMIF('Contract level'!$A:$A,"="&amp;'DFP-Com'!$A39,'Contract level'!AK:AK)</f>
        <v>0</v>
      </c>
      <c r="I41" s="202">
        <f>SUMIF('Contract level'!$A:$A,"="&amp;'DFP-Com'!$A39,'Contract level'!AL:AL)</f>
        <v>0</v>
      </c>
      <c r="J41" s="202">
        <f>SUMIF('Contract level'!$A:$A,"="&amp;'DFP-Com'!$A39,'Contract level'!AM:AM)</f>
        <v>0</v>
      </c>
      <c r="K41" s="202">
        <f>SUMIF('Contract level'!$A:$A,"="&amp;'DFP-Com'!$A39,'Contract level'!AN:AN)</f>
        <v>0</v>
      </c>
      <c r="L41" s="202">
        <f>SUMIF('Contract level'!$A:$A,"="&amp;'DFP-Com'!$A39,'Contract level'!AO:AO)</f>
        <v>0</v>
      </c>
      <c r="M41" s="299">
        <f>SUMIF('Contract level'!$A:$A,"="&amp;'DFP-Com'!$A39,'Contract level'!AP:AP)</f>
        <v>0</v>
      </c>
      <c r="N41" s="299">
        <f>SUMIF('Contract level'!$A:$A,"="&amp;'DFP-Com'!$A39,'Contract level'!AQ:AQ)</f>
        <v>0</v>
      </c>
      <c r="O41" s="299">
        <f>SUMIF('Contract level'!$A:$A,"="&amp;'DFP-Com'!$A39,'Contract level'!AR:AR)</f>
        <v>0</v>
      </c>
      <c r="P41" s="299">
        <f>SUMIF('Contract level'!$A:$A,"="&amp;'DFP-Com'!$A39,'Contract level'!AS:AS)</f>
        <v>0</v>
      </c>
      <c r="Q41" s="299">
        <f>SUMIF('Contract level'!$A:$A,"="&amp;'DFP-Com'!$A39,'Contract level'!AT:AT)</f>
        <v>0</v>
      </c>
      <c r="R41" s="299">
        <f>SUM(H41:Q41)+D41+C41</f>
        <v>0</v>
      </c>
      <c r="S41" s="271"/>
      <c r="T41" s="289"/>
      <c r="U41" s="68"/>
    </row>
    <row r="42" spans="1:21" s="212" customFormat="1" ht="15" outlineLevel="1">
      <c r="A42" s="210"/>
      <c r="B42" s="211" t="s">
        <v>115</v>
      </c>
      <c r="C42" s="208"/>
      <c r="D42" s="208">
        <v>0</v>
      </c>
      <c r="E42" s="201"/>
      <c r="F42" s="201"/>
      <c r="G42" s="201"/>
      <c r="H42" s="202">
        <f>SUMIF('Contract level'!$A:$A,"="&amp;'DFP-Com'!$A40,'Contract level'!AK:AK)</f>
        <v>0</v>
      </c>
      <c r="I42" s="202">
        <f>SUMIF('Contract level'!$A:$A,"="&amp;'DFP-Com'!$A40,'Contract level'!AL:AL)</f>
        <v>0</v>
      </c>
      <c r="J42" s="202">
        <f>SUMIF('Contract level'!$A:$A,"="&amp;'DFP-Com'!$A40,'Contract level'!AM:AM)</f>
        <v>0</v>
      </c>
      <c r="K42" s="202">
        <f>SUMIF('Contract level'!$A:$A,"="&amp;'DFP-Com'!$A40,'Contract level'!AN:AN)</f>
        <v>0</v>
      </c>
      <c r="L42" s="202">
        <f>SUMIF('Contract level'!$A:$A,"="&amp;'DFP-Com'!$A40,'Contract level'!AO:AO)</f>
        <v>0</v>
      </c>
      <c r="M42" s="299">
        <f>SUMIF('Contract level'!$A:$A,"="&amp;'DFP-Com'!$A40,'Contract level'!AP:AP)</f>
        <v>160000</v>
      </c>
      <c r="N42" s="299">
        <f>SUMIF('Contract level'!$A:$A,"="&amp;'DFP-Com'!$A40,'Contract level'!AQ:AQ)</f>
        <v>0</v>
      </c>
      <c r="O42" s="299">
        <f>SUMIF('Contract level'!$A:$A,"="&amp;'DFP-Com'!$A40,'Contract level'!AR:AR)</f>
        <v>0</v>
      </c>
      <c r="P42" s="299">
        <f>SUMIF('Contract level'!$A:$A,"="&amp;'DFP-Com'!$A40,'Contract level'!AS:AS)</f>
        <v>0</v>
      </c>
      <c r="Q42" s="299">
        <f>SUMIF('Contract level'!$A:$A,"="&amp;'DFP-Com'!$A40,'Contract level'!AT:AT)</f>
        <v>0</v>
      </c>
      <c r="R42" s="299">
        <f>SUM(H42:Q42)+D42+C42</f>
        <v>160000</v>
      </c>
      <c r="S42" s="271"/>
      <c r="T42" s="289"/>
      <c r="U42" s="68"/>
    </row>
    <row r="43" spans="1:21" s="212" customFormat="1" ht="15" outlineLevel="1">
      <c r="A43" s="210"/>
      <c r="B43" s="211" t="s">
        <v>125</v>
      </c>
      <c r="C43" s="208">
        <v>15363.46</v>
      </c>
      <c r="D43" s="208">
        <v>84.13</v>
      </c>
      <c r="E43" s="201"/>
      <c r="F43" s="201"/>
      <c r="G43" s="201"/>
      <c r="H43" s="202">
        <f>SUMIF('Contract level'!$A:$A,"="&amp;'DFP-Com'!$A41,'Contract level'!AK:AK)</f>
        <v>0</v>
      </c>
      <c r="I43" s="202">
        <f>SUMIF('Contract level'!$A:$A,"="&amp;'DFP-Com'!$A41,'Contract level'!AL:AL)</f>
        <v>680000</v>
      </c>
      <c r="J43" s="202">
        <f>SUMIF('Contract level'!$A:$A,"="&amp;'DFP-Com'!$A41,'Contract level'!AM:AM)</f>
        <v>0</v>
      </c>
      <c r="K43" s="202">
        <f>SUMIF('Contract level'!$A:$A,"="&amp;'DFP-Com'!$A41,'Contract level'!AN:AN)</f>
        <v>0</v>
      </c>
      <c r="L43" s="202">
        <f>SUMIF('Contract level'!$A:$A,"="&amp;'DFP-Com'!$A41,'Contract level'!AO:AO)</f>
        <v>0</v>
      </c>
      <c r="M43" s="299">
        <f>SUMIF('Contract level'!$A:$A,"="&amp;'DFP-Com'!$A41,'Contract level'!AP:AP)</f>
        <v>0</v>
      </c>
      <c r="N43" s="299">
        <f>SUMIF('Contract level'!$A:$A,"="&amp;'DFP-Com'!$A41,'Contract level'!AQ:AQ)</f>
        <v>0</v>
      </c>
      <c r="O43" s="299">
        <f>SUMIF('Contract level'!$A:$A,"="&amp;'DFP-Com'!$A41,'Contract level'!AR:AR)</f>
        <v>0</v>
      </c>
      <c r="P43" s="299">
        <f>SUMIF('Contract level'!$A:$A,"="&amp;'DFP-Com'!$A41,'Contract level'!AS:AS)</f>
        <v>0</v>
      </c>
      <c r="Q43" s="299">
        <f>SUMIF('Contract level'!$A:$A,"="&amp;'DFP-Com'!$A41,'Contract level'!AT:AT)</f>
        <v>0</v>
      </c>
      <c r="R43" s="299">
        <f>SUM(H43:Q43)+D43+C43</f>
        <v>695447.59</v>
      </c>
      <c r="S43" s="271"/>
      <c r="T43" s="289"/>
      <c r="U43" s="68"/>
    </row>
    <row r="44" spans="1:23" ht="15">
      <c r="A44" s="48"/>
      <c r="B44" s="58" t="s">
        <v>17</v>
      </c>
      <c r="C44" s="52">
        <f>C39</f>
        <v>148793.9699999999</v>
      </c>
      <c r="D44" s="52">
        <f>D39</f>
        <v>107960.62000000001</v>
      </c>
      <c r="E44" s="197">
        <f aca="true" t="shared" si="33" ref="E44:T44">E39</f>
        <v>21042</v>
      </c>
      <c r="F44" s="197">
        <f t="shared" si="33"/>
        <v>4000</v>
      </c>
      <c r="G44" s="197">
        <f t="shared" si="33"/>
        <v>4633.61</v>
      </c>
      <c r="H44" s="197">
        <f t="shared" si="33"/>
        <v>29675.60999999997</v>
      </c>
      <c r="I44" s="197">
        <f t="shared" si="33"/>
        <v>24199.999999999978</v>
      </c>
      <c r="J44" s="197">
        <f aca="true" t="shared" si="34" ref="J44">J39</f>
        <v>23800.000000000164</v>
      </c>
      <c r="K44" s="197">
        <f aca="true" t="shared" si="35" ref="K44:L44">K39</f>
        <v>28200</v>
      </c>
      <c r="L44" s="197">
        <f t="shared" si="35"/>
        <v>10000</v>
      </c>
      <c r="M44" s="197">
        <f aca="true" t="shared" si="36" ref="M44:N44">M39</f>
        <v>170000</v>
      </c>
      <c r="N44" s="197">
        <f t="shared" si="36"/>
        <v>0</v>
      </c>
      <c r="O44" s="197">
        <f aca="true" t="shared" si="37" ref="O44:Q44">O39</f>
        <v>0</v>
      </c>
      <c r="P44" s="197">
        <f t="shared" si="37"/>
        <v>0</v>
      </c>
      <c r="Q44" s="197">
        <f t="shared" si="37"/>
        <v>0</v>
      </c>
      <c r="R44" s="197">
        <f t="shared" si="33"/>
        <v>1222630.2000000002</v>
      </c>
      <c r="S44" s="272">
        <f t="shared" si="33"/>
        <v>1700000</v>
      </c>
      <c r="T44" s="290">
        <f t="shared" si="33"/>
        <v>477369.7999999998</v>
      </c>
      <c r="U44" s="7"/>
      <c r="V44" s="5"/>
      <c r="W44" s="5"/>
    </row>
    <row r="45" spans="1:23" ht="15">
      <c r="A45" s="48"/>
      <c r="B45" s="53"/>
      <c r="C45" s="54"/>
      <c r="D45" s="55"/>
      <c r="E45" s="216"/>
      <c r="F45" s="216"/>
      <c r="G45" s="216"/>
      <c r="H45" s="216"/>
      <c r="I45" s="216"/>
      <c r="J45" s="216"/>
      <c r="K45" s="216"/>
      <c r="L45" s="216"/>
      <c r="M45" s="216"/>
      <c r="N45" s="216"/>
      <c r="O45" s="216"/>
      <c r="P45" s="216"/>
      <c r="Q45" s="216"/>
      <c r="R45" s="216"/>
      <c r="S45" s="269"/>
      <c r="T45" s="287"/>
      <c r="U45" s="7"/>
      <c r="V45" s="5"/>
      <c r="W45" s="5"/>
    </row>
    <row r="46" spans="1:21" s="10" customFormat="1" ht="15">
      <c r="A46" s="59"/>
      <c r="B46" s="44" t="s">
        <v>84</v>
      </c>
      <c r="C46" s="60"/>
      <c r="D46" s="61"/>
      <c r="E46" s="266"/>
      <c r="F46" s="266"/>
      <c r="G46" s="266"/>
      <c r="H46" s="266"/>
      <c r="I46" s="266"/>
      <c r="J46" s="266"/>
      <c r="K46" s="266"/>
      <c r="L46" s="266"/>
      <c r="M46" s="266"/>
      <c r="N46" s="266"/>
      <c r="O46" s="266"/>
      <c r="P46" s="266"/>
      <c r="Q46" s="266"/>
      <c r="R46" s="217"/>
      <c r="S46" s="270"/>
      <c r="T46" s="288"/>
      <c r="U46" s="7"/>
    </row>
    <row r="47" spans="1:23" ht="15" outlineLevel="1">
      <c r="A47" s="48"/>
      <c r="B47" s="65" t="s">
        <v>93</v>
      </c>
      <c r="C47" s="50">
        <f aca="true" t="shared" si="38" ref="C47:I47">SUM(C48:C51)</f>
        <v>294089.34</v>
      </c>
      <c r="D47" s="50">
        <f t="shared" si="38"/>
        <v>51221.05</v>
      </c>
      <c r="E47" s="196">
        <f t="shared" si="38"/>
        <v>47255</v>
      </c>
      <c r="F47" s="196">
        <f t="shared" si="38"/>
        <v>21117.56</v>
      </c>
      <c r="G47" s="196">
        <f t="shared" si="38"/>
        <v>19256</v>
      </c>
      <c r="H47" s="196">
        <f t="shared" si="38"/>
        <v>87628.55960000001</v>
      </c>
      <c r="I47" s="196">
        <f t="shared" si="38"/>
        <v>73960</v>
      </c>
      <c r="J47" s="196">
        <f aca="true" t="shared" si="39" ref="J47">SUM(J48:J51)</f>
        <v>79460</v>
      </c>
      <c r="K47" s="196">
        <f aca="true" t="shared" si="40" ref="K47:L47">SUM(K48:K51)</f>
        <v>58165.35</v>
      </c>
      <c r="L47" s="196">
        <f t="shared" si="40"/>
        <v>74300</v>
      </c>
      <c r="M47" s="196">
        <f aca="true" t="shared" si="41" ref="M47:N47">SUM(M48:M51)</f>
        <v>89300.00100000002</v>
      </c>
      <c r="N47" s="196">
        <f t="shared" si="41"/>
        <v>55064.16</v>
      </c>
      <c r="O47" s="196">
        <f aca="true" t="shared" si="42" ref="O47:Q47">SUM(O48:O51)</f>
        <v>51300</v>
      </c>
      <c r="P47" s="196">
        <f t="shared" si="42"/>
        <v>54300</v>
      </c>
      <c r="Q47" s="196">
        <f t="shared" si="42"/>
        <v>51300</v>
      </c>
      <c r="R47" s="219">
        <f>SUM(R48:R51)</f>
        <v>1020088.4606000001</v>
      </c>
      <c r="S47" s="198">
        <f>'QFR - B'!G27</f>
        <v>797500</v>
      </c>
      <c r="T47" s="284">
        <f>S47-R47</f>
        <v>-222588.4606000001</v>
      </c>
      <c r="U47" s="7"/>
      <c r="V47" s="5"/>
      <c r="W47" s="5"/>
    </row>
    <row r="48" spans="1:21" s="205" customFormat="1" ht="12.75" customHeight="1" outlineLevel="1">
      <c r="A48" s="204"/>
      <c r="B48" s="215" t="s">
        <v>135</v>
      </c>
      <c r="C48" s="208">
        <v>245731.31</v>
      </c>
      <c r="D48" s="208">
        <v>41280.380000000005</v>
      </c>
      <c r="E48" s="298">
        <v>17536</v>
      </c>
      <c r="F48" s="298">
        <v>18397.56</v>
      </c>
      <c r="G48" s="298">
        <v>17536</v>
      </c>
      <c r="H48" s="202">
        <f>SUMIF('Contract level'!$A:$A,"="&amp;'DFP-Com'!$A46,'Contract level'!AK:AK)</f>
        <v>53469.56000000001</v>
      </c>
      <c r="I48" s="202">
        <f>SUMIF('Contract level'!$A:$A,"="&amp;'DFP-Com'!$A46,'Contract level'!AL:AL)</f>
        <v>51300</v>
      </c>
      <c r="J48" s="202">
        <f>SUMIF('Contract level'!$A:$A,"="&amp;'DFP-Com'!$A46,'Contract level'!AM:AM)</f>
        <v>51300</v>
      </c>
      <c r="K48" s="202">
        <f>SUMIF('Contract level'!$A:$A,"="&amp;'DFP-Com'!$A46,'Contract level'!AN:AN)</f>
        <v>51300</v>
      </c>
      <c r="L48" s="202">
        <f>SUMIF('Contract level'!$A:$A,"="&amp;'DFP-Com'!$A46,'Contract level'!AO:AO)</f>
        <v>51300</v>
      </c>
      <c r="M48" s="299">
        <f>SUMIF('Contract level'!$A:$A,"="&amp;'DFP-Com'!$A46,'Contract level'!AP:AP)</f>
        <v>51300</v>
      </c>
      <c r="N48" s="299">
        <f>SUMIF('Contract level'!$A:$A,"="&amp;'DFP-Com'!$A46,'Contract level'!AQ:AQ)</f>
        <v>51300</v>
      </c>
      <c r="O48" s="299">
        <f>SUMIF('Contract level'!$A:$A,"="&amp;'DFP-Com'!$A46,'Contract level'!AR:AR)</f>
        <v>51300</v>
      </c>
      <c r="P48" s="299">
        <f>SUMIF('Contract level'!$A:$A,"="&amp;'DFP-Com'!$A46,'Contract level'!AS:AS)</f>
        <v>51300</v>
      </c>
      <c r="Q48" s="299">
        <f>SUMIF('Contract level'!$A:$A,"="&amp;'DFP-Com'!$A46,'Contract level'!AT:AT)</f>
        <v>51300</v>
      </c>
      <c r="R48" s="202">
        <f>SUM(H48:Q48)+D48+C48</f>
        <v>802181.25</v>
      </c>
      <c r="S48" s="271"/>
      <c r="T48" s="285"/>
      <c r="U48" s="68"/>
    </row>
    <row r="49" spans="1:21" s="205" customFormat="1" ht="15" outlineLevel="1">
      <c r="A49" s="204"/>
      <c r="B49" s="215" t="s">
        <v>136</v>
      </c>
      <c r="C49" s="208">
        <v>19751.64</v>
      </c>
      <c r="D49" s="208">
        <v>4226.4</v>
      </c>
      <c r="E49" s="298">
        <v>2000</v>
      </c>
      <c r="F49" s="298">
        <v>2000</v>
      </c>
      <c r="G49" s="298">
        <v>1000</v>
      </c>
      <c r="H49" s="202">
        <f>SUMIF('Contract level'!$A:$A,"="&amp;'DFP-Com'!$A47,'Contract level'!AK:AK)</f>
        <v>5000</v>
      </c>
      <c r="I49" s="202">
        <f>SUMIF('Contract level'!$A:$A,"="&amp;'DFP-Com'!$A47,'Contract level'!AL:AL)</f>
        <v>500</v>
      </c>
      <c r="J49" s="202">
        <f>SUMIF('Contract level'!$A:$A,"="&amp;'DFP-Com'!$A47,'Contract level'!AM:AM)</f>
        <v>1000</v>
      </c>
      <c r="K49" s="202">
        <f>SUMIF('Contract level'!$A:$A,"="&amp;'DFP-Com'!$A47,'Contract level'!AN:AN)</f>
        <v>2705.3500000000004</v>
      </c>
      <c r="L49" s="202">
        <f>SUMIF('Contract level'!$A:$A,"="&amp;'DFP-Com'!$A47,'Contract level'!AO:AO)</f>
        <v>1000</v>
      </c>
      <c r="M49" s="299">
        <f>SUMIF('Contract level'!$A:$A,"="&amp;'DFP-Com'!$A47,'Contract level'!AP:AP)</f>
        <v>1000</v>
      </c>
      <c r="N49" s="299">
        <f>SUMIF('Contract level'!$A:$A,"="&amp;'DFP-Com'!$A47,'Contract level'!AQ:AQ)</f>
        <v>2436.26</v>
      </c>
      <c r="O49" s="299">
        <f>SUMIF('Contract level'!$A:$A,"="&amp;'DFP-Com'!$A47,'Contract level'!AR:AR)</f>
        <v>0</v>
      </c>
      <c r="P49" s="299">
        <f>SUMIF('Contract level'!$A:$A,"="&amp;'DFP-Com'!$A47,'Contract level'!AS:AS)</f>
        <v>0</v>
      </c>
      <c r="Q49" s="299">
        <f>SUMIF('Contract level'!$A:$A,"="&amp;'DFP-Com'!$A47,'Contract level'!AT:AT)</f>
        <v>0</v>
      </c>
      <c r="R49" s="299">
        <f aca="true" t="shared" si="43" ref="R49:R51">SUM(H49:Q49)+D49+C49</f>
        <v>37619.65</v>
      </c>
      <c r="S49" s="271"/>
      <c r="T49" s="289"/>
      <c r="U49" s="68"/>
    </row>
    <row r="50" spans="1:21" s="205" customFormat="1" ht="15" outlineLevel="1">
      <c r="A50" s="204"/>
      <c r="B50" s="215" t="s">
        <v>137</v>
      </c>
      <c r="C50" s="208">
        <v>10000</v>
      </c>
      <c r="D50" s="208">
        <v>5000</v>
      </c>
      <c r="E50" s="298">
        <v>10000</v>
      </c>
      <c r="F50" s="298">
        <v>0</v>
      </c>
      <c r="G50" s="298">
        <v>0</v>
      </c>
      <c r="H50" s="202">
        <f>SUMIF('Contract level'!$A:$A,"="&amp;'DFP-Com'!$A48,'Contract level'!AK:AK)</f>
        <v>9999.9996</v>
      </c>
      <c r="I50" s="202">
        <f>SUMIF('Contract level'!$A:$A,"="&amp;'DFP-Com'!$A48,'Contract level'!AL:AL)</f>
        <v>20000</v>
      </c>
      <c r="J50" s="202">
        <f>SUMIF('Contract level'!$A:$A,"="&amp;'DFP-Com'!$A48,'Contract level'!AM:AM)</f>
        <v>20000</v>
      </c>
      <c r="K50" s="202">
        <f>SUMIF('Contract level'!$A:$A,"="&amp;'DFP-Com'!$A48,'Contract level'!AN:AN)</f>
        <v>0</v>
      </c>
      <c r="L50" s="202">
        <f>SUMIF('Contract level'!$A:$A,"="&amp;'DFP-Com'!$A48,'Contract level'!AO:AO)</f>
        <v>20000</v>
      </c>
      <c r="M50" s="299">
        <f>SUMIF('Contract level'!$A:$A,"="&amp;'DFP-Com'!$A48,'Contract level'!AP:AP)</f>
        <v>35000.00100000001</v>
      </c>
      <c r="N50" s="299">
        <f>SUMIF('Contract level'!$A:$A,"="&amp;'DFP-Com'!$A48,'Contract level'!AQ:AQ)</f>
        <v>0</v>
      </c>
      <c r="O50" s="299">
        <f>SUMIF('Contract level'!$A:$A,"="&amp;'DFP-Com'!$A48,'Contract level'!AR:AR)</f>
        <v>0</v>
      </c>
      <c r="P50" s="299">
        <f>SUMIF('Contract level'!$A:$A,"="&amp;'DFP-Com'!$A48,'Contract level'!AS:AS)</f>
        <v>0</v>
      </c>
      <c r="Q50" s="299">
        <f>SUMIF('Contract level'!$A:$A,"="&amp;'DFP-Com'!$A48,'Contract level'!AT:AT)</f>
        <v>0</v>
      </c>
      <c r="R50" s="299">
        <f t="shared" si="43"/>
        <v>120000.0006</v>
      </c>
      <c r="S50" s="271"/>
      <c r="T50" s="289"/>
      <c r="U50" s="68"/>
    </row>
    <row r="51" spans="1:21" s="205" customFormat="1" ht="15" outlineLevel="1">
      <c r="A51" s="204"/>
      <c r="B51" s="215" t="s">
        <v>138</v>
      </c>
      <c r="C51" s="208">
        <v>18606.39</v>
      </c>
      <c r="D51" s="208">
        <v>714.27</v>
      </c>
      <c r="E51" s="298">
        <v>17719</v>
      </c>
      <c r="F51" s="298">
        <v>720</v>
      </c>
      <c r="G51" s="298">
        <v>720</v>
      </c>
      <c r="H51" s="202">
        <f>SUMIF('Contract level'!$A:$A,"="&amp;'DFP-Com'!$A49,'Contract level'!AK:AK)</f>
        <v>19159</v>
      </c>
      <c r="I51" s="202">
        <f>SUMIF('Contract level'!$A:$A,"="&amp;'DFP-Com'!$A49,'Contract level'!AL:AL)</f>
        <v>2160</v>
      </c>
      <c r="J51" s="202">
        <f>SUMIF('Contract level'!$A:$A,"="&amp;'DFP-Com'!$A49,'Contract level'!AM:AM)</f>
        <v>7160</v>
      </c>
      <c r="K51" s="202">
        <f>SUMIF('Contract level'!$A:$A,"="&amp;'DFP-Com'!$A49,'Contract level'!AN:AN)</f>
        <v>4160</v>
      </c>
      <c r="L51" s="202">
        <f>SUMIF('Contract level'!$A:$A,"="&amp;'DFP-Com'!$A49,'Contract level'!AO:AO)</f>
        <v>2000</v>
      </c>
      <c r="M51" s="299">
        <f>SUMIF('Contract level'!$A:$A,"="&amp;'DFP-Com'!$A49,'Contract level'!AP:AP)</f>
        <v>2000</v>
      </c>
      <c r="N51" s="299">
        <f>SUMIF('Contract level'!$A:$A,"="&amp;'DFP-Com'!$A49,'Contract level'!AQ:AQ)</f>
        <v>1327.9</v>
      </c>
      <c r="O51" s="299">
        <f>SUMIF('Contract level'!$A:$A,"="&amp;'DFP-Com'!$A49,'Contract level'!AR:AR)</f>
        <v>0</v>
      </c>
      <c r="P51" s="299">
        <f>SUMIF('Contract level'!$A:$A,"="&amp;'DFP-Com'!$A49,'Contract level'!AS:AS)</f>
        <v>3000</v>
      </c>
      <c r="Q51" s="299">
        <f>SUMIF('Contract level'!$A:$A,"="&amp;'DFP-Com'!$A49,'Contract level'!AT:AT)</f>
        <v>0</v>
      </c>
      <c r="R51" s="299">
        <f t="shared" si="43"/>
        <v>60287.56</v>
      </c>
      <c r="S51" s="271"/>
      <c r="T51" s="289"/>
      <c r="U51" s="68"/>
    </row>
    <row r="52" spans="2:21" s="10" customFormat="1" ht="15">
      <c r="B52" s="66" t="s">
        <v>92</v>
      </c>
      <c r="C52" s="52">
        <f aca="true" t="shared" si="44" ref="C52:T52">C47</f>
        <v>294089.34</v>
      </c>
      <c r="D52" s="52">
        <f t="shared" si="44"/>
        <v>51221.05</v>
      </c>
      <c r="E52" s="197">
        <f t="shared" si="44"/>
        <v>47255</v>
      </c>
      <c r="F52" s="197">
        <f t="shared" si="44"/>
        <v>21117.56</v>
      </c>
      <c r="G52" s="197">
        <f t="shared" si="44"/>
        <v>19256</v>
      </c>
      <c r="H52" s="197">
        <f t="shared" si="44"/>
        <v>87628.55960000001</v>
      </c>
      <c r="I52" s="197">
        <f t="shared" si="44"/>
        <v>73960</v>
      </c>
      <c r="J52" s="197">
        <f aca="true" t="shared" si="45" ref="J52">J47</f>
        <v>79460</v>
      </c>
      <c r="K52" s="197">
        <f aca="true" t="shared" si="46" ref="K52:L52">K47</f>
        <v>58165.35</v>
      </c>
      <c r="L52" s="197">
        <f t="shared" si="46"/>
        <v>74300</v>
      </c>
      <c r="M52" s="197">
        <f aca="true" t="shared" si="47" ref="M52:N52">M47</f>
        <v>89300.00100000002</v>
      </c>
      <c r="N52" s="197">
        <f t="shared" si="47"/>
        <v>55064.16</v>
      </c>
      <c r="O52" s="197">
        <f aca="true" t="shared" si="48" ref="O52:Q52">O47</f>
        <v>51300</v>
      </c>
      <c r="P52" s="197">
        <f t="shared" si="48"/>
        <v>54300</v>
      </c>
      <c r="Q52" s="197">
        <f t="shared" si="48"/>
        <v>51300</v>
      </c>
      <c r="R52" s="197">
        <f t="shared" si="44"/>
        <v>1020088.4606000001</v>
      </c>
      <c r="S52" s="272">
        <f t="shared" si="44"/>
        <v>797500</v>
      </c>
      <c r="T52" s="290">
        <f t="shared" si="44"/>
        <v>-222588.4606000001</v>
      </c>
      <c r="U52" s="242"/>
    </row>
    <row r="53" spans="1:23" ht="15">
      <c r="A53" s="5"/>
      <c r="B53" s="53"/>
      <c r="C53" s="54"/>
      <c r="D53" s="55"/>
      <c r="E53" s="216"/>
      <c r="F53" s="216"/>
      <c r="G53" s="216"/>
      <c r="H53" s="216"/>
      <c r="I53" s="216"/>
      <c r="J53" s="216"/>
      <c r="K53" s="216"/>
      <c r="L53" s="216"/>
      <c r="M53" s="216"/>
      <c r="N53" s="216"/>
      <c r="O53" s="216"/>
      <c r="P53" s="216"/>
      <c r="Q53" s="216"/>
      <c r="R53" s="218"/>
      <c r="S53" s="269"/>
      <c r="T53" s="291"/>
      <c r="U53" s="7"/>
      <c r="V53" s="5"/>
      <c r="W53" s="5"/>
    </row>
    <row r="54" spans="2:21" s="223" customFormat="1" ht="17.25" thickBot="1">
      <c r="B54" s="228" t="s">
        <v>131</v>
      </c>
      <c r="C54" s="224">
        <f aca="true" t="shared" si="49" ref="C54:T54">C52+C44+C36+C27</f>
        <v>3971134.624346273</v>
      </c>
      <c r="D54" s="331">
        <f t="shared" si="49"/>
        <v>1493380.3244999999</v>
      </c>
      <c r="E54" s="225">
        <f t="shared" si="49"/>
        <v>1682799.6500000001</v>
      </c>
      <c r="F54" s="225">
        <f t="shared" si="49"/>
        <v>1196551.5056500002</v>
      </c>
      <c r="G54" s="225">
        <f t="shared" si="49"/>
        <v>278596.42</v>
      </c>
      <c r="H54" s="225">
        <f t="shared" si="49"/>
        <v>3157947.57975</v>
      </c>
      <c r="I54" s="225">
        <f t="shared" si="49"/>
        <v>3403889.3835000005</v>
      </c>
      <c r="J54" s="225">
        <f aca="true" t="shared" si="50" ref="J54">J52+J44+J36+J27</f>
        <v>2731816.4638656667</v>
      </c>
      <c r="K54" s="225">
        <f aca="true" t="shared" si="51" ref="K54:L54">K52+K44+K36+K27</f>
        <v>2430649.0826126286</v>
      </c>
      <c r="L54" s="225">
        <f t="shared" si="51"/>
        <v>1383636.0566126278</v>
      </c>
      <c r="M54" s="225">
        <f aca="true" t="shared" si="52" ref="M54">M52+M44+M36+M27</f>
        <v>5162877.002412805</v>
      </c>
      <c r="N54" s="225">
        <f aca="true" t="shared" si="53" ref="N54:Q54">N52+N44+N36+N27</f>
        <v>824065.4800000001</v>
      </c>
      <c r="O54" s="225">
        <f t="shared" si="53"/>
        <v>287662.83150000003</v>
      </c>
      <c r="P54" s="225">
        <f t="shared" si="53"/>
        <v>290349.8915</v>
      </c>
      <c r="Q54" s="225">
        <f t="shared" si="53"/>
        <v>77400</v>
      </c>
      <c r="R54" s="225">
        <f t="shared" si="49"/>
        <v>25894808.7206</v>
      </c>
      <c r="S54" s="225">
        <f t="shared" si="49"/>
        <v>26197500</v>
      </c>
      <c r="T54" s="292">
        <f t="shared" si="49"/>
        <v>302691.27939999825</v>
      </c>
      <c r="U54" s="242"/>
    </row>
    <row r="55" spans="2:22" ht="13.5" thickTop="1">
      <c r="B55" s="7" t="s">
        <v>133</v>
      </c>
      <c r="U55" s="190"/>
      <c r="V55" s="212"/>
    </row>
    <row r="56" spans="2:21" ht="15">
      <c r="B56" s="68" t="s">
        <v>134</v>
      </c>
      <c r="U56" s="190"/>
    </row>
    <row r="57" spans="2:22" ht="15">
      <c r="B57" s="7"/>
      <c r="U57" s="190"/>
      <c r="V57" s="212"/>
    </row>
    <row r="58" spans="2:21" ht="15">
      <c r="B58" s="7"/>
      <c r="U58" s="190"/>
    </row>
    <row r="59" spans="2:21" ht="15">
      <c r="B59" s="7"/>
      <c r="U59" s="190"/>
    </row>
    <row r="60" spans="2:21" ht="15">
      <c r="B60" s="7"/>
      <c r="U60" s="190"/>
    </row>
    <row r="61" spans="2:21" ht="15">
      <c r="B61" s="7"/>
      <c r="U61" s="190"/>
    </row>
    <row r="62" spans="2:21" ht="15">
      <c r="B62" s="7"/>
      <c r="U62" s="190"/>
    </row>
    <row r="63" spans="2:21" ht="15">
      <c r="B63" s="7"/>
      <c r="U63" s="190"/>
    </row>
    <row r="64" spans="2:21" ht="15">
      <c r="B64" s="7"/>
      <c r="U64" s="190"/>
    </row>
    <row r="65" spans="2:21" ht="15">
      <c r="B65" s="7"/>
      <c r="U65" s="190"/>
    </row>
    <row r="66" spans="2:21" ht="15">
      <c r="B66" s="7"/>
      <c r="U66" s="190"/>
    </row>
    <row r="67" spans="2:21" ht="15">
      <c r="B67" s="7"/>
      <c r="U67" s="190"/>
    </row>
    <row r="68" spans="2:21" ht="15">
      <c r="B68" s="7"/>
      <c r="U68" s="190"/>
    </row>
    <row r="69" spans="2:21" ht="15">
      <c r="B69" s="7"/>
      <c r="U69" s="190"/>
    </row>
    <row r="70" ht="15">
      <c r="U70" s="190"/>
    </row>
    <row r="71" ht="15">
      <c r="U71" s="190"/>
    </row>
    <row r="72" ht="15">
      <c r="U72" s="190"/>
    </row>
    <row r="73" ht="15">
      <c r="U73" s="190"/>
    </row>
    <row r="74" ht="15">
      <c r="U74" s="190"/>
    </row>
    <row r="75" ht="15">
      <c r="U75" s="190"/>
    </row>
    <row r="76" ht="15">
      <c r="U76" s="190"/>
    </row>
    <row r="77" ht="15">
      <c r="U77" s="190"/>
    </row>
    <row r="78" ht="15">
      <c r="U78" s="190"/>
    </row>
    <row r="79" ht="15">
      <c r="U79" s="190"/>
    </row>
    <row r="80" ht="15">
      <c r="U80" s="190"/>
    </row>
    <row r="81" ht="15">
      <c r="U81" s="190"/>
    </row>
    <row r="82" ht="15">
      <c r="U82" s="190"/>
    </row>
    <row r="83" ht="15">
      <c r="U83" s="190"/>
    </row>
    <row r="84" ht="15">
      <c r="U84" s="190"/>
    </row>
    <row r="85" ht="15">
      <c r="U85" s="190"/>
    </row>
  </sheetData>
  <mergeCells count="6">
    <mergeCell ref="T12:T13"/>
    <mergeCell ref="B11:B12"/>
    <mergeCell ref="R12:R13"/>
    <mergeCell ref="S12:S13"/>
    <mergeCell ref="E12:G12"/>
    <mergeCell ref="E11:H11"/>
  </mergeCells>
  <printOptions/>
  <pageMargins left="0.7086614173228347" right="0.7086614173228347" top="0.7480314960629921" bottom="0.7480314960629921" header="0.31496062992125984" footer="0.31496062992125984"/>
  <pageSetup fitToHeight="1" fitToWidth="1" horizontalDpi="600" verticalDpi="600" orientation="landscape" scale="3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8"/>
  <sheetViews>
    <sheetView showGridLines="0" zoomScale="74" zoomScaleNormal="74" zoomScalePageLayoutView="85" workbookViewId="0" topLeftCell="A1">
      <pane ySplit="13" topLeftCell="A17" activePane="bottomLeft" state="frozen"/>
      <selection pane="bottomLeft" activeCell="B8" sqref="B8"/>
    </sheetView>
  </sheetViews>
  <sheetFormatPr defaultColWidth="9.140625" defaultRowHeight="15"/>
  <cols>
    <col min="1" max="1" width="2.421875" style="0" customWidth="1"/>
    <col min="2" max="2" width="29.421875" style="0" customWidth="1"/>
    <col min="3" max="3" width="18.421875" style="0" customWidth="1"/>
    <col min="4" max="4" width="22.421875" style="0" customWidth="1"/>
    <col min="5" max="5" width="19.00390625" style="0" customWidth="1"/>
    <col min="6" max="6" width="18.140625" style="0" customWidth="1"/>
    <col min="7" max="7" width="18.8515625" style="0" customWidth="1"/>
    <col min="9" max="9" width="13.00390625" style="0" bestFit="1" customWidth="1"/>
  </cols>
  <sheetData>
    <row r="1" spans="2:7" ht="15">
      <c r="B1" s="72" t="s">
        <v>21</v>
      </c>
      <c r="C1" s="73"/>
      <c r="D1" s="73"/>
      <c r="E1" s="73"/>
      <c r="F1" s="73"/>
      <c r="G1" s="74"/>
    </row>
    <row r="2" spans="2:7" ht="15">
      <c r="B2" s="75"/>
      <c r="C2" s="76" t="s">
        <v>1</v>
      </c>
      <c r="D2" s="149" t="s">
        <v>67</v>
      </c>
      <c r="E2" s="78"/>
      <c r="F2" s="79"/>
      <c r="G2" s="80"/>
    </row>
    <row r="3" spans="2:7" ht="15">
      <c r="B3" s="75"/>
      <c r="C3" s="76" t="s">
        <v>2</v>
      </c>
      <c r="D3" s="176" t="s">
        <v>68</v>
      </c>
      <c r="E3" s="78"/>
      <c r="F3" s="79"/>
      <c r="G3" s="80"/>
    </row>
    <row r="4" spans="2:7" ht="15">
      <c r="B4" s="75"/>
      <c r="C4" s="76" t="s">
        <v>3</v>
      </c>
      <c r="D4" s="176" t="str">
        <f>'THP DR'!B7</f>
        <v>TR14GTM15001</v>
      </c>
      <c r="E4" s="78"/>
      <c r="F4" s="79"/>
      <c r="G4" s="80"/>
    </row>
    <row r="5" spans="2:7" ht="15">
      <c r="B5" s="75"/>
      <c r="C5" s="76" t="s">
        <v>4</v>
      </c>
      <c r="D5" s="177">
        <f>'THP DR'!B10</f>
        <v>43361</v>
      </c>
      <c r="E5" s="78"/>
      <c r="F5" s="79"/>
      <c r="G5" s="80"/>
    </row>
    <row r="6" spans="2:7" ht="15.75" thickBot="1">
      <c r="B6" s="82"/>
      <c r="C6" s="83"/>
      <c r="D6" s="84"/>
      <c r="E6" s="83"/>
      <c r="F6" s="84"/>
      <c r="G6" s="85"/>
    </row>
    <row r="7" spans="2:8" ht="15">
      <c r="B7" s="86" t="s">
        <v>22</v>
      </c>
      <c r="C7" s="87"/>
      <c r="D7" s="87"/>
      <c r="E7" s="87"/>
      <c r="F7" s="87"/>
      <c r="G7" s="88"/>
      <c r="H7" s="89"/>
    </row>
    <row r="8" spans="2:8" ht="15">
      <c r="B8" s="90" t="str">
        <f>"Disbursement Period:"&amp;TEXT('THP DR'!B11,"dd-mmm-yy")&amp;" to "&amp;TEXT('THP DR'!B12,"dd-mmm-yy")</f>
        <v>Disbursement Period:01-oct-18 to 31-dic-18</v>
      </c>
      <c r="C8" s="91"/>
      <c r="D8" s="91"/>
      <c r="E8" s="91"/>
      <c r="F8" s="91"/>
      <c r="G8" s="92"/>
      <c r="H8" s="89"/>
    </row>
    <row r="9" spans="2:8" s="98" customFormat="1" ht="12.75">
      <c r="B9" s="93" t="s">
        <v>23</v>
      </c>
      <c r="C9" s="94"/>
      <c r="D9" s="94"/>
      <c r="E9" s="95"/>
      <c r="F9" s="95"/>
      <c r="G9" s="96"/>
      <c r="H9" s="97"/>
    </row>
    <row r="10" spans="2:8" ht="15.75" thickBot="1">
      <c r="B10" s="99" t="s">
        <v>220</v>
      </c>
      <c r="C10" s="100"/>
      <c r="D10" s="100"/>
      <c r="E10" s="100"/>
      <c r="F10" s="100"/>
      <c r="G10" s="101"/>
      <c r="H10" s="89"/>
    </row>
    <row r="11" spans="2:8" ht="52.5" customHeight="1" thickBot="1">
      <c r="B11" s="102"/>
      <c r="C11" s="103" t="s">
        <v>24</v>
      </c>
      <c r="D11" s="104" t="s">
        <v>25</v>
      </c>
      <c r="E11" s="424" t="s">
        <v>26</v>
      </c>
      <c r="F11" s="425"/>
      <c r="G11" s="105" t="s">
        <v>27</v>
      </c>
      <c r="H11" s="89"/>
    </row>
    <row r="12" spans="2:8" ht="23.25">
      <c r="B12" s="106" t="s">
        <v>81</v>
      </c>
      <c r="C12" s="107"/>
      <c r="D12" s="108" t="s">
        <v>28</v>
      </c>
      <c r="E12" s="109" t="s">
        <v>29</v>
      </c>
      <c r="F12" s="110" t="s">
        <v>30</v>
      </c>
      <c r="G12" s="111" t="s">
        <v>31</v>
      </c>
      <c r="H12" s="89"/>
    </row>
    <row r="13" spans="2:8" s="98" customFormat="1" ht="13.5" thickBot="1">
      <c r="B13" s="112" t="s">
        <v>89</v>
      </c>
      <c r="C13" s="113">
        <v>1</v>
      </c>
      <c r="D13" s="113">
        <v>2</v>
      </c>
      <c r="E13" s="113">
        <v>3</v>
      </c>
      <c r="F13" s="113">
        <v>4</v>
      </c>
      <c r="G13" s="114">
        <v>5</v>
      </c>
      <c r="H13" s="97"/>
    </row>
    <row r="14" spans="2:8" s="98" customFormat="1" ht="15">
      <c r="B14" s="426"/>
      <c r="C14" s="427"/>
      <c r="D14" s="427"/>
      <c r="E14" s="427"/>
      <c r="F14" s="427"/>
      <c r="G14" s="428"/>
      <c r="H14" s="97"/>
    </row>
    <row r="15" spans="2:9" s="98" customFormat="1" ht="26.45" customHeight="1">
      <c r="B15" s="155" t="s">
        <v>76</v>
      </c>
      <c r="C15" s="178">
        <f>SUM(C16:C18)</f>
        <v>19700000</v>
      </c>
      <c r="D15" s="182">
        <f>SUM(D16:D18)</f>
        <v>19300000</v>
      </c>
      <c r="E15" s="178">
        <f>SUM(E16:E18)</f>
        <v>46000</v>
      </c>
      <c r="F15" s="178">
        <f>SUM(F16:F18)</f>
        <v>0</v>
      </c>
      <c r="G15" s="182">
        <f aca="true" t="shared" si="0" ref="G15:G18">+D15+E15-F15</f>
        <v>19346000</v>
      </c>
      <c r="H15" s="97"/>
      <c r="I15" s="246"/>
    </row>
    <row r="16" spans="2:9" s="98" customFormat="1" ht="25.5">
      <c r="B16" s="169" t="s">
        <v>77</v>
      </c>
      <c r="C16" s="168">
        <v>12000000</v>
      </c>
      <c r="D16" s="183">
        <f>'QFR - B'!G15</f>
        <v>12000000</v>
      </c>
      <c r="E16" s="179"/>
      <c r="F16" s="179"/>
      <c r="G16" s="183">
        <f t="shared" si="0"/>
        <v>12000000</v>
      </c>
      <c r="H16" s="97"/>
      <c r="I16" s="246" t="s">
        <v>116</v>
      </c>
    </row>
    <row r="17" spans="2:7" ht="45" customHeight="1">
      <c r="B17" s="169" t="s">
        <v>78</v>
      </c>
      <c r="C17" s="168">
        <v>4700000</v>
      </c>
      <c r="D17" s="183">
        <f>'QFR - B'!G16</f>
        <v>4300000</v>
      </c>
      <c r="E17" s="179"/>
      <c r="F17" s="179"/>
      <c r="G17" s="183">
        <f t="shared" si="0"/>
        <v>4300000</v>
      </c>
    </row>
    <row r="18" spans="2:7" ht="25.5">
      <c r="B18" s="169" t="s">
        <v>79</v>
      </c>
      <c r="C18" s="168">
        <v>3000000</v>
      </c>
      <c r="D18" s="183">
        <f>'QFR - B'!G17</f>
        <v>3000000</v>
      </c>
      <c r="E18" s="179">
        <v>46000</v>
      </c>
      <c r="F18" s="179"/>
      <c r="G18" s="183">
        <f t="shared" si="0"/>
        <v>3046000</v>
      </c>
    </row>
    <row r="19" spans="2:7" ht="15">
      <c r="B19" s="170"/>
      <c r="C19" s="168"/>
      <c r="D19" s="183"/>
      <c r="E19" s="179"/>
      <c r="F19" s="179"/>
      <c r="G19" s="183"/>
    </row>
    <row r="20" spans="2:9" ht="25.5">
      <c r="B20" s="171" t="s">
        <v>82</v>
      </c>
      <c r="C20" s="159">
        <f>SUM(C21:C22)</f>
        <v>4000000</v>
      </c>
      <c r="D20" s="184">
        <f>SUM(D21:D22)</f>
        <v>4400000</v>
      </c>
      <c r="E20" s="159">
        <f>SUM(E21:E22)</f>
        <v>0</v>
      </c>
      <c r="F20" s="159">
        <f>SUM(F21:F22)</f>
        <v>0</v>
      </c>
      <c r="G20" s="184">
        <f>+D20+E20-F20</f>
        <v>4400000</v>
      </c>
      <c r="I20" s="252"/>
    </row>
    <row r="21" spans="2:7" ht="25.5">
      <c r="B21" s="169" t="s">
        <v>85</v>
      </c>
      <c r="C21" s="168">
        <v>0</v>
      </c>
      <c r="D21" s="183">
        <f>'QFR - B'!G20</f>
        <v>800000</v>
      </c>
      <c r="E21" s="179"/>
      <c r="F21" s="179"/>
      <c r="G21" s="183">
        <f>+D21+E21-F21</f>
        <v>800000</v>
      </c>
    </row>
    <row r="22" spans="2:7" ht="25.5">
      <c r="B22" s="169" t="s">
        <v>86</v>
      </c>
      <c r="C22" s="168">
        <v>4000000</v>
      </c>
      <c r="D22" s="183">
        <f>'QFR - B'!G21</f>
        <v>3600000</v>
      </c>
      <c r="E22" s="179"/>
      <c r="F22" s="179"/>
      <c r="G22" s="183">
        <f>+D22+E22-F22</f>
        <v>3600000</v>
      </c>
    </row>
    <row r="23" spans="2:7" ht="15">
      <c r="B23" s="170"/>
      <c r="C23" s="168"/>
      <c r="D23" s="185"/>
      <c r="E23" s="179"/>
      <c r="F23" s="179"/>
      <c r="G23" s="185"/>
    </row>
    <row r="24" spans="2:9" ht="26.45" customHeight="1">
      <c r="B24" s="156" t="s">
        <v>83</v>
      </c>
      <c r="C24" s="159">
        <f>SUM(C25)</f>
        <v>1700000</v>
      </c>
      <c r="D24" s="184">
        <f aca="true" t="shared" si="1" ref="D24:G24">SUM(D25)</f>
        <v>1700000</v>
      </c>
      <c r="E24" s="159">
        <f t="shared" si="1"/>
        <v>0</v>
      </c>
      <c r="F24" s="159">
        <f t="shared" si="1"/>
        <v>269000</v>
      </c>
      <c r="G24" s="184">
        <f t="shared" si="1"/>
        <v>1431000</v>
      </c>
      <c r="I24" s="252"/>
    </row>
    <row r="25" spans="2:7" ht="26.45" customHeight="1">
      <c r="B25" s="175" t="s">
        <v>87</v>
      </c>
      <c r="C25" s="168">
        <v>1700000</v>
      </c>
      <c r="D25" s="183">
        <f>'QFR - B'!G24</f>
        <v>1700000</v>
      </c>
      <c r="E25" s="179"/>
      <c r="F25" s="179">
        <v>269000</v>
      </c>
      <c r="G25" s="183">
        <f>+D25+E25-F25</f>
        <v>1431000</v>
      </c>
    </row>
    <row r="26" spans="2:7" ht="15">
      <c r="B26" s="170"/>
      <c r="C26" s="168"/>
      <c r="D26" s="185"/>
      <c r="E26" s="179"/>
      <c r="F26" s="179"/>
      <c r="G26" s="185"/>
    </row>
    <row r="27" spans="2:9" ht="26.45" customHeight="1">
      <c r="B27" s="156" t="s">
        <v>84</v>
      </c>
      <c r="C27" s="159">
        <f>SUM(C28)</f>
        <v>800000</v>
      </c>
      <c r="D27" s="184">
        <f aca="true" t="shared" si="2" ref="D27:G27">SUM(D28)</f>
        <v>797500</v>
      </c>
      <c r="E27" s="159">
        <f t="shared" si="2"/>
        <v>223000</v>
      </c>
      <c r="F27" s="159">
        <f t="shared" si="2"/>
        <v>0</v>
      </c>
      <c r="G27" s="184">
        <f t="shared" si="2"/>
        <v>1020500</v>
      </c>
      <c r="I27" s="252"/>
    </row>
    <row r="28" spans="2:7" ht="26.45" customHeight="1">
      <c r="B28" s="175" t="s">
        <v>88</v>
      </c>
      <c r="C28" s="168">
        <v>800000</v>
      </c>
      <c r="D28" s="183">
        <f>'QFR - B'!G27</f>
        <v>797500</v>
      </c>
      <c r="E28" s="179">
        <v>223000</v>
      </c>
      <c r="F28" s="179">
        <v>0</v>
      </c>
      <c r="G28" s="183">
        <f>+D28+E28-F28</f>
        <v>1020500</v>
      </c>
    </row>
    <row r="29" spans="2:7" ht="15.75" thickBot="1">
      <c r="B29" s="173"/>
      <c r="C29" s="180"/>
      <c r="D29" s="186"/>
      <c r="E29" s="180"/>
      <c r="F29" s="180"/>
      <c r="G29" s="186"/>
    </row>
    <row r="30" spans="2:9" ht="26.45" customHeight="1" thickBot="1">
      <c r="B30" s="174" t="s">
        <v>32</v>
      </c>
      <c r="C30" s="181">
        <f>+C15+C20+C24+C27</f>
        <v>26200000</v>
      </c>
      <c r="D30" s="181">
        <f>+D15+D20+D24+D27</f>
        <v>26197500</v>
      </c>
      <c r="E30" s="181">
        <f>+E15+E20+E24+E27</f>
        <v>269000</v>
      </c>
      <c r="F30" s="181">
        <f>+F15+F20+F24+F27</f>
        <v>269000</v>
      </c>
      <c r="G30" s="187">
        <f>+G15+G20+G24+G27</f>
        <v>26197500</v>
      </c>
      <c r="I30" s="253"/>
    </row>
    <row r="31" ht="15">
      <c r="B31" t="s">
        <v>256</v>
      </c>
    </row>
    <row r="33" spans="2:7" ht="15">
      <c r="B33" s="220" t="s">
        <v>121</v>
      </c>
      <c r="C33" s="221"/>
      <c r="D33" s="221"/>
      <c r="E33" s="221"/>
      <c r="F33" s="221"/>
      <c r="G33" s="222"/>
    </row>
    <row r="34" spans="2:7" ht="25.5">
      <c r="B34" s="171" t="s">
        <v>82</v>
      </c>
      <c r="C34" s="159">
        <f>SUM(C35)</f>
        <v>1800000</v>
      </c>
      <c r="D34" s="159">
        <f>SUM(D35)</f>
        <v>1800000</v>
      </c>
      <c r="E34" s="159">
        <f>E35</f>
        <v>0</v>
      </c>
      <c r="F34" s="159">
        <f>F35</f>
        <v>0</v>
      </c>
      <c r="G34" s="184">
        <f>+D34+E34-F34</f>
        <v>1800000</v>
      </c>
    </row>
    <row r="35" spans="2:7" ht="25.5">
      <c r="B35" s="169" t="s">
        <v>120</v>
      </c>
      <c r="C35" s="168">
        <v>1800000</v>
      </c>
      <c r="D35" s="183">
        <f>'[1]QFR - B'!G34</f>
        <v>1800000</v>
      </c>
      <c r="E35" s="343"/>
      <c r="F35" s="343"/>
      <c r="G35" s="183">
        <f>D35+E35-F35</f>
        <v>1800000</v>
      </c>
    </row>
    <row r="36" spans="2:7" ht="26.25">
      <c r="B36" s="156" t="s">
        <v>84</v>
      </c>
      <c r="C36" s="159">
        <f>SUM(C37)</f>
        <v>0</v>
      </c>
      <c r="D36" s="184">
        <f aca="true" t="shared" si="3" ref="D36:G36">SUM(D37)</f>
        <v>2500</v>
      </c>
      <c r="E36" s="159">
        <f t="shared" si="3"/>
        <v>0</v>
      </c>
      <c r="F36" s="159">
        <f t="shared" si="3"/>
        <v>0</v>
      </c>
      <c r="G36" s="184">
        <f t="shared" si="3"/>
        <v>2500</v>
      </c>
    </row>
    <row r="37" spans="2:7" ht="15">
      <c r="B37" s="175" t="s">
        <v>88</v>
      </c>
      <c r="C37" s="168">
        <v>0</v>
      </c>
      <c r="D37" s="183">
        <v>2500</v>
      </c>
      <c r="E37" s="179">
        <v>0</v>
      </c>
      <c r="F37" s="343"/>
      <c r="G37" s="183">
        <f>+D37+E37-F37</f>
        <v>2500</v>
      </c>
    </row>
    <row r="38" spans="2:7" ht="15.75" thickBot="1">
      <c r="B38" s="174" t="s">
        <v>32</v>
      </c>
      <c r="C38" s="181">
        <f>C34+C36</f>
        <v>1800000</v>
      </c>
      <c r="D38" s="181">
        <f>D34+D36</f>
        <v>1802500</v>
      </c>
      <c r="E38" s="181">
        <f>E34+E36</f>
        <v>0</v>
      </c>
      <c r="F38" s="181">
        <f>F34+F36</f>
        <v>0</v>
      </c>
      <c r="G38" s="181">
        <f>G34+G36</f>
        <v>1802500</v>
      </c>
    </row>
  </sheetData>
  <mergeCells count="2">
    <mergeCell ref="E11:F11"/>
    <mergeCell ref="B14:G14"/>
  </mergeCells>
  <conditionalFormatting sqref="D30:G30">
    <cfRule type="cellIs" priority="5" dxfId="0" operator="equal" stopIfTrue="1">
      <formula>0</formula>
    </cfRule>
  </conditionalFormatting>
  <conditionalFormatting sqref="C30">
    <cfRule type="cellIs" priority="4" dxfId="0" operator="equal" stopIfTrue="1">
      <formula>0</formula>
    </cfRule>
  </conditionalFormatting>
  <conditionalFormatting sqref="C38:G38">
    <cfRule type="cellIs" priority="1" dxfId="0" operator="equal" stopIfTrue="1">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scale="59" r:id="rId1"/>
  <headerFooter>
    <oddHeader>&amp;C&amp;"-,Negrita"SCHEDULE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showGridLines="0" zoomScalePageLayoutView="90" workbookViewId="0" topLeftCell="A1">
      <pane ySplit="13" topLeftCell="A14" activePane="bottomLeft" state="frozen"/>
      <selection pane="bottomLeft" activeCell="F15" sqref="F15"/>
    </sheetView>
  </sheetViews>
  <sheetFormatPr defaultColWidth="9.140625" defaultRowHeight="15"/>
  <cols>
    <col min="1" max="1" width="3.421875" style="0" customWidth="1"/>
    <col min="2" max="2" width="33.8515625" style="0" customWidth="1"/>
    <col min="3" max="3" width="16.421875" style="0" customWidth="1"/>
    <col min="4" max="4" width="21.00390625" style="0" bestFit="1" customWidth="1"/>
    <col min="5" max="7" width="16.421875" style="0" customWidth="1"/>
  </cols>
  <sheetData>
    <row r="1" spans="2:7" ht="15">
      <c r="B1" s="72" t="s">
        <v>21</v>
      </c>
      <c r="C1" s="73"/>
      <c r="D1" s="73"/>
      <c r="E1" s="73"/>
      <c r="F1" s="73"/>
      <c r="G1" s="74"/>
    </row>
    <row r="2" spans="2:7" ht="15">
      <c r="B2" s="75"/>
      <c r="C2" s="76" t="s">
        <v>1</v>
      </c>
      <c r="D2" s="149" t="s">
        <v>67</v>
      </c>
      <c r="E2" s="77"/>
      <c r="F2" s="77"/>
      <c r="G2" s="80"/>
    </row>
    <row r="3" spans="2:7" ht="15">
      <c r="B3" s="75"/>
      <c r="C3" s="76" t="s">
        <v>2</v>
      </c>
      <c r="D3" s="149" t="s">
        <v>68</v>
      </c>
      <c r="E3" s="77"/>
      <c r="F3" s="77"/>
      <c r="G3" s="80"/>
    </row>
    <row r="4" spans="2:7" ht="15">
      <c r="B4" s="75"/>
      <c r="C4" s="76" t="s">
        <v>3</v>
      </c>
      <c r="D4" s="149" t="str">
        <f>'THP DR'!B7</f>
        <v>TR14GTM15001</v>
      </c>
      <c r="E4" s="77"/>
      <c r="F4" s="77"/>
      <c r="G4" s="80"/>
    </row>
    <row r="5" spans="2:7" ht="15">
      <c r="B5" s="75"/>
      <c r="C5" s="76" t="s">
        <v>4</v>
      </c>
      <c r="D5" s="150">
        <f>'THP DR'!B10</f>
        <v>43361</v>
      </c>
      <c r="E5" s="81"/>
      <c r="F5" s="81"/>
      <c r="G5" s="80"/>
    </row>
    <row r="6" spans="2:7" ht="5.1" customHeight="1" thickBot="1">
      <c r="B6" s="82"/>
      <c r="C6" s="83"/>
      <c r="D6" s="83"/>
      <c r="E6" s="83"/>
      <c r="F6" s="83"/>
      <c r="G6" s="85"/>
    </row>
    <row r="7" spans="2:7" ht="15">
      <c r="B7" s="86" t="s">
        <v>33</v>
      </c>
      <c r="C7" s="115"/>
      <c r="D7" s="115"/>
      <c r="E7" s="115"/>
      <c r="F7" s="115"/>
      <c r="G7" s="116"/>
    </row>
    <row r="8" spans="1:7" ht="15">
      <c r="A8" s="98"/>
      <c r="B8" s="90" t="str">
        <f>'QFR - A'!B8</f>
        <v>Disbursement Period:01-oct-18 to 31-dic-18</v>
      </c>
      <c r="C8" s="91"/>
      <c r="D8" s="91"/>
      <c r="E8" s="91"/>
      <c r="F8" s="91"/>
      <c r="G8" s="92"/>
    </row>
    <row r="9" spans="2:7" ht="15">
      <c r="B9" s="151" t="s">
        <v>34</v>
      </c>
      <c r="C9" s="94"/>
      <c r="D9" s="94"/>
      <c r="E9" s="94"/>
      <c r="F9" s="94"/>
      <c r="G9" s="96"/>
    </row>
    <row r="10" spans="2:7" ht="15.75" thickBot="1">
      <c r="B10" s="151" t="str">
        <f>'QFR - A'!B10</f>
        <v>Out of Cycle Report:  Yes [ ] | No [ x ]</v>
      </c>
      <c r="C10" s="94"/>
      <c r="D10" s="94"/>
      <c r="E10" s="94"/>
      <c r="F10" s="94"/>
      <c r="G10" s="96"/>
    </row>
    <row r="11" spans="2:7" ht="15" customHeight="1">
      <c r="B11" s="153"/>
      <c r="C11" s="429" t="s">
        <v>24</v>
      </c>
      <c r="D11" s="429" t="s">
        <v>227</v>
      </c>
      <c r="E11" s="429" t="s">
        <v>260</v>
      </c>
      <c r="F11" s="429" t="s">
        <v>289</v>
      </c>
      <c r="G11" s="429" t="s">
        <v>75</v>
      </c>
    </row>
    <row r="12" spans="2:7" ht="42" customHeight="1" thickBot="1">
      <c r="B12" s="152" t="s">
        <v>81</v>
      </c>
      <c r="C12" s="430"/>
      <c r="D12" s="430"/>
      <c r="E12" s="430"/>
      <c r="F12" s="430"/>
      <c r="G12" s="430"/>
    </row>
    <row r="13" spans="1:7" ht="15" customHeight="1">
      <c r="A13" s="98"/>
      <c r="B13" s="154" t="s">
        <v>80</v>
      </c>
      <c r="C13" s="157">
        <v>1</v>
      </c>
      <c r="D13" s="157">
        <f>C13+1</f>
        <v>2</v>
      </c>
      <c r="E13" s="157">
        <v>3</v>
      </c>
      <c r="F13" s="157">
        <v>4</v>
      </c>
      <c r="G13" s="164">
        <v>5</v>
      </c>
    </row>
    <row r="14" spans="2:7" ht="26.1" customHeight="1">
      <c r="B14" s="155" t="s">
        <v>76</v>
      </c>
      <c r="C14" s="158">
        <f>SUM(C15:C17)</f>
        <v>19700000</v>
      </c>
      <c r="D14" s="278">
        <f>SUM(D15:D17)</f>
        <v>-400000</v>
      </c>
      <c r="E14" s="278">
        <f>SUM(E15:E17)</f>
        <v>0</v>
      </c>
      <c r="F14" s="278">
        <f>SUM(F15:F17)</f>
        <v>0</v>
      </c>
      <c r="G14" s="160">
        <f>C14+D14+E14+F14</f>
        <v>19300000</v>
      </c>
    </row>
    <row r="15" spans="2:7" ht="26.45" customHeight="1">
      <c r="B15" s="169" t="s">
        <v>77</v>
      </c>
      <c r="C15" s="161">
        <v>12000000</v>
      </c>
      <c r="D15" s="279">
        <v>0</v>
      </c>
      <c r="E15" s="280">
        <v>0</v>
      </c>
      <c r="F15" s="280">
        <v>0</v>
      </c>
      <c r="G15" s="162">
        <f>C15+D15+E15+F15</f>
        <v>12000000</v>
      </c>
    </row>
    <row r="16" spans="2:7" ht="26.45" customHeight="1">
      <c r="B16" s="169" t="s">
        <v>78</v>
      </c>
      <c r="C16" s="161">
        <v>4700000</v>
      </c>
      <c r="D16" s="279">
        <v>-400000</v>
      </c>
      <c r="E16" s="280">
        <v>0</v>
      </c>
      <c r="F16" s="280">
        <v>0</v>
      </c>
      <c r="G16" s="162">
        <f aca="true" t="shared" si="0" ref="G16:G17">C16+D16+E16+F16</f>
        <v>4300000</v>
      </c>
    </row>
    <row r="17" spans="2:7" ht="25.5">
      <c r="B17" s="169" t="s">
        <v>79</v>
      </c>
      <c r="C17" s="161">
        <v>3000000</v>
      </c>
      <c r="D17" s="279">
        <v>0</v>
      </c>
      <c r="E17" s="280">
        <v>0</v>
      </c>
      <c r="F17" s="280">
        <v>0</v>
      </c>
      <c r="G17" s="162">
        <f t="shared" si="0"/>
        <v>3000000</v>
      </c>
    </row>
    <row r="18" spans="2:7" ht="15">
      <c r="B18" s="170"/>
      <c r="C18" s="161"/>
      <c r="D18" s="279"/>
      <c r="E18" s="280"/>
      <c r="F18" s="280"/>
      <c r="G18" s="162"/>
    </row>
    <row r="19" spans="2:7" ht="25.5">
      <c r="B19" s="171" t="s">
        <v>82</v>
      </c>
      <c r="C19" s="158">
        <f>SUM(C20:C21)</f>
        <v>4000000</v>
      </c>
      <c r="D19" s="278">
        <f>SUM(D20:D21)</f>
        <v>400000</v>
      </c>
      <c r="E19" s="278">
        <f>SUM(E20:E21)</f>
        <v>0</v>
      </c>
      <c r="F19" s="278">
        <f>SUM(F20:F21)</f>
        <v>0</v>
      </c>
      <c r="G19" s="160">
        <f>SUM(G20:G21)</f>
        <v>4400000</v>
      </c>
    </row>
    <row r="20" spans="2:7" ht="25.5">
      <c r="B20" s="169" t="s">
        <v>85</v>
      </c>
      <c r="C20" s="161">
        <v>0</v>
      </c>
      <c r="D20" s="279">
        <v>800000</v>
      </c>
      <c r="E20" s="280">
        <v>0</v>
      </c>
      <c r="F20" s="280">
        <v>0</v>
      </c>
      <c r="G20" s="162">
        <f>C20+D20+E20+F20</f>
        <v>800000</v>
      </c>
    </row>
    <row r="21" spans="2:7" ht="25.5">
      <c r="B21" s="169" t="s">
        <v>86</v>
      </c>
      <c r="C21" s="161">
        <v>4000000</v>
      </c>
      <c r="D21" s="279">
        <v>-400000</v>
      </c>
      <c r="E21" s="280">
        <v>0</v>
      </c>
      <c r="F21" s="280">
        <v>0</v>
      </c>
      <c r="G21" s="162">
        <f>C21+D21+E21+F21</f>
        <v>3600000</v>
      </c>
    </row>
    <row r="22" spans="2:7" ht="15">
      <c r="B22" s="170"/>
      <c r="C22" s="161"/>
      <c r="D22" s="279"/>
      <c r="E22" s="280"/>
      <c r="F22" s="280"/>
      <c r="G22" s="163"/>
    </row>
    <row r="23" spans="2:7" ht="26.45" customHeight="1">
      <c r="B23" s="156" t="s">
        <v>83</v>
      </c>
      <c r="C23" s="158">
        <f>SUM(C24)</f>
        <v>1700000</v>
      </c>
      <c r="D23" s="278">
        <f>SUM(D24)</f>
        <v>0</v>
      </c>
      <c r="E23" s="278">
        <f>E24</f>
        <v>0</v>
      </c>
      <c r="F23" s="278">
        <f>F24</f>
        <v>0</v>
      </c>
      <c r="G23" s="160">
        <f aca="true" t="shared" si="1" ref="G23">SUM(G24)</f>
        <v>1700000</v>
      </c>
    </row>
    <row r="24" spans="2:7" ht="24" customHeight="1">
      <c r="B24" s="175" t="s">
        <v>87</v>
      </c>
      <c r="C24" s="161">
        <v>1700000</v>
      </c>
      <c r="D24" s="279">
        <v>0</v>
      </c>
      <c r="E24" s="280">
        <v>0</v>
      </c>
      <c r="F24" s="280">
        <v>0</v>
      </c>
      <c r="G24" s="162">
        <f>C24+D24+E24+F24</f>
        <v>1700000</v>
      </c>
    </row>
    <row r="25" spans="2:7" ht="15">
      <c r="B25" s="170"/>
      <c r="C25" s="161"/>
      <c r="D25" s="279"/>
      <c r="E25" s="280"/>
      <c r="F25" s="280"/>
      <c r="G25" s="163"/>
    </row>
    <row r="26" spans="2:7" ht="26.45" customHeight="1">
      <c r="B26" s="172" t="s">
        <v>84</v>
      </c>
      <c r="C26" s="158">
        <f>SUM(C27)</f>
        <v>800000</v>
      </c>
      <c r="D26" s="278">
        <f>SUM(D27)</f>
        <v>0</v>
      </c>
      <c r="E26" s="278">
        <f>E27</f>
        <v>-2500</v>
      </c>
      <c r="F26" s="278">
        <f>F27</f>
        <v>0</v>
      </c>
      <c r="G26" s="160">
        <f aca="true" t="shared" si="2" ref="G26">SUM(G27)</f>
        <v>797500</v>
      </c>
    </row>
    <row r="27" spans="2:7" ht="24" customHeight="1">
      <c r="B27" s="175" t="s">
        <v>88</v>
      </c>
      <c r="C27" s="161">
        <v>800000</v>
      </c>
      <c r="D27" s="279">
        <v>0</v>
      </c>
      <c r="E27" s="280">
        <v>-2500</v>
      </c>
      <c r="F27" s="280">
        <v>0</v>
      </c>
      <c r="G27" s="162">
        <f>C27+D27+E27+F27</f>
        <v>797500</v>
      </c>
    </row>
    <row r="28" spans="2:7" ht="15.75" thickBot="1">
      <c r="B28" s="173"/>
      <c r="C28" s="165"/>
      <c r="D28" s="281"/>
      <c r="E28" s="282"/>
      <c r="F28" s="282"/>
      <c r="G28" s="166"/>
    </row>
    <row r="29" spans="2:7" ht="26.1" customHeight="1" thickBot="1">
      <c r="B29" s="174" t="s">
        <v>32</v>
      </c>
      <c r="C29" s="167">
        <f>C14+C19+C23+C26</f>
        <v>26200000</v>
      </c>
      <c r="D29" s="283">
        <f aca="true" t="shared" si="3" ref="D29:F29">D14+D19+D23+D26</f>
        <v>0</v>
      </c>
      <c r="E29" s="283">
        <f t="shared" si="3"/>
        <v>-2500</v>
      </c>
      <c r="F29" s="283">
        <f t="shared" si="3"/>
        <v>0</v>
      </c>
      <c r="G29" s="167">
        <f>G26+G23+G19+G14</f>
        <v>26197500</v>
      </c>
    </row>
    <row r="30" ht="15">
      <c r="B30" t="s">
        <v>256</v>
      </c>
    </row>
    <row r="32" spans="2:7" ht="15">
      <c r="B32" s="220" t="s">
        <v>121</v>
      </c>
      <c r="C32" s="221"/>
      <c r="D32" s="221"/>
      <c r="E32" s="221"/>
      <c r="F32" s="221"/>
      <c r="G32" s="222"/>
    </row>
    <row r="33" spans="2:7" ht="25.5">
      <c r="B33" s="171" t="s">
        <v>82</v>
      </c>
      <c r="C33" s="159">
        <f>SUM(C34)</f>
        <v>1800000</v>
      </c>
      <c r="D33" s="159">
        <f aca="true" t="shared" si="4" ref="D33:G35">SUM(D34)</f>
        <v>0</v>
      </c>
      <c r="E33" s="159">
        <f t="shared" si="4"/>
        <v>0</v>
      </c>
      <c r="F33" s="159">
        <f t="shared" si="4"/>
        <v>0</v>
      </c>
      <c r="G33" s="159">
        <f t="shared" si="4"/>
        <v>1800000</v>
      </c>
    </row>
    <row r="34" spans="2:7" ht="25.5">
      <c r="B34" s="169" t="s">
        <v>120</v>
      </c>
      <c r="C34" s="168">
        <v>1800000</v>
      </c>
      <c r="D34" s="183"/>
      <c r="E34" s="183">
        <v>0</v>
      </c>
      <c r="F34" s="183"/>
      <c r="G34" s="162">
        <f>C34+D34+E34+F34</f>
        <v>1800000</v>
      </c>
    </row>
    <row r="35" spans="2:7" s="297" customFormat="1" ht="15">
      <c r="B35" s="172" t="s">
        <v>84</v>
      </c>
      <c r="C35" s="159">
        <f>SUM(C36)</f>
        <v>0</v>
      </c>
      <c r="D35" s="159">
        <f t="shared" si="4"/>
        <v>0</v>
      </c>
      <c r="E35" s="159">
        <f t="shared" si="4"/>
        <v>2500</v>
      </c>
      <c r="F35" s="159">
        <f t="shared" si="4"/>
        <v>0</v>
      </c>
      <c r="G35" s="159">
        <f t="shared" si="4"/>
        <v>2500</v>
      </c>
    </row>
    <row r="36" spans="2:7" s="297" customFormat="1" ht="15">
      <c r="B36" s="175" t="s">
        <v>88</v>
      </c>
      <c r="C36" s="349"/>
      <c r="D36" s="350"/>
      <c r="E36" s="183">
        <v>2500</v>
      </c>
      <c r="F36" s="183"/>
      <c r="G36" s="162">
        <f>C36+D36+E36+F36</f>
        <v>2500</v>
      </c>
    </row>
    <row r="37" spans="2:7" ht="26.45" customHeight="1" thickBot="1">
      <c r="B37" s="174" t="s">
        <v>32</v>
      </c>
      <c r="C37" s="181">
        <f>C34</f>
        <v>1800000</v>
      </c>
      <c r="D37" s="181">
        <f>D34</f>
        <v>0</v>
      </c>
      <c r="E37" s="181">
        <f>E34+E36</f>
        <v>2500</v>
      </c>
      <c r="F37" s="181">
        <f aca="true" t="shared" si="5" ref="F37">F34</f>
        <v>0</v>
      </c>
      <c r="G37" s="181">
        <f>+G35+G33</f>
        <v>1802500</v>
      </c>
    </row>
    <row r="38" ht="15">
      <c r="G38" s="243"/>
    </row>
  </sheetData>
  <mergeCells count="5">
    <mergeCell ref="E11:E12"/>
    <mergeCell ref="C11:C12"/>
    <mergeCell ref="G11:G12"/>
    <mergeCell ref="D11:D12"/>
    <mergeCell ref="F11:F12"/>
  </mergeCells>
  <conditionalFormatting sqref="D37:G37">
    <cfRule type="cellIs" priority="2" dxfId="0" operator="equal" stopIfTrue="1">
      <formula>0</formula>
    </cfRule>
  </conditionalFormatting>
  <conditionalFormatting sqref="C37">
    <cfRule type="cellIs" priority="1" dxfId="0" operator="equal" stopIfTrue="1">
      <formula>0</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scale="72" r:id="rId1"/>
  <headerFooter>
    <oddHeader>&amp;C&amp;"-,Negrita"SHEDULE B</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showGridLines="0" zoomScale="115" zoomScaleNormal="115" workbookViewId="0" topLeftCell="A1">
      <selection activeCell="A28" sqref="A28:B28"/>
    </sheetView>
  </sheetViews>
  <sheetFormatPr defaultColWidth="11.421875" defaultRowHeight="15"/>
  <cols>
    <col min="1" max="1" width="73.421875" style="119" customWidth="1"/>
    <col min="2" max="2" width="38.421875" style="148" customWidth="1"/>
    <col min="3" max="256" width="9.140625" style="119" customWidth="1"/>
    <col min="257" max="257" width="73.421875" style="119" customWidth="1"/>
    <col min="258" max="258" width="24.421875" style="119" customWidth="1"/>
    <col min="259" max="512" width="9.140625" style="119" customWidth="1"/>
    <col min="513" max="513" width="73.421875" style="119" customWidth="1"/>
    <col min="514" max="514" width="24.421875" style="119" customWidth="1"/>
    <col min="515" max="768" width="9.140625" style="119" customWidth="1"/>
    <col min="769" max="769" width="73.421875" style="119" customWidth="1"/>
    <col min="770" max="770" width="24.421875" style="119" customWidth="1"/>
    <col min="771" max="1024" width="9.140625" style="119" customWidth="1"/>
    <col min="1025" max="1025" width="73.421875" style="119" customWidth="1"/>
    <col min="1026" max="1026" width="24.421875" style="119" customWidth="1"/>
    <col min="1027" max="1280" width="9.140625" style="119" customWidth="1"/>
    <col min="1281" max="1281" width="73.421875" style="119" customWidth="1"/>
    <col min="1282" max="1282" width="24.421875" style="119" customWidth="1"/>
    <col min="1283" max="1536" width="9.140625" style="119" customWidth="1"/>
    <col min="1537" max="1537" width="73.421875" style="119" customWidth="1"/>
    <col min="1538" max="1538" width="24.421875" style="119" customWidth="1"/>
    <col min="1539" max="1792" width="9.140625" style="119" customWidth="1"/>
    <col min="1793" max="1793" width="73.421875" style="119" customWidth="1"/>
    <col min="1794" max="1794" width="24.421875" style="119" customWidth="1"/>
    <col min="1795" max="2048" width="9.140625" style="119" customWidth="1"/>
    <col min="2049" max="2049" width="73.421875" style="119" customWidth="1"/>
    <col min="2050" max="2050" width="24.421875" style="119" customWidth="1"/>
    <col min="2051" max="2304" width="9.140625" style="119" customWidth="1"/>
    <col min="2305" max="2305" width="73.421875" style="119" customWidth="1"/>
    <col min="2306" max="2306" width="24.421875" style="119" customWidth="1"/>
    <col min="2307" max="2560" width="9.140625" style="119" customWidth="1"/>
    <col min="2561" max="2561" width="73.421875" style="119" customWidth="1"/>
    <col min="2562" max="2562" width="24.421875" style="119" customWidth="1"/>
    <col min="2563" max="2816" width="9.140625" style="119" customWidth="1"/>
    <col min="2817" max="2817" width="73.421875" style="119" customWidth="1"/>
    <col min="2818" max="2818" width="24.421875" style="119" customWidth="1"/>
    <col min="2819" max="3072" width="9.140625" style="119" customWidth="1"/>
    <col min="3073" max="3073" width="73.421875" style="119" customWidth="1"/>
    <col min="3074" max="3074" width="24.421875" style="119" customWidth="1"/>
    <col min="3075" max="3328" width="9.140625" style="119" customWidth="1"/>
    <col min="3329" max="3329" width="73.421875" style="119" customWidth="1"/>
    <col min="3330" max="3330" width="24.421875" style="119" customWidth="1"/>
    <col min="3331" max="3584" width="9.140625" style="119" customWidth="1"/>
    <col min="3585" max="3585" width="73.421875" style="119" customWidth="1"/>
    <col min="3586" max="3586" width="24.421875" style="119" customWidth="1"/>
    <col min="3587" max="3840" width="9.140625" style="119" customWidth="1"/>
    <col min="3841" max="3841" width="73.421875" style="119" customWidth="1"/>
    <col min="3842" max="3842" width="24.421875" style="119" customWidth="1"/>
    <col min="3843" max="4096" width="9.140625" style="119" customWidth="1"/>
    <col min="4097" max="4097" width="73.421875" style="119" customWidth="1"/>
    <col min="4098" max="4098" width="24.421875" style="119" customWidth="1"/>
    <col min="4099" max="4352" width="9.140625" style="119" customWidth="1"/>
    <col min="4353" max="4353" width="73.421875" style="119" customWidth="1"/>
    <col min="4354" max="4354" width="24.421875" style="119" customWidth="1"/>
    <col min="4355" max="4608" width="9.140625" style="119" customWidth="1"/>
    <col min="4609" max="4609" width="73.421875" style="119" customWidth="1"/>
    <col min="4610" max="4610" width="24.421875" style="119" customWidth="1"/>
    <col min="4611" max="4864" width="9.140625" style="119" customWidth="1"/>
    <col min="4865" max="4865" width="73.421875" style="119" customWidth="1"/>
    <col min="4866" max="4866" width="24.421875" style="119" customWidth="1"/>
    <col min="4867" max="5120" width="9.140625" style="119" customWidth="1"/>
    <col min="5121" max="5121" width="73.421875" style="119" customWidth="1"/>
    <col min="5122" max="5122" width="24.421875" style="119" customWidth="1"/>
    <col min="5123" max="5376" width="9.140625" style="119" customWidth="1"/>
    <col min="5377" max="5377" width="73.421875" style="119" customWidth="1"/>
    <col min="5378" max="5378" width="24.421875" style="119" customWidth="1"/>
    <col min="5379" max="5632" width="9.140625" style="119" customWidth="1"/>
    <col min="5633" max="5633" width="73.421875" style="119" customWidth="1"/>
    <col min="5634" max="5634" width="24.421875" style="119" customWidth="1"/>
    <col min="5635" max="5888" width="9.140625" style="119" customWidth="1"/>
    <col min="5889" max="5889" width="73.421875" style="119" customWidth="1"/>
    <col min="5890" max="5890" width="24.421875" style="119" customWidth="1"/>
    <col min="5891" max="6144" width="9.140625" style="119" customWidth="1"/>
    <col min="6145" max="6145" width="73.421875" style="119" customWidth="1"/>
    <col min="6146" max="6146" width="24.421875" style="119" customWidth="1"/>
    <col min="6147" max="6400" width="9.140625" style="119" customWidth="1"/>
    <col min="6401" max="6401" width="73.421875" style="119" customWidth="1"/>
    <col min="6402" max="6402" width="24.421875" style="119" customWidth="1"/>
    <col min="6403" max="6656" width="9.140625" style="119" customWidth="1"/>
    <col min="6657" max="6657" width="73.421875" style="119" customWidth="1"/>
    <col min="6658" max="6658" width="24.421875" style="119" customWidth="1"/>
    <col min="6659" max="6912" width="9.140625" style="119" customWidth="1"/>
    <col min="6913" max="6913" width="73.421875" style="119" customWidth="1"/>
    <col min="6914" max="6914" width="24.421875" style="119" customWidth="1"/>
    <col min="6915" max="7168" width="9.140625" style="119" customWidth="1"/>
    <col min="7169" max="7169" width="73.421875" style="119" customWidth="1"/>
    <col min="7170" max="7170" width="24.421875" style="119" customWidth="1"/>
    <col min="7171" max="7424" width="9.140625" style="119" customWidth="1"/>
    <col min="7425" max="7425" width="73.421875" style="119" customWidth="1"/>
    <col min="7426" max="7426" width="24.421875" style="119" customWidth="1"/>
    <col min="7427" max="7680" width="9.140625" style="119" customWidth="1"/>
    <col min="7681" max="7681" width="73.421875" style="119" customWidth="1"/>
    <col min="7682" max="7682" width="24.421875" style="119" customWidth="1"/>
    <col min="7683" max="7936" width="9.140625" style="119" customWidth="1"/>
    <col min="7937" max="7937" width="73.421875" style="119" customWidth="1"/>
    <col min="7938" max="7938" width="24.421875" style="119" customWidth="1"/>
    <col min="7939" max="8192" width="9.140625" style="119" customWidth="1"/>
    <col min="8193" max="8193" width="73.421875" style="119" customWidth="1"/>
    <col min="8194" max="8194" width="24.421875" style="119" customWidth="1"/>
    <col min="8195" max="8448" width="9.140625" style="119" customWidth="1"/>
    <col min="8449" max="8449" width="73.421875" style="119" customWidth="1"/>
    <col min="8450" max="8450" width="24.421875" style="119" customWidth="1"/>
    <col min="8451" max="8704" width="9.140625" style="119" customWidth="1"/>
    <col min="8705" max="8705" width="73.421875" style="119" customWidth="1"/>
    <col min="8706" max="8706" width="24.421875" style="119" customWidth="1"/>
    <col min="8707" max="8960" width="9.140625" style="119" customWidth="1"/>
    <col min="8961" max="8961" width="73.421875" style="119" customWidth="1"/>
    <col min="8962" max="8962" width="24.421875" style="119" customWidth="1"/>
    <col min="8963" max="9216" width="9.140625" style="119" customWidth="1"/>
    <col min="9217" max="9217" width="73.421875" style="119" customWidth="1"/>
    <col min="9218" max="9218" width="24.421875" style="119" customWidth="1"/>
    <col min="9219" max="9472" width="9.140625" style="119" customWidth="1"/>
    <col min="9473" max="9473" width="73.421875" style="119" customWidth="1"/>
    <col min="9474" max="9474" width="24.421875" style="119" customWidth="1"/>
    <col min="9475" max="9728" width="9.140625" style="119" customWidth="1"/>
    <col min="9729" max="9729" width="73.421875" style="119" customWidth="1"/>
    <col min="9730" max="9730" width="24.421875" style="119" customWidth="1"/>
    <col min="9731" max="9984" width="9.140625" style="119" customWidth="1"/>
    <col min="9985" max="9985" width="73.421875" style="119" customWidth="1"/>
    <col min="9986" max="9986" width="24.421875" style="119" customWidth="1"/>
    <col min="9987" max="10240" width="9.140625" style="119" customWidth="1"/>
    <col min="10241" max="10241" width="73.421875" style="119" customWidth="1"/>
    <col min="10242" max="10242" width="24.421875" style="119" customWidth="1"/>
    <col min="10243" max="10496" width="9.140625" style="119" customWidth="1"/>
    <col min="10497" max="10497" width="73.421875" style="119" customWidth="1"/>
    <col min="10498" max="10498" width="24.421875" style="119" customWidth="1"/>
    <col min="10499" max="10752" width="9.140625" style="119" customWidth="1"/>
    <col min="10753" max="10753" width="73.421875" style="119" customWidth="1"/>
    <col min="10754" max="10754" width="24.421875" style="119" customWidth="1"/>
    <col min="10755" max="11008" width="9.140625" style="119" customWidth="1"/>
    <col min="11009" max="11009" width="73.421875" style="119" customWidth="1"/>
    <col min="11010" max="11010" width="24.421875" style="119" customWidth="1"/>
    <col min="11011" max="11264" width="9.140625" style="119" customWidth="1"/>
    <col min="11265" max="11265" width="73.421875" style="119" customWidth="1"/>
    <col min="11266" max="11266" width="24.421875" style="119" customWidth="1"/>
    <col min="11267" max="11520" width="9.140625" style="119" customWidth="1"/>
    <col min="11521" max="11521" width="73.421875" style="119" customWidth="1"/>
    <col min="11522" max="11522" width="24.421875" style="119" customWidth="1"/>
    <col min="11523" max="11776" width="9.140625" style="119" customWidth="1"/>
    <col min="11777" max="11777" width="73.421875" style="119" customWidth="1"/>
    <col min="11778" max="11778" width="24.421875" style="119" customWidth="1"/>
    <col min="11779" max="12032" width="9.140625" style="119" customWidth="1"/>
    <col min="12033" max="12033" width="73.421875" style="119" customWidth="1"/>
    <col min="12034" max="12034" width="24.421875" style="119" customWidth="1"/>
    <col min="12035" max="12288" width="9.140625" style="119" customWidth="1"/>
    <col min="12289" max="12289" width="73.421875" style="119" customWidth="1"/>
    <col min="12290" max="12290" width="24.421875" style="119" customWidth="1"/>
    <col min="12291" max="12544" width="9.140625" style="119" customWidth="1"/>
    <col min="12545" max="12545" width="73.421875" style="119" customWidth="1"/>
    <col min="12546" max="12546" width="24.421875" style="119" customWidth="1"/>
    <col min="12547" max="12800" width="9.140625" style="119" customWidth="1"/>
    <col min="12801" max="12801" width="73.421875" style="119" customWidth="1"/>
    <col min="12802" max="12802" width="24.421875" style="119" customWidth="1"/>
    <col min="12803" max="13056" width="9.140625" style="119" customWidth="1"/>
    <col min="13057" max="13057" width="73.421875" style="119" customWidth="1"/>
    <col min="13058" max="13058" width="24.421875" style="119" customWidth="1"/>
    <col min="13059" max="13312" width="9.140625" style="119" customWidth="1"/>
    <col min="13313" max="13313" width="73.421875" style="119" customWidth="1"/>
    <col min="13314" max="13314" width="24.421875" style="119" customWidth="1"/>
    <col min="13315" max="13568" width="9.140625" style="119" customWidth="1"/>
    <col min="13569" max="13569" width="73.421875" style="119" customWidth="1"/>
    <col min="13570" max="13570" width="24.421875" style="119" customWidth="1"/>
    <col min="13571" max="13824" width="9.140625" style="119" customWidth="1"/>
    <col min="13825" max="13825" width="73.421875" style="119" customWidth="1"/>
    <col min="13826" max="13826" width="24.421875" style="119" customWidth="1"/>
    <col min="13827" max="14080" width="9.140625" style="119" customWidth="1"/>
    <col min="14081" max="14081" width="73.421875" style="119" customWidth="1"/>
    <col min="14082" max="14082" width="24.421875" style="119" customWidth="1"/>
    <col min="14083" max="14336" width="9.140625" style="119" customWidth="1"/>
    <col min="14337" max="14337" width="73.421875" style="119" customWidth="1"/>
    <col min="14338" max="14338" width="24.421875" style="119" customWidth="1"/>
    <col min="14339" max="14592" width="9.140625" style="119" customWidth="1"/>
    <col min="14593" max="14593" width="73.421875" style="119" customWidth="1"/>
    <col min="14594" max="14594" width="24.421875" style="119" customWidth="1"/>
    <col min="14595" max="14848" width="9.140625" style="119" customWidth="1"/>
    <col min="14849" max="14849" width="73.421875" style="119" customWidth="1"/>
    <col min="14850" max="14850" width="24.421875" style="119" customWidth="1"/>
    <col min="14851" max="15104" width="9.140625" style="119" customWidth="1"/>
    <col min="15105" max="15105" width="73.421875" style="119" customWidth="1"/>
    <col min="15106" max="15106" width="24.421875" style="119" customWidth="1"/>
    <col min="15107" max="15360" width="9.140625" style="119" customWidth="1"/>
    <col min="15361" max="15361" width="73.421875" style="119" customWidth="1"/>
    <col min="15362" max="15362" width="24.421875" style="119" customWidth="1"/>
    <col min="15363" max="15616" width="9.140625" style="119" customWidth="1"/>
    <col min="15617" max="15617" width="73.421875" style="119" customWidth="1"/>
    <col min="15618" max="15618" width="24.421875" style="119" customWidth="1"/>
    <col min="15619" max="15872" width="9.140625" style="119" customWidth="1"/>
    <col min="15873" max="15873" width="73.421875" style="119" customWidth="1"/>
    <col min="15874" max="15874" width="24.421875" style="119" customWidth="1"/>
    <col min="15875" max="16128" width="9.140625" style="119" customWidth="1"/>
    <col min="16129" max="16129" width="73.421875" style="119" customWidth="1"/>
    <col min="16130" max="16130" width="24.421875" style="119" customWidth="1"/>
    <col min="16131" max="16384" width="9.140625" style="119" customWidth="1"/>
  </cols>
  <sheetData>
    <row r="1" spans="1:2" ht="15.75">
      <c r="A1" s="117" t="s">
        <v>35</v>
      </c>
      <c r="B1" s="118"/>
    </row>
    <row r="2" spans="1:2" ht="15.75">
      <c r="A2" s="120"/>
      <c r="B2" s="121"/>
    </row>
    <row r="3" spans="1:2" ht="16.5" thickBot="1">
      <c r="A3" s="435" t="s">
        <v>36</v>
      </c>
      <c r="B3" s="436"/>
    </row>
    <row r="4" spans="1:2" ht="15">
      <c r="A4" s="122" t="s">
        <v>37</v>
      </c>
      <c r="B4" s="123" t="s">
        <v>67</v>
      </c>
    </row>
    <row r="5" spans="1:3" ht="30" customHeight="1">
      <c r="A5" s="124" t="s">
        <v>38</v>
      </c>
      <c r="B5" s="125" t="s">
        <v>264</v>
      </c>
      <c r="C5" s="126"/>
    </row>
    <row r="6" spans="1:2" ht="15">
      <c r="A6" s="127" t="s">
        <v>39</v>
      </c>
      <c r="B6" s="128" t="s">
        <v>265</v>
      </c>
    </row>
    <row r="7" spans="1:2" ht="15">
      <c r="A7" s="129" t="s">
        <v>40</v>
      </c>
      <c r="B7" s="128" t="s">
        <v>69</v>
      </c>
    </row>
    <row r="8" spans="1:2" ht="15">
      <c r="A8" s="124" t="s">
        <v>41</v>
      </c>
      <c r="B8" s="130" t="s">
        <v>68</v>
      </c>
    </row>
    <row r="9" spans="1:2" ht="15">
      <c r="A9" s="124" t="s">
        <v>42</v>
      </c>
      <c r="B9" s="128" t="s">
        <v>226</v>
      </c>
    </row>
    <row r="10" spans="1:2" ht="15">
      <c r="A10" s="124" t="s">
        <v>43</v>
      </c>
      <c r="B10" s="131">
        <v>43361</v>
      </c>
    </row>
    <row r="11" spans="1:2" ht="15">
      <c r="A11" s="124" t="s">
        <v>44</v>
      </c>
      <c r="B11" s="131">
        <v>43374</v>
      </c>
    </row>
    <row r="12" spans="1:2" ht="15">
      <c r="A12" s="124" t="s">
        <v>45</v>
      </c>
      <c r="B12" s="131">
        <v>43465</v>
      </c>
    </row>
    <row r="13" spans="1:2" ht="15">
      <c r="A13" s="124" t="s">
        <v>46</v>
      </c>
      <c r="B13" s="128">
        <v>10</v>
      </c>
    </row>
    <row r="14" spans="1:2" ht="15">
      <c r="A14" s="132" t="s">
        <v>47</v>
      </c>
      <c r="B14" s="128" t="s">
        <v>48</v>
      </c>
    </row>
    <row r="15" spans="1:2" ht="25.5">
      <c r="A15" s="133" t="s">
        <v>49</v>
      </c>
      <c r="B15" s="128"/>
    </row>
    <row r="16" spans="1:6" ht="32.25" customHeight="1">
      <c r="A16" s="437" t="s">
        <v>132</v>
      </c>
      <c r="B16" s="438"/>
      <c r="C16" s="229"/>
      <c r="D16" s="229"/>
      <c r="E16" s="229"/>
      <c r="F16" s="229"/>
    </row>
    <row r="17" spans="1:2" ht="18.75" customHeight="1">
      <c r="A17" s="124" t="s">
        <v>50</v>
      </c>
      <c r="B17" s="328">
        <f>+'DFP-CASH'!H54</f>
        <v>3157947.57975</v>
      </c>
    </row>
    <row r="18" spans="1:2" ht="20.25" customHeight="1">
      <c r="A18" s="124" t="s">
        <v>51</v>
      </c>
      <c r="B18" s="134"/>
    </row>
    <row r="19" spans="1:2" ht="18.75" customHeight="1">
      <c r="A19" s="124" t="s">
        <v>52</v>
      </c>
      <c r="B19" s="135"/>
    </row>
    <row r="20" spans="1:2" ht="18.75" customHeight="1">
      <c r="A20" s="124" t="s">
        <v>53</v>
      </c>
      <c r="B20" s="134">
        <v>0</v>
      </c>
    </row>
    <row r="21" spans="1:2" ht="18.75" customHeight="1">
      <c r="A21" s="124" t="s">
        <v>54</v>
      </c>
      <c r="B21" s="328">
        <f>B17+B18+B19-B20</f>
        <v>3157947.57975</v>
      </c>
    </row>
    <row r="22" spans="1:2" ht="37.5" customHeight="1">
      <c r="A22" s="124" t="s">
        <v>55</v>
      </c>
      <c r="B22" s="337" t="s">
        <v>288</v>
      </c>
    </row>
    <row r="23" spans="1:2" ht="39.95" customHeight="1">
      <c r="A23" s="439" t="s">
        <v>56</v>
      </c>
      <c r="B23" s="439"/>
    </row>
    <row r="24" spans="1:2" ht="58.5" customHeight="1">
      <c r="A24" s="439" t="s">
        <v>57</v>
      </c>
      <c r="B24" s="439"/>
    </row>
    <row r="25" spans="1:2" ht="33" customHeight="1">
      <c r="A25" s="439" t="s">
        <v>58</v>
      </c>
      <c r="B25" s="440"/>
    </row>
    <row r="26" spans="1:2" ht="50.1" customHeight="1">
      <c r="A26" s="439" t="s">
        <v>250</v>
      </c>
      <c r="B26" s="439"/>
    </row>
    <row r="27" spans="1:2" ht="20.1" customHeight="1">
      <c r="A27" s="136"/>
      <c r="B27" s="137"/>
    </row>
    <row r="28" spans="1:2" ht="20.1" customHeight="1">
      <c r="A28" s="431" t="s">
        <v>267</v>
      </c>
      <c r="B28" s="432"/>
    </row>
    <row r="29" spans="1:2" ht="42.6" customHeight="1">
      <c r="A29" s="138" t="s">
        <v>59</v>
      </c>
      <c r="B29" s="139"/>
    </row>
    <row r="30" spans="1:2" ht="20.1" customHeight="1">
      <c r="A30" s="138" t="s">
        <v>262</v>
      </c>
      <c r="B30" s="139"/>
    </row>
    <row r="31" spans="1:2" ht="20.1" customHeight="1">
      <c r="A31" s="322" t="s">
        <v>287</v>
      </c>
      <c r="B31" s="139"/>
    </row>
    <row r="32" spans="1:2" ht="20.1" customHeight="1">
      <c r="A32" s="140"/>
      <c r="B32" s="141"/>
    </row>
    <row r="33" spans="1:2" ht="20.1" customHeight="1">
      <c r="A33" s="433" t="s">
        <v>266</v>
      </c>
      <c r="B33" s="434"/>
    </row>
    <row r="34" spans="1:2" ht="20.1" customHeight="1">
      <c r="A34" s="138" t="s">
        <v>59</v>
      </c>
      <c r="B34" s="139"/>
    </row>
    <row r="35" spans="1:2" ht="20.1" customHeight="1">
      <c r="A35" s="336" t="s">
        <v>263</v>
      </c>
      <c r="B35" s="139"/>
    </row>
    <row r="36" spans="1:2" ht="20.1" customHeight="1">
      <c r="A36" s="138" t="s">
        <v>60</v>
      </c>
      <c r="B36" s="139"/>
    </row>
    <row r="37" spans="1:2" ht="20.1" customHeight="1">
      <c r="A37" s="140"/>
      <c r="B37" s="141"/>
    </row>
    <row r="38" spans="1:2" ht="3.6" customHeight="1">
      <c r="A38" s="136"/>
      <c r="B38" s="137"/>
    </row>
    <row r="39" spans="1:2" ht="14.45" customHeight="1">
      <c r="A39" s="431"/>
      <c r="B39" s="432"/>
    </row>
    <row r="40" spans="1:2" ht="20.1" customHeight="1">
      <c r="A40" s="140" t="s">
        <v>59</v>
      </c>
      <c r="B40" s="139"/>
    </row>
    <row r="41" spans="1:2" ht="20.1" customHeight="1" thickBot="1">
      <c r="A41" s="142" t="s">
        <v>61</v>
      </c>
      <c r="B41" s="139"/>
    </row>
    <row r="42" spans="1:2" ht="20.1" customHeight="1">
      <c r="A42" s="138" t="s">
        <v>234</v>
      </c>
      <c r="B42" s="139"/>
    </row>
    <row r="43" spans="1:2" ht="14.45" customHeight="1">
      <c r="A43" s="143"/>
      <c r="B43" s="141"/>
    </row>
    <row r="44" spans="1:2" ht="15">
      <c r="A44" s="144"/>
      <c r="B44" s="145"/>
    </row>
    <row r="45" spans="1:2" ht="15">
      <c r="A45" s="146"/>
      <c r="B45" s="147"/>
    </row>
  </sheetData>
  <mergeCells count="9">
    <mergeCell ref="A28:B28"/>
    <mergeCell ref="A33:B33"/>
    <mergeCell ref="A39:B39"/>
    <mergeCell ref="A3:B3"/>
    <mergeCell ref="A16:B16"/>
    <mergeCell ref="A23:B23"/>
    <mergeCell ref="A24:B24"/>
    <mergeCell ref="A25:B25"/>
    <mergeCell ref="A26:B26"/>
  </mergeCells>
  <printOptions horizontalCentered="1"/>
  <pageMargins left="0.4330708661417323" right="0.3937007874015748" top="0.5118110236220472" bottom="0.4330708661417323" header="0.2755905511811024" footer="0.2755905511811024"/>
  <pageSetup fitToHeight="1" fitToWidth="1" horizontalDpi="600" verticalDpi="600" orientation="portrait" scale="82"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Q166"/>
  <sheetViews>
    <sheetView showGridLines="0" zoomScale="115" zoomScaleNormal="115" workbookViewId="0" topLeftCell="A1">
      <pane xSplit="3" ySplit="3" topLeftCell="D4" activePane="bottomRight" state="frozen"/>
      <selection pane="topRight" activeCell="D1" sqref="D1"/>
      <selection pane="bottomLeft" activeCell="A4" sqref="A4"/>
      <selection pane="bottomRight" activeCell="C1" sqref="B1:C1048576"/>
    </sheetView>
  </sheetViews>
  <sheetFormatPr defaultColWidth="8.8515625" defaultRowHeight="15" outlineLevelRow="1"/>
  <cols>
    <col min="1" max="1" width="5.140625" style="0" customWidth="1"/>
    <col min="2" max="2" width="12.140625" style="0" hidden="1" customWidth="1"/>
    <col min="3" max="3" width="43.57421875" style="0" hidden="1" customWidth="1"/>
    <col min="4" max="4" width="18.421875" style="0" customWidth="1"/>
    <col min="5" max="5" width="15.140625" style="0" customWidth="1"/>
    <col min="6" max="6" width="12.421875" style="0" customWidth="1"/>
    <col min="7" max="7" width="10.8515625" style="0" bestFit="1" customWidth="1"/>
    <col min="8" max="8" width="10.8515625" style="314" bestFit="1" customWidth="1"/>
    <col min="9" max="11" width="11.00390625" style="0" bestFit="1" customWidth="1"/>
    <col min="12" max="12" width="11.57421875" style="0" bestFit="1" customWidth="1"/>
    <col min="13" max="14" width="11.00390625" style="0" bestFit="1" customWidth="1"/>
    <col min="15" max="16" width="10.57421875" style="0" bestFit="1" customWidth="1"/>
    <col min="17" max="19" width="10.421875" style="0" customWidth="1"/>
    <col min="20" max="20" width="10.8515625" style="0" bestFit="1" customWidth="1"/>
    <col min="21" max="21" width="10.8515625" style="297" bestFit="1" customWidth="1"/>
    <col min="22" max="24" width="10.8515625" style="297" customWidth="1"/>
    <col min="25" max="25" width="13.00390625" style="0" customWidth="1"/>
    <col min="26" max="27" width="14.00390625" style="0" customWidth="1"/>
    <col min="28" max="28" width="11.00390625" style="0" customWidth="1"/>
    <col min="29" max="30" width="10.8515625" style="0" bestFit="1" customWidth="1"/>
    <col min="31" max="31" width="11.57421875" style="0" bestFit="1" customWidth="1"/>
    <col min="32" max="32" width="11.8515625" style="0" bestFit="1" customWidth="1"/>
    <col min="33" max="33" width="13.8515625" style="0" customWidth="1"/>
    <col min="34" max="34" width="13.7109375" style="0" bestFit="1" customWidth="1"/>
    <col min="35" max="35" width="11.8515625" style="0" bestFit="1" customWidth="1"/>
    <col min="36" max="36" width="16.57421875" style="0" customWidth="1"/>
    <col min="37" max="37" width="16.7109375" style="0" customWidth="1"/>
    <col min="38" max="38" width="13.140625" style="0" bestFit="1" customWidth="1"/>
    <col min="39" max="39" width="12.421875" style="0" customWidth="1"/>
    <col min="40" max="42" width="13.8515625" style="0" bestFit="1" customWidth="1"/>
    <col min="43" max="43" width="13.140625" style="0" bestFit="1" customWidth="1"/>
    <col min="44" max="44" width="13.421875" style="297" bestFit="1" customWidth="1"/>
    <col min="45" max="45" width="13.140625" style="297" bestFit="1" customWidth="1"/>
    <col min="46" max="46" width="13.421875" style="297" bestFit="1" customWidth="1"/>
    <col min="47" max="47" width="12.140625" style="297" customWidth="1"/>
    <col min="48" max="49" width="11.421875" style="0" customWidth="1"/>
    <col min="50" max="50" width="11.8515625" style="0" bestFit="1" customWidth="1"/>
    <col min="51" max="51" width="14.57421875" style="0" bestFit="1" customWidth="1"/>
    <col min="52" max="52" width="11.8515625" style="0" bestFit="1" customWidth="1"/>
    <col min="53" max="53" width="13.421875" style="0" bestFit="1" customWidth="1"/>
    <col min="54" max="54" width="13.140625" style="0" bestFit="1" customWidth="1"/>
    <col min="55" max="55" width="13.421875" style="0" bestFit="1" customWidth="1"/>
    <col min="56" max="56" width="14.140625" style="0" bestFit="1" customWidth="1"/>
    <col min="57" max="57" width="11.8515625" style="0" bestFit="1" customWidth="1"/>
    <col min="58" max="63" width="13.140625" style="0" bestFit="1" customWidth="1"/>
    <col min="64" max="66" width="14.421875" style="297" customWidth="1"/>
    <col min="67" max="67" width="14.140625" style="0" customWidth="1"/>
    <col min="68" max="68" width="10.57421875" style="0" bestFit="1" customWidth="1"/>
  </cols>
  <sheetData>
    <row r="1" spans="4:62" ht="15">
      <c r="D1" s="234">
        <f>SUM(D2:D111)</f>
        <v>25860689.09</v>
      </c>
      <c r="F1" t="s">
        <v>163</v>
      </c>
      <c r="X1" s="297" t="s">
        <v>270</v>
      </c>
      <c r="Y1" t="s">
        <v>177</v>
      </c>
      <c r="AB1" s="239" t="s">
        <v>205</v>
      </c>
      <c r="AC1" s="239"/>
      <c r="AD1" s="239"/>
      <c r="AE1" s="239"/>
      <c r="AF1" s="239"/>
      <c r="AG1" s="239"/>
      <c r="AH1" s="239"/>
      <c r="AI1" s="239"/>
      <c r="AJ1" s="239"/>
      <c r="AK1" s="239"/>
      <c r="AL1" s="239"/>
      <c r="AM1" s="239"/>
      <c r="AN1" s="239"/>
      <c r="AO1" s="239"/>
      <c r="AP1" s="239"/>
      <c r="AQ1" s="240"/>
      <c r="AR1" s="239"/>
      <c r="AS1" s="240"/>
      <c r="AT1" s="239" t="s">
        <v>270</v>
      </c>
      <c r="AU1" s="240"/>
      <c r="AV1" s="239" t="s">
        <v>206</v>
      </c>
      <c r="AW1" s="239"/>
      <c r="AX1" s="239"/>
      <c r="AY1" s="239"/>
      <c r="AZ1" s="239"/>
      <c r="BA1" s="239"/>
      <c r="BB1" s="239"/>
      <c r="BC1" s="239"/>
      <c r="BD1" s="239"/>
      <c r="BE1" s="239"/>
      <c r="BF1" s="239"/>
      <c r="BG1" s="239"/>
      <c r="BH1" s="239"/>
      <c r="BI1" s="239"/>
      <c r="BJ1" s="239"/>
    </row>
    <row r="2" spans="1:67" ht="15">
      <c r="A2" t="s">
        <v>139</v>
      </c>
      <c r="D2" t="s">
        <v>161</v>
      </c>
      <c r="F2" s="360">
        <v>42552</v>
      </c>
      <c r="G2" s="360">
        <v>42644</v>
      </c>
      <c r="H2" s="361">
        <v>42736</v>
      </c>
      <c r="I2" s="360">
        <v>42826</v>
      </c>
      <c r="J2" s="360">
        <v>42917</v>
      </c>
      <c r="K2" s="360">
        <v>43009</v>
      </c>
      <c r="L2" s="360">
        <v>43101</v>
      </c>
      <c r="M2" s="360">
        <v>43191</v>
      </c>
      <c r="N2" s="360">
        <v>43282</v>
      </c>
      <c r="O2" s="360">
        <v>43374</v>
      </c>
      <c r="P2" s="360">
        <v>43466</v>
      </c>
      <c r="Q2" s="360">
        <v>43556</v>
      </c>
      <c r="R2" s="360">
        <v>43647</v>
      </c>
      <c r="S2" s="360">
        <v>43739</v>
      </c>
      <c r="T2" s="360">
        <v>43831</v>
      </c>
      <c r="U2" s="360">
        <v>43922</v>
      </c>
      <c r="V2" s="360">
        <v>44013</v>
      </c>
      <c r="W2" s="360">
        <v>44105</v>
      </c>
      <c r="X2" s="360">
        <v>44197</v>
      </c>
      <c r="Y2" s="380"/>
      <c r="Z2" s="380"/>
      <c r="AA2" s="380"/>
      <c r="AB2" s="381">
        <v>42552</v>
      </c>
      <c r="AC2" s="381">
        <v>42644</v>
      </c>
      <c r="AD2" s="381">
        <v>42736</v>
      </c>
      <c r="AE2" s="381">
        <v>42826</v>
      </c>
      <c r="AF2" s="381">
        <v>42917</v>
      </c>
      <c r="AG2" s="381">
        <v>43009</v>
      </c>
      <c r="AH2" s="381">
        <v>43101</v>
      </c>
      <c r="AI2" s="381">
        <v>43191</v>
      </c>
      <c r="AJ2" s="381">
        <v>43282</v>
      </c>
      <c r="AK2" s="381">
        <v>43374</v>
      </c>
      <c r="AL2" s="381">
        <v>43466</v>
      </c>
      <c r="AM2" s="381">
        <v>43556</v>
      </c>
      <c r="AN2" s="381">
        <v>43647</v>
      </c>
      <c r="AO2" s="381">
        <v>43739</v>
      </c>
      <c r="AP2" s="381">
        <v>43831</v>
      </c>
      <c r="AQ2" s="381">
        <v>43922</v>
      </c>
      <c r="AR2" s="381">
        <v>44013</v>
      </c>
      <c r="AS2" s="381">
        <v>44105</v>
      </c>
      <c r="AT2" s="381">
        <v>44197</v>
      </c>
      <c r="AU2" s="381"/>
      <c r="AV2" s="381">
        <v>42552</v>
      </c>
      <c r="AW2" s="381">
        <v>42644</v>
      </c>
      <c r="AX2" s="381">
        <v>42736</v>
      </c>
      <c r="AY2" s="381">
        <v>42826</v>
      </c>
      <c r="AZ2" s="381">
        <v>42917</v>
      </c>
      <c r="BA2" s="381">
        <v>43009</v>
      </c>
      <c r="BB2" s="381">
        <v>43101</v>
      </c>
      <c r="BC2" s="381">
        <v>43191</v>
      </c>
      <c r="BD2" s="381">
        <v>43282</v>
      </c>
      <c r="BE2" s="381">
        <v>43374</v>
      </c>
      <c r="BF2" s="381">
        <v>43466</v>
      </c>
      <c r="BG2" s="381">
        <v>43556</v>
      </c>
      <c r="BH2" s="381">
        <v>43647</v>
      </c>
      <c r="BI2" s="381">
        <v>43739</v>
      </c>
      <c r="BJ2" s="381">
        <v>43831</v>
      </c>
      <c r="BK2" s="381">
        <v>43922</v>
      </c>
      <c r="BL2" s="381">
        <v>44013</v>
      </c>
      <c r="BM2" s="381">
        <v>44105</v>
      </c>
      <c r="BN2" s="381">
        <v>44197</v>
      </c>
      <c r="BO2" t="s">
        <v>213</v>
      </c>
    </row>
    <row r="3" spans="1:66" ht="15">
      <c r="A3" s="297" t="s">
        <v>139</v>
      </c>
      <c r="C3" s="297"/>
      <c r="E3" t="s">
        <v>162</v>
      </c>
      <c r="F3" s="380" t="s">
        <v>160</v>
      </c>
      <c r="G3" s="380" t="s">
        <v>164</v>
      </c>
      <c r="H3" s="382" t="s">
        <v>165</v>
      </c>
      <c r="I3" s="380" t="s">
        <v>166</v>
      </c>
      <c r="J3" s="380" t="s">
        <v>167</v>
      </c>
      <c r="K3" s="383" t="s">
        <v>168</v>
      </c>
      <c r="L3" s="380" t="s">
        <v>169</v>
      </c>
      <c r="M3" s="380" t="s">
        <v>170</v>
      </c>
      <c r="N3" s="380" t="s">
        <v>171</v>
      </c>
      <c r="O3" s="380" t="s">
        <v>172</v>
      </c>
      <c r="P3" s="380" t="s">
        <v>173</v>
      </c>
      <c r="Q3" s="380" t="s">
        <v>174</v>
      </c>
      <c r="R3" s="380" t="s">
        <v>175</v>
      </c>
      <c r="S3" s="380" t="s">
        <v>176</v>
      </c>
      <c r="T3" s="380" t="s">
        <v>178</v>
      </c>
      <c r="U3" s="384" t="s">
        <v>261</v>
      </c>
      <c r="V3" s="380" t="s">
        <v>268</v>
      </c>
      <c r="W3" s="380" t="s">
        <v>269</v>
      </c>
      <c r="X3" s="380"/>
      <c r="Y3" s="380"/>
      <c r="Z3" s="380"/>
      <c r="AA3" s="380"/>
      <c r="AB3" s="385" t="s">
        <v>160</v>
      </c>
      <c r="AC3" s="385" t="s">
        <v>164</v>
      </c>
      <c r="AD3" s="385" t="s">
        <v>165</v>
      </c>
      <c r="AE3" s="385" t="s">
        <v>166</v>
      </c>
      <c r="AF3" s="385" t="s">
        <v>167</v>
      </c>
      <c r="AG3" s="385" t="s">
        <v>168</v>
      </c>
      <c r="AH3" s="385" t="s">
        <v>169</v>
      </c>
      <c r="AI3" s="385" t="s">
        <v>170</v>
      </c>
      <c r="AJ3" s="385" t="s">
        <v>171</v>
      </c>
      <c r="AK3" s="385" t="s">
        <v>172</v>
      </c>
      <c r="AL3" s="385" t="s">
        <v>173</v>
      </c>
      <c r="AM3" s="385" t="s">
        <v>174</v>
      </c>
      <c r="AN3" s="385" t="s">
        <v>175</v>
      </c>
      <c r="AO3" s="385" t="s">
        <v>176</v>
      </c>
      <c r="AP3" s="385" t="s">
        <v>178</v>
      </c>
      <c r="AQ3" s="385" t="s">
        <v>261</v>
      </c>
      <c r="AR3" s="385" t="s">
        <v>268</v>
      </c>
      <c r="AS3" s="385" t="s">
        <v>269</v>
      </c>
      <c r="AT3" s="385" t="s">
        <v>271</v>
      </c>
      <c r="AU3" s="386"/>
      <c r="AV3" s="362" t="s">
        <v>160</v>
      </c>
      <c r="AW3" s="362" t="s">
        <v>164</v>
      </c>
      <c r="AX3" s="362" t="s">
        <v>165</v>
      </c>
      <c r="AY3" s="362" t="s">
        <v>166</v>
      </c>
      <c r="AZ3" s="362" t="s">
        <v>167</v>
      </c>
      <c r="BA3" s="362" t="s">
        <v>168</v>
      </c>
      <c r="BB3" s="362" t="s">
        <v>169</v>
      </c>
      <c r="BC3" s="362" t="s">
        <v>170</v>
      </c>
      <c r="BD3" s="362" t="s">
        <v>171</v>
      </c>
      <c r="BE3" s="362" t="s">
        <v>172</v>
      </c>
      <c r="BF3" s="362" t="s">
        <v>173</v>
      </c>
      <c r="BG3" s="362" t="s">
        <v>174</v>
      </c>
      <c r="BH3" s="362" t="s">
        <v>175</v>
      </c>
      <c r="BI3" s="362" t="s">
        <v>176</v>
      </c>
      <c r="BJ3" s="362" t="s">
        <v>178</v>
      </c>
      <c r="BK3" s="363" t="s">
        <v>261</v>
      </c>
      <c r="BL3" s="363"/>
      <c r="BM3" s="363"/>
      <c r="BN3" s="363"/>
    </row>
    <row r="4" spans="1:69" ht="15">
      <c r="A4" t="s">
        <v>140</v>
      </c>
      <c r="B4" s="245"/>
      <c r="C4" s="247"/>
      <c r="D4" s="369">
        <v>7593016.09</v>
      </c>
      <c r="E4" s="247" t="s">
        <v>211</v>
      </c>
      <c r="F4" s="347"/>
      <c r="G4" s="347"/>
      <c r="H4" s="347"/>
      <c r="I4" s="338">
        <v>0</v>
      </c>
      <c r="J4" s="338">
        <v>0.0955631399317406</v>
      </c>
      <c r="K4" s="338">
        <v>0.0819112619580923</v>
      </c>
      <c r="L4" s="375">
        <v>0.07508532357133461</v>
      </c>
      <c r="M4" s="338">
        <v>0</v>
      </c>
      <c r="N4" s="338">
        <v>0.0682593851845769</v>
      </c>
      <c r="O4" s="338">
        <v>0</v>
      </c>
      <c r="P4" s="338">
        <v>0</v>
      </c>
      <c r="Q4" s="338">
        <v>0.10238907849829353</v>
      </c>
      <c r="R4" s="338">
        <v>0.09556313993174062</v>
      </c>
      <c r="S4" s="338">
        <v>0.09556313993174062</v>
      </c>
      <c r="T4" s="338">
        <f>1-(S4+R4+Q4+P4+O4+N4+M4+L4+K4+J4+I4)</f>
        <v>0.3856655309924808</v>
      </c>
      <c r="U4" s="338"/>
      <c r="V4" s="338"/>
      <c r="W4" s="338"/>
      <c r="X4" s="338"/>
      <c r="Y4" s="342">
        <f>SUM(F4:X4)</f>
        <v>1</v>
      </c>
      <c r="Z4" s="247"/>
      <c r="AA4" s="247"/>
      <c r="AB4" s="244">
        <f aca="true" t="shared" si="0" ref="AB4:AB76">F4*$D4</f>
        <v>0</v>
      </c>
      <c r="AC4" s="244">
        <f aca="true" t="shared" si="1" ref="AC4:AC76">G4*$D4</f>
        <v>0</v>
      </c>
      <c r="AD4" s="244">
        <f aca="true" t="shared" si="2" ref="AD4:AD76">H4*$D4</f>
        <v>0</v>
      </c>
      <c r="AE4" s="244">
        <f aca="true" t="shared" si="3" ref="AE4:AE76">I4*$D4</f>
        <v>0</v>
      </c>
      <c r="AF4" s="364">
        <f>J4*$D4</f>
        <v>725612.4591126279</v>
      </c>
      <c r="AG4" s="364">
        <f>K4*$D4</f>
        <v>621953.5299999997</v>
      </c>
      <c r="AH4" s="364">
        <f aca="true" t="shared" si="4" ref="AH4:AH5">L4*$D4</f>
        <v>570124.07</v>
      </c>
      <c r="AI4" s="364">
        <f aca="true" t="shared" si="5" ref="AI4:AI5">M4*$D4</f>
        <v>0</v>
      </c>
      <c r="AJ4" s="364">
        <f aca="true" t="shared" si="6" ref="AJ4">N4*$D4</f>
        <v>518294.61000000004</v>
      </c>
      <c r="AK4" s="364">
        <f aca="true" t="shared" si="7" ref="AK4">O4*$D4</f>
        <v>0</v>
      </c>
      <c r="AL4" s="364">
        <f aca="true" t="shared" si="8" ref="AL4:AL76">P4*$D4</f>
        <v>0</v>
      </c>
      <c r="AM4" s="364">
        <f aca="true" t="shared" si="9" ref="AM4:AM76">Q4*$D4</f>
        <v>777441.9204778158</v>
      </c>
      <c r="AN4" s="364">
        <f aca="true" t="shared" si="10" ref="AN4:AN76">R4*$D4</f>
        <v>725612.459112628</v>
      </c>
      <c r="AO4" s="364">
        <f aca="true" t="shared" si="11" ref="AO4:AO76">S4*$D4</f>
        <v>725612.459112628</v>
      </c>
      <c r="AP4" s="364">
        <f aca="true" t="shared" si="12" ref="AP4:AP76">T4*$D4</f>
        <v>2928364.5821843003</v>
      </c>
      <c r="AQ4" s="244">
        <f aca="true" t="shared" si="13" ref="AQ4:AQ41">U4*$D4</f>
        <v>0</v>
      </c>
      <c r="AR4" s="364">
        <f aca="true" t="shared" si="14" ref="AR4:AR81">V4*$D4</f>
        <v>0</v>
      </c>
      <c r="AS4" s="244">
        <f aca="true" t="shared" si="15" ref="AS4:AS81">W4*$D4</f>
        <v>0</v>
      </c>
      <c r="AT4" s="364">
        <f aca="true" t="shared" si="16" ref="AT4:AT81">X4*$D4</f>
        <v>0</v>
      </c>
      <c r="AU4" s="244"/>
      <c r="AV4" s="244">
        <f aca="true" t="shared" si="17" ref="AV4:BL36">IF(AV$3=$E4,$D4,0)</f>
        <v>0</v>
      </c>
      <c r="AW4" s="244">
        <f t="shared" si="17"/>
        <v>0</v>
      </c>
      <c r="AX4" s="244">
        <f t="shared" si="17"/>
        <v>0</v>
      </c>
      <c r="AY4" s="244">
        <f t="shared" si="17"/>
        <v>7593016.09</v>
      </c>
      <c r="AZ4" s="244">
        <f t="shared" si="17"/>
        <v>0</v>
      </c>
      <c r="BA4" s="244">
        <f t="shared" si="17"/>
        <v>0</v>
      </c>
      <c r="BB4" s="244">
        <f t="shared" si="17"/>
        <v>0</v>
      </c>
      <c r="BC4" s="244">
        <f t="shared" si="17"/>
        <v>0</v>
      </c>
      <c r="BD4" s="244">
        <f t="shared" si="17"/>
        <v>0</v>
      </c>
      <c r="BE4" s="244">
        <f t="shared" si="17"/>
        <v>0</v>
      </c>
      <c r="BF4" s="244">
        <f t="shared" si="17"/>
        <v>0</v>
      </c>
      <c r="BG4" s="244">
        <f t="shared" si="17"/>
        <v>0</v>
      </c>
      <c r="BH4" s="244">
        <f t="shared" si="17"/>
        <v>0</v>
      </c>
      <c r="BI4" s="244">
        <f t="shared" si="17"/>
        <v>0</v>
      </c>
      <c r="BJ4" s="244">
        <f t="shared" si="17"/>
        <v>0</v>
      </c>
      <c r="BK4" s="244">
        <f t="shared" si="17"/>
        <v>0</v>
      </c>
      <c r="BL4" s="244">
        <f t="shared" si="17"/>
        <v>0</v>
      </c>
      <c r="BM4" s="244">
        <f aca="true" t="shared" si="18" ref="BL4:BN12">IF(BM$3=$E4,$D4,0)</f>
        <v>0</v>
      </c>
      <c r="BN4" s="244">
        <f t="shared" si="18"/>
        <v>0</v>
      </c>
      <c r="BO4" s="364">
        <f>SUM(AB4:AT4)-SUM(AV4:BN4)</f>
        <v>0</v>
      </c>
      <c r="BP4" s="312"/>
      <c r="BQ4" s="300"/>
    </row>
    <row r="5" spans="1:67" ht="15">
      <c r="A5" t="s">
        <v>140</v>
      </c>
      <c r="B5" s="245"/>
      <c r="C5" s="247"/>
      <c r="D5" s="369">
        <v>200000</v>
      </c>
      <c r="E5" s="247" t="s">
        <v>281</v>
      </c>
      <c r="F5" s="347"/>
      <c r="G5" s="347"/>
      <c r="H5" s="347"/>
      <c r="I5" s="338"/>
      <c r="J5" s="338"/>
      <c r="K5" s="338">
        <v>0</v>
      </c>
      <c r="L5" s="338">
        <v>0</v>
      </c>
      <c r="M5" s="338">
        <v>0</v>
      </c>
      <c r="N5" s="338">
        <v>0</v>
      </c>
      <c r="O5" s="338">
        <v>0</v>
      </c>
      <c r="P5" s="338">
        <v>1</v>
      </c>
      <c r="Q5" s="338"/>
      <c r="R5" s="338"/>
      <c r="S5" s="338"/>
      <c r="T5" s="338"/>
      <c r="U5" s="338"/>
      <c r="V5" s="338"/>
      <c r="W5" s="338"/>
      <c r="X5" s="338"/>
      <c r="Y5" s="342">
        <f>SUM(F5:X5)</f>
        <v>1</v>
      </c>
      <c r="Z5" s="247"/>
      <c r="AA5" s="247"/>
      <c r="AB5" s="244">
        <f t="shared" si="0"/>
        <v>0</v>
      </c>
      <c r="AC5" s="244">
        <f t="shared" si="1"/>
        <v>0</v>
      </c>
      <c r="AD5" s="244">
        <f t="shared" si="2"/>
        <v>0</v>
      </c>
      <c r="AE5" s="244">
        <f t="shared" si="3"/>
        <v>0</v>
      </c>
      <c r="AF5" s="364">
        <f>J5*$D5</f>
        <v>0</v>
      </c>
      <c r="AG5" s="364">
        <v>0</v>
      </c>
      <c r="AH5" s="364">
        <f t="shared" si="4"/>
        <v>0</v>
      </c>
      <c r="AI5" s="364">
        <f t="shared" si="5"/>
        <v>0</v>
      </c>
      <c r="AJ5" s="364">
        <f aca="true" t="shared" si="19" ref="AJ5:AJ76">N5*$D5</f>
        <v>0</v>
      </c>
      <c r="AK5" s="364">
        <f aca="true" t="shared" si="20" ref="AK5:AK76">O5*$D5</f>
        <v>0</v>
      </c>
      <c r="AL5" s="364">
        <f t="shared" si="8"/>
        <v>200000</v>
      </c>
      <c r="AM5" s="364">
        <f t="shared" si="9"/>
        <v>0</v>
      </c>
      <c r="AN5" s="364">
        <f t="shared" si="10"/>
        <v>0</v>
      </c>
      <c r="AO5" s="364">
        <f t="shared" si="11"/>
        <v>0</v>
      </c>
      <c r="AP5" s="364">
        <f t="shared" si="12"/>
        <v>0</v>
      </c>
      <c r="AQ5" s="244">
        <f t="shared" si="13"/>
        <v>0</v>
      </c>
      <c r="AR5" s="364">
        <f t="shared" si="14"/>
        <v>0</v>
      </c>
      <c r="AS5" s="244">
        <f t="shared" si="15"/>
        <v>0</v>
      </c>
      <c r="AT5" s="364">
        <f t="shared" si="16"/>
        <v>0</v>
      </c>
      <c r="AU5" s="244"/>
      <c r="AV5" s="244">
        <f t="shared" si="17"/>
        <v>0</v>
      </c>
      <c r="AW5" s="244">
        <f t="shared" si="17"/>
        <v>0</v>
      </c>
      <c r="AX5" s="244">
        <f t="shared" si="17"/>
        <v>0</v>
      </c>
      <c r="AY5" s="244">
        <f t="shared" si="17"/>
        <v>0</v>
      </c>
      <c r="AZ5" s="244">
        <f t="shared" si="17"/>
        <v>0</v>
      </c>
      <c r="BA5" s="244">
        <f t="shared" si="17"/>
        <v>0</v>
      </c>
      <c r="BB5" s="244">
        <f t="shared" si="17"/>
        <v>0</v>
      </c>
      <c r="BC5" s="244">
        <f t="shared" si="17"/>
        <v>0</v>
      </c>
      <c r="BD5" s="244">
        <f t="shared" si="17"/>
        <v>0</v>
      </c>
      <c r="BE5" s="244">
        <f t="shared" si="17"/>
        <v>0</v>
      </c>
      <c r="BF5" s="244">
        <f t="shared" si="17"/>
        <v>200000</v>
      </c>
      <c r="BG5" s="244">
        <f t="shared" si="17"/>
        <v>0</v>
      </c>
      <c r="BH5" s="244">
        <f t="shared" si="17"/>
        <v>0</v>
      </c>
      <c r="BI5" s="244">
        <f t="shared" si="17"/>
        <v>0</v>
      </c>
      <c r="BJ5" s="244">
        <f t="shared" si="17"/>
        <v>0</v>
      </c>
      <c r="BK5" s="244">
        <f t="shared" si="17"/>
        <v>0</v>
      </c>
      <c r="BL5" s="244">
        <f t="shared" si="18"/>
        <v>0</v>
      </c>
      <c r="BM5" s="244">
        <f t="shared" si="18"/>
        <v>0</v>
      </c>
      <c r="BN5" s="244">
        <f t="shared" si="18"/>
        <v>0</v>
      </c>
      <c r="BO5" s="244">
        <f>SUM(AB5:AT5)-SUM(AV5:BN5)</f>
        <v>0</v>
      </c>
    </row>
    <row r="6" spans="1:67" ht="15">
      <c r="A6" s="297" t="s">
        <v>141</v>
      </c>
      <c r="B6" s="245"/>
      <c r="C6" s="247"/>
      <c r="D6" s="369">
        <v>1866155</v>
      </c>
      <c r="E6" s="247" t="s">
        <v>259</v>
      </c>
      <c r="F6" s="347"/>
      <c r="G6" s="347"/>
      <c r="H6" s="347"/>
      <c r="I6" s="338"/>
      <c r="J6" s="338"/>
      <c r="K6" s="338"/>
      <c r="L6" s="338"/>
      <c r="M6" s="338"/>
      <c r="N6" s="338">
        <v>0.15</v>
      </c>
      <c r="O6" s="338">
        <v>0.15</v>
      </c>
      <c r="P6" s="338">
        <v>0.2</v>
      </c>
      <c r="Q6" s="338"/>
      <c r="R6" s="338">
        <v>0.2</v>
      </c>
      <c r="S6" s="338"/>
      <c r="T6" s="338">
        <v>0.2</v>
      </c>
      <c r="U6" s="338"/>
      <c r="V6" s="338">
        <v>0.05</v>
      </c>
      <c r="W6" s="338">
        <v>0.05</v>
      </c>
      <c r="X6" s="338"/>
      <c r="Y6" s="342">
        <f aca="true" t="shared" si="21" ref="Y6:Y71">SUM(F6:X6)</f>
        <v>1</v>
      </c>
      <c r="Z6" s="247"/>
      <c r="AA6" s="247"/>
      <c r="AB6" s="244">
        <f t="shared" si="0"/>
        <v>0</v>
      </c>
      <c r="AC6" s="244">
        <f t="shared" si="1"/>
        <v>0</v>
      </c>
      <c r="AD6" s="244">
        <f t="shared" si="2"/>
        <v>0</v>
      </c>
      <c r="AE6" s="244">
        <f t="shared" si="3"/>
        <v>0</v>
      </c>
      <c r="AF6" s="244">
        <f>J6*$D6</f>
        <v>0</v>
      </c>
      <c r="AG6" s="244">
        <f aca="true" t="shared" si="22" ref="AG6:AG76">K6*$D6</f>
        <v>0</v>
      </c>
      <c r="AH6" s="244">
        <f aca="true" t="shared" si="23" ref="AH6:AH76">L6*$D6</f>
        <v>0</v>
      </c>
      <c r="AI6" s="244">
        <f aca="true" t="shared" si="24" ref="AI6:AI76">M6*$D6</f>
        <v>0</v>
      </c>
      <c r="AJ6" s="244">
        <f t="shared" si="19"/>
        <v>279923.25</v>
      </c>
      <c r="AK6" s="364">
        <f t="shared" si="20"/>
        <v>279923.25</v>
      </c>
      <c r="AL6" s="244">
        <f t="shared" si="8"/>
        <v>373231</v>
      </c>
      <c r="AM6" s="244">
        <f t="shared" si="9"/>
        <v>0</v>
      </c>
      <c r="AN6" s="244">
        <f t="shared" si="10"/>
        <v>373231</v>
      </c>
      <c r="AO6" s="244">
        <f t="shared" si="11"/>
        <v>0</v>
      </c>
      <c r="AP6" s="244">
        <f t="shared" si="12"/>
        <v>373231</v>
      </c>
      <c r="AQ6" s="244">
        <f t="shared" si="13"/>
        <v>0</v>
      </c>
      <c r="AR6" s="244">
        <f t="shared" si="14"/>
        <v>93307.75</v>
      </c>
      <c r="AS6" s="244">
        <f t="shared" si="15"/>
        <v>93307.75</v>
      </c>
      <c r="AT6" s="244">
        <f t="shared" si="16"/>
        <v>0</v>
      </c>
      <c r="AU6" s="244"/>
      <c r="AV6" s="244">
        <f t="shared" si="17"/>
        <v>0</v>
      </c>
      <c r="AW6" s="244">
        <f t="shared" si="17"/>
        <v>0</v>
      </c>
      <c r="AX6" s="244">
        <f t="shared" si="17"/>
        <v>0</v>
      </c>
      <c r="AY6" s="244">
        <f t="shared" si="17"/>
        <v>0</v>
      </c>
      <c r="AZ6" s="244">
        <f t="shared" si="17"/>
        <v>0</v>
      </c>
      <c r="BA6" s="244">
        <f t="shared" si="17"/>
        <v>0</v>
      </c>
      <c r="BB6" s="244">
        <f t="shared" si="17"/>
        <v>0</v>
      </c>
      <c r="BC6" s="244">
        <f t="shared" si="17"/>
        <v>0</v>
      </c>
      <c r="BD6" s="244">
        <f t="shared" si="17"/>
        <v>1866155</v>
      </c>
      <c r="BE6" s="244">
        <f t="shared" si="17"/>
        <v>0</v>
      </c>
      <c r="BF6" s="244">
        <f t="shared" si="17"/>
        <v>0</v>
      </c>
      <c r="BG6" s="244">
        <f t="shared" si="17"/>
        <v>0</v>
      </c>
      <c r="BH6" s="244">
        <f t="shared" si="17"/>
        <v>0</v>
      </c>
      <c r="BI6" s="244">
        <f t="shared" si="17"/>
        <v>0</v>
      </c>
      <c r="BJ6" s="244">
        <f t="shared" si="17"/>
        <v>0</v>
      </c>
      <c r="BK6" s="244">
        <f t="shared" si="17"/>
        <v>0</v>
      </c>
      <c r="BL6" s="244">
        <f t="shared" si="18"/>
        <v>0</v>
      </c>
      <c r="BM6" s="244">
        <f t="shared" si="18"/>
        <v>0</v>
      </c>
      <c r="BN6" s="244">
        <f t="shared" si="18"/>
        <v>0</v>
      </c>
      <c r="BO6" s="244">
        <f>SUM(AB6:AT6)-SUM(AV6:BN6)</f>
        <v>0</v>
      </c>
    </row>
    <row r="7" spans="1:67" s="297" customFormat="1" ht="15">
      <c r="A7" s="297" t="s">
        <v>141</v>
      </c>
      <c r="B7" s="245"/>
      <c r="C7" s="247"/>
      <c r="D7" s="369">
        <v>972082.8300000002</v>
      </c>
      <c r="E7" s="247" t="s">
        <v>259</v>
      </c>
      <c r="F7" s="347"/>
      <c r="G7" s="347"/>
      <c r="H7" s="347"/>
      <c r="I7" s="338"/>
      <c r="J7" s="338"/>
      <c r="K7" s="338"/>
      <c r="L7" s="338"/>
      <c r="M7" s="338"/>
      <c r="N7" s="338">
        <v>0.15</v>
      </c>
      <c r="O7" s="338">
        <v>0.15</v>
      </c>
      <c r="P7" s="338">
        <v>0.2</v>
      </c>
      <c r="Q7" s="338"/>
      <c r="R7" s="338">
        <v>0.2</v>
      </c>
      <c r="S7" s="338"/>
      <c r="T7" s="338">
        <v>0.2</v>
      </c>
      <c r="U7" s="338"/>
      <c r="V7" s="338">
        <v>0.05</v>
      </c>
      <c r="W7" s="338">
        <v>0.05</v>
      </c>
      <c r="X7" s="338"/>
      <c r="Y7" s="342">
        <f t="shared" si="21"/>
        <v>1</v>
      </c>
      <c r="Z7" s="247"/>
      <c r="AA7" s="247"/>
      <c r="AB7" s="244">
        <f aca="true" t="shared" si="25" ref="AB7:AB8">F7*$D7</f>
        <v>0</v>
      </c>
      <c r="AC7" s="244">
        <f aca="true" t="shared" si="26" ref="AC7:AC8">G7*$D7</f>
        <v>0</v>
      </c>
      <c r="AD7" s="244">
        <f aca="true" t="shared" si="27" ref="AD7:AD8">H7*$D7</f>
        <v>0</v>
      </c>
      <c r="AE7" s="244">
        <f aca="true" t="shared" si="28" ref="AE7:AE8">I7*$D7</f>
        <v>0</v>
      </c>
      <c r="AF7" s="244">
        <f aca="true" t="shared" si="29" ref="AF7:AF8">J7*$D7</f>
        <v>0</v>
      </c>
      <c r="AG7" s="244">
        <f aca="true" t="shared" si="30" ref="AG7:AG8">K7*$D7</f>
        <v>0</v>
      </c>
      <c r="AH7" s="244">
        <f aca="true" t="shared" si="31" ref="AH7:AH8">L7*$D7</f>
        <v>0</v>
      </c>
      <c r="AI7" s="244">
        <f aca="true" t="shared" si="32" ref="AI7:AI8">M7*$D7</f>
        <v>0</v>
      </c>
      <c r="AJ7" s="244">
        <f aca="true" t="shared" si="33" ref="AJ7:AJ8">N7*$D7</f>
        <v>145812.42450000002</v>
      </c>
      <c r="AK7" s="364">
        <f aca="true" t="shared" si="34" ref="AK7:AK8">O7*$D7</f>
        <v>145812.42450000002</v>
      </c>
      <c r="AL7" s="244">
        <f aca="true" t="shared" si="35" ref="AL7:AL8">P7*$D7</f>
        <v>194416.56600000005</v>
      </c>
      <c r="AM7" s="244">
        <f aca="true" t="shared" si="36" ref="AM7:AM8">Q7*$D7</f>
        <v>0</v>
      </c>
      <c r="AN7" s="244">
        <f aca="true" t="shared" si="37" ref="AN7:AN8">R7*$D7</f>
        <v>194416.56600000005</v>
      </c>
      <c r="AO7" s="244">
        <f aca="true" t="shared" si="38" ref="AO7:AO8">S7*$D7</f>
        <v>0</v>
      </c>
      <c r="AP7" s="244">
        <f aca="true" t="shared" si="39" ref="AP7:AP8">T7*$D7</f>
        <v>194416.56600000005</v>
      </c>
      <c r="AQ7" s="244">
        <f aca="true" t="shared" si="40" ref="AQ7:AQ8">U7*$D7</f>
        <v>0</v>
      </c>
      <c r="AR7" s="244">
        <f aca="true" t="shared" si="41" ref="AR7:AR8">V7*$D7</f>
        <v>48604.14150000001</v>
      </c>
      <c r="AS7" s="244">
        <f aca="true" t="shared" si="42" ref="AS7:AS8">W7*$D7</f>
        <v>48604.14150000001</v>
      </c>
      <c r="AT7" s="244">
        <f aca="true" t="shared" si="43" ref="AT7:AT8">X7*$D7</f>
        <v>0</v>
      </c>
      <c r="AU7" s="244"/>
      <c r="AV7" s="244">
        <f aca="true" t="shared" si="44" ref="AV7:BK8">IF(AV$3=$E7,$D7,0)</f>
        <v>0</v>
      </c>
      <c r="AW7" s="244">
        <f t="shared" si="44"/>
        <v>0</v>
      </c>
      <c r="AX7" s="244">
        <f t="shared" si="44"/>
        <v>0</v>
      </c>
      <c r="AY7" s="244">
        <f t="shared" si="44"/>
        <v>0</v>
      </c>
      <c r="AZ7" s="244">
        <f t="shared" si="44"/>
        <v>0</v>
      </c>
      <c r="BA7" s="244">
        <f t="shared" si="44"/>
        <v>0</v>
      </c>
      <c r="BB7" s="244">
        <f t="shared" si="44"/>
        <v>0</v>
      </c>
      <c r="BC7" s="244">
        <f t="shared" si="44"/>
        <v>0</v>
      </c>
      <c r="BD7" s="244">
        <f t="shared" si="44"/>
        <v>972082.8300000002</v>
      </c>
      <c r="BE7" s="244">
        <f t="shared" si="44"/>
        <v>0</v>
      </c>
      <c r="BF7" s="244">
        <f t="shared" si="44"/>
        <v>0</v>
      </c>
      <c r="BG7" s="244">
        <f t="shared" si="44"/>
        <v>0</v>
      </c>
      <c r="BH7" s="244">
        <f t="shared" si="44"/>
        <v>0</v>
      </c>
      <c r="BI7" s="244">
        <f t="shared" si="44"/>
        <v>0</v>
      </c>
      <c r="BJ7" s="244">
        <f t="shared" si="44"/>
        <v>0</v>
      </c>
      <c r="BK7" s="244">
        <f t="shared" si="44"/>
        <v>0</v>
      </c>
      <c r="BL7" s="244">
        <f t="shared" si="18"/>
        <v>0</v>
      </c>
      <c r="BM7" s="244">
        <f t="shared" si="18"/>
        <v>0</v>
      </c>
      <c r="BN7" s="244">
        <f t="shared" si="18"/>
        <v>0</v>
      </c>
      <c r="BO7" s="244">
        <f aca="true" t="shared" si="45" ref="BO7:BO72">SUM(AB7:AT7)-SUM(AV7:BN7)</f>
        <v>0</v>
      </c>
    </row>
    <row r="8" spans="1:67" s="297" customFormat="1" ht="15">
      <c r="A8" s="297" t="s">
        <v>141</v>
      </c>
      <c r="B8" s="245"/>
      <c r="C8" s="247"/>
      <c r="D8" s="369">
        <v>1185760</v>
      </c>
      <c r="E8" s="247" t="s">
        <v>259</v>
      </c>
      <c r="F8" s="347"/>
      <c r="G8" s="347"/>
      <c r="H8" s="347"/>
      <c r="I8" s="338"/>
      <c r="J8" s="338"/>
      <c r="K8" s="338"/>
      <c r="L8" s="338"/>
      <c r="M8" s="338"/>
      <c r="N8" s="338">
        <v>0</v>
      </c>
      <c r="O8" s="338">
        <v>0.35</v>
      </c>
      <c r="P8" s="338">
        <v>0.17</v>
      </c>
      <c r="Q8" s="338"/>
      <c r="R8" s="338">
        <v>0.18</v>
      </c>
      <c r="S8" s="338"/>
      <c r="T8" s="338">
        <v>0.2</v>
      </c>
      <c r="U8" s="338"/>
      <c r="V8" s="338">
        <v>0.05</v>
      </c>
      <c r="W8" s="338">
        <v>0.05</v>
      </c>
      <c r="X8" s="338"/>
      <c r="Y8" s="342">
        <f t="shared" si="21"/>
        <v>1</v>
      </c>
      <c r="Z8" s="247"/>
      <c r="AA8" s="247"/>
      <c r="AB8" s="244">
        <f t="shared" si="25"/>
        <v>0</v>
      </c>
      <c r="AC8" s="244">
        <f t="shared" si="26"/>
        <v>0</v>
      </c>
      <c r="AD8" s="244">
        <f t="shared" si="27"/>
        <v>0</v>
      </c>
      <c r="AE8" s="244">
        <f t="shared" si="28"/>
        <v>0</v>
      </c>
      <c r="AF8" s="244">
        <f t="shared" si="29"/>
        <v>0</v>
      </c>
      <c r="AG8" s="244">
        <f t="shared" si="30"/>
        <v>0</v>
      </c>
      <c r="AH8" s="244">
        <f t="shared" si="31"/>
        <v>0</v>
      </c>
      <c r="AI8" s="244">
        <f t="shared" si="32"/>
        <v>0</v>
      </c>
      <c r="AJ8" s="244">
        <f t="shared" si="33"/>
        <v>0</v>
      </c>
      <c r="AK8" s="364">
        <f t="shared" si="34"/>
        <v>415016</v>
      </c>
      <c r="AL8" s="244">
        <f t="shared" si="35"/>
        <v>201579.2</v>
      </c>
      <c r="AM8" s="244">
        <f t="shared" si="36"/>
        <v>0</v>
      </c>
      <c r="AN8" s="244">
        <f t="shared" si="37"/>
        <v>213436.8</v>
      </c>
      <c r="AO8" s="244">
        <f t="shared" si="38"/>
        <v>0</v>
      </c>
      <c r="AP8" s="244">
        <f t="shared" si="39"/>
        <v>237152</v>
      </c>
      <c r="AQ8" s="244">
        <f t="shared" si="40"/>
        <v>0</v>
      </c>
      <c r="AR8" s="244">
        <f t="shared" si="41"/>
        <v>59288</v>
      </c>
      <c r="AS8" s="244">
        <f t="shared" si="42"/>
        <v>59288</v>
      </c>
      <c r="AT8" s="244">
        <f t="shared" si="43"/>
        <v>0</v>
      </c>
      <c r="AU8" s="244"/>
      <c r="AV8" s="244">
        <f t="shared" si="44"/>
        <v>0</v>
      </c>
      <c r="AW8" s="244">
        <f t="shared" si="44"/>
        <v>0</v>
      </c>
      <c r="AX8" s="244">
        <f t="shared" si="44"/>
        <v>0</v>
      </c>
      <c r="AY8" s="244">
        <f t="shared" si="44"/>
        <v>0</v>
      </c>
      <c r="AZ8" s="244">
        <f t="shared" si="44"/>
        <v>0</v>
      </c>
      <c r="BA8" s="244">
        <f t="shared" si="44"/>
        <v>0</v>
      </c>
      <c r="BB8" s="244">
        <f t="shared" si="44"/>
        <v>0</v>
      </c>
      <c r="BC8" s="244">
        <f t="shared" si="44"/>
        <v>0</v>
      </c>
      <c r="BD8" s="244">
        <f t="shared" si="44"/>
        <v>1185760</v>
      </c>
      <c r="BE8" s="244">
        <f t="shared" si="44"/>
        <v>0</v>
      </c>
      <c r="BF8" s="244">
        <f t="shared" si="44"/>
        <v>0</v>
      </c>
      <c r="BG8" s="244">
        <f t="shared" si="44"/>
        <v>0</v>
      </c>
      <c r="BH8" s="244">
        <f t="shared" si="44"/>
        <v>0</v>
      </c>
      <c r="BI8" s="244">
        <f t="shared" si="44"/>
        <v>0</v>
      </c>
      <c r="BJ8" s="244">
        <f t="shared" si="44"/>
        <v>0</v>
      </c>
      <c r="BK8" s="244">
        <f t="shared" si="44"/>
        <v>0</v>
      </c>
      <c r="BL8" s="244">
        <f t="shared" si="18"/>
        <v>0</v>
      </c>
      <c r="BM8" s="244">
        <f t="shared" si="18"/>
        <v>0</v>
      </c>
      <c r="BN8" s="244">
        <f t="shared" si="18"/>
        <v>0</v>
      </c>
      <c r="BO8" s="244">
        <f t="shared" si="45"/>
        <v>0</v>
      </c>
    </row>
    <row r="9" spans="1:67" s="297" customFormat="1" ht="15">
      <c r="A9" s="297" t="s">
        <v>141</v>
      </c>
      <c r="B9" s="245"/>
      <c r="C9" s="247"/>
      <c r="D9" s="369">
        <v>175000</v>
      </c>
      <c r="E9" s="247" t="s">
        <v>258</v>
      </c>
      <c r="F9" s="347"/>
      <c r="G9" s="347"/>
      <c r="H9" s="347"/>
      <c r="I9" s="338"/>
      <c r="J9" s="338"/>
      <c r="K9" s="338"/>
      <c r="L9" s="338"/>
      <c r="M9" s="338"/>
      <c r="N9" s="338"/>
      <c r="O9" s="338">
        <v>0.3</v>
      </c>
      <c r="P9" s="338">
        <v>0.2</v>
      </c>
      <c r="Q9" s="338"/>
      <c r="R9" s="338">
        <v>0.2</v>
      </c>
      <c r="S9" s="338"/>
      <c r="T9" s="338">
        <v>0.2</v>
      </c>
      <c r="U9" s="338"/>
      <c r="V9" s="338">
        <v>0.05</v>
      </c>
      <c r="W9" s="338">
        <v>0.05</v>
      </c>
      <c r="X9" s="338"/>
      <c r="Y9" s="342">
        <f t="shared" si="21"/>
        <v>1</v>
      </c>
      <c r="Z9" s="247"/>
      <c r="AA9" s="247"/>
      <c r="AB9" s="244">
        <f aca="true" t="shared" si="46" ref="AB9">F9*$D9</f>
        <v>0</v>
      </c>
      <c r="AC9" s="244">
        <f aca="true" t="shared" si="47" ref="AC9">G9*$D9</f>
        <v>0</v>
      </c>
      <c r="AD9" s="244">
        <f aca="true" t="shared" si="48" ref="AD9">H9*$D9</f>
        <v>0</v>
      </c>
      <c r="AE9" s="244">
        <f aca="true" t="shared" si="49" ref="AE9">I9*$D9</f>
        <v>0</v>
      </c>
      <c r="AF9" s="244">
        <f>J9*$D9</f>
        <v>0</v>
      </c>
      <c r="AG9" s="244">
        <f aca="true" t="shared" si="50" ref="AG9">K9*$D9</f>
        <v>0</v>
      </c>
      <c r="AH9" s="244">
        <f aca="true" t="shared" si="51" ref="AH9">L9*$D9</f>
        <v>0</v>
      </c>
      <c r="AI9" s="244">
        <f aca="true" t="shared" si="52" ref="AI9">M9*$D9</f>
        <v>0</v>
      </c>
      <c r="AJ9" s="244">
        <f aca="true" t="shared" si="53" ref="AJ9">N9*$D9</f>
        <v>0</v>
      </c>
      <c r="AK9" s="364">
        <f aca="true" t="shared" si="54" ref="AK9">O9*$D9</f>
        <v>52500</v>
      </c>
      <c r="AL9" s="244">
        <f aca="true" t="shared" si="55" ref="AL9">P9*$D9</f>
        <v>35000</v>
      </c>
      <c r="AM9" s="244">
        <f aca="true" t="shared" si="56" ref="AM9">Q9*$D9</f>
        <v>0</v>
      </c>
      <c r="AN9" s="244">
        <f aca="true" t="shared" si="57" ref="AN9">R9*$D9</f>
        <v>35000</v>
      </c>
      <c r="AO9" s="244">
        <f aca="true" t="shared" si="58" ref="AO9">S9*$D9</f>
        <v>0</v>
      </c>
      <c r="AP9" s="244">
        <f aca="true" t="shared" si="59" ref="AP9">T9*$D9</f>
        <v>35000</v>
      </c>
      <c r="AQ9" s="244">
        <f aca="true" t="shared" si="60" ref="AQ9">U9*$D9</f>
        <v>0</v>
      </c>
      <c r="AR9" s="244">
        <f aca="true" t="shared" si="61" ref="AR9">V9*$D9</f>
        <v>8750</v>
      </c>
      <c r="AS9" s="244">
        <f aca="true" t="shared" si="62" ref="AS9">W9*$D9</f>
        <v>8750</v>
      </c>
      <c r="AT9" s="244">
        <f aca="true" t="shared" si="63" ref="AT9">X9*$D9</f>
        <v>0</v>
      </c>
      <c r="AU9" s="244"/>
      <c r="AV9" s="244">
        <f aca="true" t="shared" si="64" ref="AV9:BK10">IF(AV$3=$E9,$D9,0)</f>
        <v>0</v>
      </c>
      <c r="AW9" s="244">
        <f t="shared" si="64"/>
        <v>0</v>
      </c>
      <c r="AX9" s="244">
        <f t="shared" si="64"/>
        <v>0</v>
      </c>
      <c r="AY9" s="244">
        <f t="shared" si="64"/>
        <v>0</v>
      </c>
      <c r="AZ9" s="244">
        <f t="shared" si="64"/>
        <v>0</v>
      </c>
      <c r="BA9" s="244">
        <f t="shared" si="64"/>
        <v>0</v>
      </c>
      <c r="BB9" s="244">
        <f t="shared" si="64"/>
        <v>0</v>
      </c>
      <c r="BC9" s="244">
        <f t="shared" si="64"/>
        <v>0</v>
      </c>
      <c r="BD9" s="244">
        <f t="shared" si="64"/>
        <v>0</v>
      </c>
      <c r="BE9" s="244">
        <f t="shared" si="64"/>
        <v>175000</v>
      </c>
      <c r="BF9" s="244">
        <f t="shared" si="64"/>
        <v>0</v>
      </c>
      <c r="BG9" s="244">
        <f t="shared" si="64"/>
        <v>0</v>
      </c>
      <c r="BH9" s="244">
        <f t="shared" si="64"/>
        <v>0</v>
      </c>
      <c r="BI9" s="244">
        <f t="shared" si="64"/>
        <v>0</v>
      </c>
      <c r="BJ9" s="244">
        <f t="shared" si="64"/>
        <v>0</v>
      </c>
      <c r="BK9" s="244">
        <f t="shared" si="64"/>
        <v>0</v>
      </c>
      <c r="BL9" s="244">
        <f t="shared" si="18"/>
        <v>0</v>
      </c>
      <c r="BM9" s="244">
        <f t="shared" si="18"/>
        <v>0</v>
      </c>
      <c r="BN9" s="244">
        <f t="shared" si="18"/>
        <v>0</v>
      </c>
      <c r="BO9" s="244">
        <f t="shared" si="45"/>
        <v>0</v>
      </c>
    </row>
    <row r="10" spans="1:67" s="297" customFormat="1" ht="15">
      <c r="A10" s="297" t="s">
        <v>142</v>
      </c>
      <c r="B10" s="245"/>
      <c r="C10" s="247"/>
      <c r="D10" s="369">
        <v>1025</v>
      </c>
      <c r="E10" s="247" t="s">
        <v>258</v>
      </c>
      <c r="F10" s="347"/>
      <c r="G10" s="347"/>
      <c r="H10" s="347"/>
      <c r="I10" s="338"/>
      <c r="J10" s="338"/>
      <c r="K10" s="338"/>
      <c r="L10" s="338"/>
      <c r="M10" s="338"/>
      <c r="N10" s="338"/>
      <c r="O10" s="338">
        <v>1</v>
      </c>
      <c r="P10" s="338">
        <v>0</v>
      </c>
      <c r="Q10" s="338">
        <v>0</v>
      </c>
      <c r="R10" s="338">
        <v>0</v>
      </c>
      <c r="S10" s="338">
        <v>0</v>
      </c>
      <c r="T10" s="338">
        <v>0</v>
      </c>
      <c r="U10" s="338">
        <v>0</v>
      </c>
      <c r="V10" s="338">
        <v>0</v>
      </c>
      <c r="W10" s="338">
        <v>0</v>
      </c>
      <c r="X10" s="338"/>
      <c r="Y10" s="342">
        <f aca="true" t="shared" si="65" ref="Y10">SUM(F10:X10)</f>
        <v>1</v>
      </c>
      <c r="Z10" s="247"/>
      <c r="AA10" s="247"/>
      <c r="AB10" s="244">
        <f aca="true" t="shared" si="66" ref="AB10">F10*$D10</f>
        <v>0</v>
      </c>
      <c r="AC10" s="244">
        <f aca="true" t="shared" si="67" ref="AC10">G10*$D10</f>
        <v>0</v>
      </c>
      <c r="AD10" s="244">
        <f aca="true" t="shared" si="68" ref="AD10">H10*$D10</f>
        <v>0</v>
      </c>
      <c r="AE10" s="244">
        <f aca="true" t="shared" si="69" ref="AE10">I10*$D10</f>
        <v>0</v>
      </c>
      <c r="AF10" s="244">
        <f>J10*$D10</f>
        <v>0</v>
      </c>
      <c r="AG10" s="244">
        <f aca="true" t="shared" si="70" ref="AG10">K10*$D10</f>
        <v>0</v>
      </c>
      <c r="AH10" s="244">
        <f aca="true" t="shared" si="71" ref="AH10">L10*$D10</f>
        <v>0</v>
      </c>
      <c r="AI10" s="244">
        <f aca="true" t="shared" si="72" ref="AI10">M10*$D10</f>
        <v>0</v>
      </c>
      <c r="AJ10" s="244">
        <f aca="true" t="shared" si="73" ref="AJ10">N10*$D10</f>
        <v>0</v>
      </c>
      <c r="AK10" s="364">
        <f aca="true" t="shared" si="74" ref="AK10">O10*$D10</f>
        <v>1025</v>
      </c>
      <c r="AL10" s="244">
        <f aca="true" t="shared" si="75" ref="AL10">P10*$D10</f>
        <v>0</v>
      </c>
      <c r="AM10" s="244">
        <f aca="true" t="shared" si="76" ref="AM10">Q10*$D10</f>
        <v>0</v>
      </c>
      <c r="AN10" s="244">
        <f aca="true" t="shared" si="77" ref="AN10">R10*$D10</f>
        <v>0</v>
      </c>
      <c r="AO10" s="244">
        <f aca="true" t="shared" si="78" ref="AO10">S10*$D10</f>
        <v>0</v>
      </c>
      <c r="AP10" s="244">
        <f aca="true" t="shared" si="79" ref="AP10">T10*$D10</f>
        <v>0</v>
      </c>
      <c r="AQ10" s="244">
        <f aca="true" t="shared" si="80" ref="AQ10">U10*$D10</f>
        <v>0</v>
      </c>
      <c r="AR10" s="244">
        <f aca="true" t="shared" si="81" ref="AR10">V10*$D10</f>
        <v>0</v>
      </c>
      <c r="AS10" s="244">
        <f aca="true" t="shared" si="82" ref="AS10">W10*$D10</f>
        <v>0</v>
      </c>
      <c r="AT10" s="244">
        <f aca="true" t="shared" si="83" ref="AT10">X10*$D10</f>
        <v>0</v>
      </c>
      <c r="AU10" s="244"/>
      <c r="AV10" s="244">
        <f t="shared" si="64"/>
        <v>0</v>
      </c>
      <c r="AW10" s="244">
        <f t="shared" si="64"/>
        <v>0</v>
      </c>
      <c r="AX10" s="244">
        <f t="shared" si="64"/>
        <v>0</v>
      </c>
      <c r="AY10" s="244">
        <f t="shared" si="64"/>
        <v>0</v>
      </c>
      <c r="AZ10" s="244">
        <f t="shared" si="64"/>
        <v>0</v>
      </c>
      <c r="BA10" s="244">
        <f t="shared" si="64"/>
        <v>0</v>
      </c>
      <c r="BB10" s="244">
        <f t="shared" si="64"/>
        <v>0</v>
      </c>
      <c r="BC10" s="244">
        <f t="shared" si="64"/>
        <v>0</v>
      </c>
      <c r="BD10" s="244">
        <f t="shared" si="64"/>
        <v>0</v>
      </c>
      <c r="BE10" s="244">
        <f t="shared" si="64"/>
        <v>1025</v>
      </c>
      <c r="BF10" s="244">
        <f t="shared" si="64"/>
        <v>0</v>
      </c>
      <c r="BG10" s="244">
        <f t="shared" si="64"/>
        <v>0</v>
      </c>
      <c r="BH10" s="244">
        <f t="shared" si="64"/>
        <v>0</v>
      </c>
      <c r="BI10" s="244">
        <f t="shared" si="64"/>
        <v>0</v>
      </c>
      <c r="BJ10" s="244">
        <f t="shared" si="64"/>
        <v>0</v>
      </c>
      <c r="BK10" s="244">
        <f t="shared" si="64"/>
        <v>0</v>
      </c>
      <c r="BL10" s="244">
        <f t="shared" si="18"/>
        <v>0</v>
      </c>
      <c r="BM10" s="244">
        <f t="shared" si="18"/>
        <v>0</v>
      </c>
      <c r="BN10" s="244">
        <f t="shared" si="18"/>
        <v>0</v>
      </c>
      <c r="BO10" s="244">
        <f aca="true" t="shared" si="84" ref="BO10">SUM(AB10:AT10)-SUM(AV10:BN10)</f>
        <v>0</v>
      </c>
    </row>
    <row r="11" spans="1:67" s="297" customFormat="1" ht="15">
      <c r="A11" s="297" t="s">
        <v>142</v>
      </c>
      <c r="B11" s="245"/>
      <c r="C11" s="247"/>
      <c r="D11" s="369">
        <v>529.46</v>
      </c>
      <c r="E11" s="247" t="s">
        <v>259</v>
      </c>
      <c r="F11" s="347"/>
      <c r="G11" s="347"/>
      <c r="H11" s="347"/>
      <c r="I11" s="338"/>
      <c r="J11" s="338">
        <v>0</v>
      </c>
      <c r="K11" s="338">
        <v>0</v>
      </c>
      <c r="L11" s="338">
        <v>0</v>
      </c>
      <c r="M11" s="338">
        <v>0</v>
      </c>
      <c r="N11" s="338">
        <v>1</v>
      </c>
      <c r="O11" s="338"/>
      <c r="P11" s="338"/>
      <c r="Q11" s="338"/>
      <c r="R11" s="338"/>
      <c r="S11" s="338"/>
      <c r="T11" s="338"/>
      <c r="U11" s="338"/>
      <c r="V11" s="338"/>
      <c r="W11" s="338"/>
      <c r="X11" s="338"/>
      <c r="Y11" s="342">
        <f t="shared" si="21"/>
        <v>1</v>
      </c>
      <c r="Z11" s="247"/>
      <c r="AA11" s="247"/>
      <c r="AB11" s="244">
        <f aca="true" t="shared" si="85" ref="AB11">F11*$D11</f>
        <v>0</v>
      </c>
      <c r="AC11" s="244">
        <f aca="true" t="shared" si="86" ref="AC11">G11*$D11</f>
        <v>0</v>
      </c>
      <c r="AD11" s="244">
        <f aca="true" t="shared" si="87" ref="AD11">H11*$D11</f>
        <v>0</v>
      </c>
      <c r="AE11" s="244">
        <f aca="true" t="shared" si="88" ref="AE11">I11*$D11</f>
        <v>0</v>
      </c>
      <c r="AF11" s="244">
        <f aca="true" t="shared" si="89" ref="AF11">J11*$D11</f>
        <v>0</v>
      </c>
      <c r="AG11" s="244">
        <f aca="true" t="shared" si="90" ref="AG11">K11*$D11</f>
        <v>0</v>
      </c>
      <c r="AH11" s="244">
        <f aca="true" t="shared" si="91" ref="AH11">L11*$D11</f>
        <v>0</v>
      </c>
      <c r="AI11" s="244">
        <f aca="true" t="shared" si="92" ref="AI11">M11*$D11</f>
        <v>0</v>
      </c>
      <c r="AJ11" s="244">
        <f aca="true" t="shared" si="93" ref="AJ11">N11*$D11</f>
        <v>529.46</v>
      </c>
      <c r="AK11" s="244">
        <f aca="true" t="shared" si="94" ref="AK11">O11*$D11</f>
        <v>0</v>
      </c>
      <c r="AL11" s="244">
        <f aca="true" t="shared" si="95" ref="AL11">P11*$D11</f>
        <v>0</v>
      </c>
      <c r="AM11" s="244">
        <f aca="true" t="shared" si="96" ref="AM11">Q11*$D11</f>
        <v>0</v>
      </c>
      <c r="AN11" s="244">
        <f aca="true" t="shared" si="97" ref="AN11">R11*$D11</f>
        <v>0</v>
      </c>
      <c r="AO11" s="244">
        <f aca="true" t="shared" si="98" ref="AO11">S11*$D11</f>
        <v>0</v>
      </c>
      <c r="AP11" s="244">
        <f aca="true" t="shared" si="99" ref="AP11">T11*$D11</f>
        <v>0</v>
      </c>
      <c r="AQ11" s="244">
        <f t="shared" si="13"/>
        <v>0</v>
      </c>
      <c r="AR11" s="244">
        <f t="shared" si="14"/>
        <v>0</v>
      </c>
      <c r="AS11" s="244">
        <f t="shared" si="15"/>
        <v>0</v>
      </c>
      <c r="AT11" s="244">
        <f t="shared" si="16"/>
        <v>0</v>
      </c>
      <c r="AU11" s="244"/>
      <c r="AV11" s="244">
        <f t="shared" si="17"/>
        <v>0</v>
      </c>
      <c r="AW11" s="244">
        <f t="shared" si="17"/>
        <v>0</v>
      </c>
      <c r="AX11" s="244">
        <f t="shared" si="17"/>
        <v>0</v>
      </c>
      <c r="AY11" s="244">
        <f t="shared" si="17"/>
        <v>0</v>
      </c>
      <c r="AZ11" s="244">
        <v>0</v>
      </c>
      <c r="BA11" s="244">
        <v>0</v>
      </c>
      <c r="BB11" s="244">
        <f t="shared" si="17"/>
        <v>0</v>
      </c>
      <c r="BC11" s="244">
        <f t="shared" si="17"/>
        <v>0</v>
      </c>
      <c r="BD11" s="244">
        <f t="shared" si="17"/>
        <v>529.46</v>
      </c>
      <c r="BE11" s="244">
        <f t="shared" si="17"/>
        <v>0</v>
      </c>
      <c r="BF11" s="244">
        <f t="shared" si="17"/>
        <v>0</v>
      </c>
      <c r="BG11" s="244">
        <f t="shared" si="17"/>
        <v>0</v>
      </c>
      <c r="BH11" s="244">
        <f t="shared" si="17"/>
        <v>0</v>
      </c>
      <c r="BI11" s="244">
        <f t="shared" si="17"/>
        <v>0</v>
      </c>
      <c r="BJ11" s="244">
        <f t="shared" si="17"/>
        <v>0</v>
      </c>
      <c r="BK11" s="244">
        <f t="shared" si="17"/>
        <v>0</v>
      </c>
      <c r="BL11" s="244">
        <f t="shared" si="18"/>
        <v>0</v>
      </c>
      <c r="BM11" s="244">
        <f t="shared" si="18"/>
        <v>0</v>
      </c>
      <c r="BN11" s="244">
        <f t="shared" si="18"/>
        <v>0</v>
      </c>
      <c r="BO11" s="244">
        <f t="shared" si="45"/>
        <v>0</v>
      </c>
    </row>
    <row r="12" spans="1:67" ht="15">
      <c r="A12" s="297" t="s">
        <v>143</v>
      </c>
      <c r="B12" s="245"/>
      <c r="C12" s="247"/>
      <c r="D12" s="369">
        <v>2329506.84</v>
      </c>
      <c r="E12" s="247" t="s">
        <v>181</v>
      </c>
      <c r="F12" s="346">
        <v>0</v>
      </c>
      <c r="G12" s="346">
        <v>0</v>
      </c>
      <c r="H12" s="346">
        <v>0</v>
      </c>
      <c r="I12" s="332">
        <v>0</v>
      </c>
      <c r="J12" s="332">
        <v>0</v>
      </c>
      <c r="K12" s="333">
        <v>0</v>
      </c>
      <c r="L12" s="396">
        <v>0.059999999828289845</v>
      </c>
      <c r="M12" s="333">
        <v>0.020000001373681308</v>
      </c>
      <c r="N12" s="333">
        <v>0.08000000120197115</v>
      </c>
      <c r="O12" s="333">
        <v>0.1100000075552472</v>
      </c>
      <c r="P12" s="333">
        <v>0.140000001030261</v>
      </c>
      <c r="Q12" s="333">
        <v>0.15000000171710162</v>
      </c>
      <c r="R12" s="333">
        <v>0.1400000053230151</v>
      </c>
      <c r="S12" s="333">
        <v>0.10000000257565246</v>
      </c>
      <c r="T12" s="338">
        <v>0</v>
      </c>
      <c r="U12" s="333">
        <v>0.19999997939478042</v>
      </c>
      <c r="V12" s="333">
        <v>0</v>
      </c>
      <c r="W12" s="333">
        <v>0</v>
      </c>
      <c r="X12" s="333">
        <v>0</v>
      </c>
      <c r="Y12" s="342">
        <f t="shared" si="21"/>
        <v>1</v>
      </c>
      <c r="Z12" s="247"/>
      <c r="AA12" s="247"/>
      <c r="AB12" s="244">
        <f t="shared" si="0"/>
        <v>0</v>
      </c>
      <c r="AC12" s="244">
        <f t="shared" si="1"/>
        <v>0</v>
      </c>
      <c r="AD12" s="244">
        <f t="shared" si="2"/>
        <v>0</v>
      </c>
      <c r="AE12" s="244">
        <f t="shared" si="3"/>
        <v>0</v>
      </c>
      <c r="AF12" s="244">
        <f>J12*$D12</f>
        <v>0</v>
      </c>
      <c r="AG12" s="364">
        <f t="shared" si="22"/>
        <v>0</v>
      </c>
      <c r="AH12" s="364">
        <f t="shared" si="23"/>
        <v>139770.41</v>
      </c>
      <c r="AI12" s="364">
        <f t="shared" si="24"/>
        <v>46590.14</v>
      </c>
      <c r="AJ12" s="364">
        <f t="shared" si="19"/>
        <v>186360.55</v>
      </c>
      <c r="AK12" s="364">
        <f t="shared" si="20"/>
        <v>256245.77000000002</v>
      </c>
      <c r="AL12" s="364">
        <f t="shared" si="8"/>
        <v>326130.96</v>
      </c>
      <c r="AM12" s="364">
        <f t="shared" si="9"/>
        <v>349426.02999999997</v>
      </c>
      <c r="AN12" s="364">
        <f t="shared" si="10"/>
        <v>326130.97000000003</v>
      </c>
      <c r="AO12" s="364">
        <f t="shared" si="11"/>
        <v>232950.69</v>
      </c>
      <c r="AP12" s="364">
        <f t="shared" si="12"/>
        <v>0</v>
      </c>
      <c r="AQ12" s="244">
        <f t="shared" si="13"/>
        <v>465901.32</v>
      </c>
      <c r="AR12" s="364">
        <f t="shared" si="14"/>
        <v>0</v>
      </c>
      <c r="AS12" s="244">
        <f t="shared" si="15"/>
        <v>0</v>
      </c>
      <c r="AT12" s="364">
        <f t="shared" si="16"/>
        <v>0</v>
      </c>
      <c r="AU12" s="244"/>
      <c r="AV12" s="244">
        <f t="shared" si="17"/>
        <v>0</v>
      </c>
      <c r="AW12" s="244">
        <f t="shared" si="17"/>
        <v>0</v>
      </c>
      <c r="AX12" s="244">
        <f t="shared" si="17"/>
        <v>0</v>
      </c>
      <c r="AY12" s="244">
        <f t="shared" si="17"/>
        <v>0</v>
      </c>
      <c r="AZ12" s="244">
        <f t="shared" si="17"/>
        <v>0</v>
      </c>
      <c r="BA12" s="244">
        <f t="shared" si="17"/>
        <v>2329506.84</v>
      </c>
      <c r="BB12" s="244">
        <f t="shared" si="17"/>
        <v>0</v>
      </c>
      <c r="BC12" s="244">
        <f t="shared" si="17"/>
        <v>0</v>
      </c>
      <c r="BD12" s="244">
        <f t="shared" si="17"/>
        <v>0</v>
      </c>
      <c r="BE12" s="244">
        <f t="shared" si="17"/>
        <v>0</v>
      </c>
      <c r="BF12" s="244">
        <f t="shared" si="17"/>
        <v>0</v>
      </c>
      <c r="BG12" s="244">
        <f t="shared" si="17"/>
        <v>0</v>
      </c>
      <c r="BH12" s="244">
        <f t="shared" si="17"/>
        <v>0</v>
      </c>
      <c r="BI12" s="244">
        <f t="shared" si="17"/>
        <v>0</v>
      </c>
      <c r="BJ12" s="244">
        <f t="shared" si="17"/>
        <v>0</v>
      </c>
      <c r="BK12" s="244">
        <f t="shared" si="17"/>
        <v>0</v>
      </c>
      <c r="BL12" s="244">
        <f t="shared" si="18"/>
        <v>0</v>
      </c>
      <c r="BM12" s="244">
        <f t="shared" si="18"/>
        <v>0</v>
      </c>
      <c r="BN12" s="244">
        <f t="shared" si="18"/>
        <v>0</v>
      </c>
      <c r="BO12" s="244">
        <f t="shared" si="45"/>
        <v>0</v>
      </c>
    </row>
    <row r="13" spans="1:67" s="297" customFormat="1" ht="15">
      <c r="A13" s="297" t="s">
        <v>143</v>
      </c>
      <c r="B13" s="245"/>
      <c r="C13" s="247"/>
      <c r="D13" s="369">
        <f>+(1250*6)*12</f>
        <v>90000</v>
      </c>
      <c r="E13" s="247" t="s">
        <v>258</v>
      </c>
      <c r="F13" s="346"/>
      <c r="G13" s="346"/>
      <c r="H13" s="346"/>
      <c r="I13" s="332"/>
      <c r="J13" s="332"/>
      <c r="K13" s="333">
        <v>0</v>
      </c>
      <c r="L13" s="396">
        <v>0</v>
      </c>
      <c r="M13" s="333">
        <v>0</v>
      </c>
      <c r="N13" s="333">
        <v>0</v>
      </c>
      <c r="O13" s="333">
        <v>0.0833333333333333</v>
      </c>
      <c r="P13" s="333">
        <v>0.25</v>
      </c>
      <c r="Q13" s="333">
        <v>0.25</v>
      </c>
      <c r="R13" s="333">
        <v>0.25</v>
      </c>
      <c r="S13" s="333">
        <v>0.166666666666666</v>
      </c>
      <c r="T13" s="338">
        <v>0</v>
      </c>
      <c r="U13" s="333"/>
      <c r="V13" s="333"/>
      <c r="W13" s="333"/>
      <c r="X13" s="333"/>
      <c r="Y13" s="342">
        <f t="shared" si="21"/>
        <v>0.9999999999999992</v>
      </c>
      <c r="Z13" s="247"/>
      <c r="AA13" s="247"/>
      <c r="AB13" s="244">
        <f aca="true" t="shared" si="100" ref="AB13">F13*$D13</f>
        <v>0</v>
      </c>
      <c r="AC13" s="244">
        <f aca="true" t="shared" si="101" ref="AC13">G13*$D13</f>
        <v>0</v>
      </c>
      <c r="AD13" s="244">
        <f aca="true" t="shared" si="102" ref="AD13">H13*$D13</f>
        <v>0</v>
      </c>
      <c r="AE13" s="244">
        <f aca="true" t="shared" si="103" ref="AE13">I13*$D13</f>
        <v>0</v>
      </c>
      <c r="AF13" s="244">
        <f>J13*$D13</f>
        <v>0</v>
      </c>
      <c r="AG13" s="364">
        <f aca="true" t="shared" si="104" ref="AG13">K13*$D13</f>
        <v>0</v>
      </c>
      <c r="AH13" s="364">
        <f aca="true" t="shared" si="105" ref="AH13">L13*$D13</f>
        <v>0</v>
      </c>
      <c r="AI13" s="364">
        <f aca="true" t="shared" si="106" ref="AI13">M13*$D13</f>
        <v>0</v>
      </c>
      <c r="AJ13" s="364">
        <f aca="true" t="shared" si="107" ref="AJ13">N13*$D13</f>
        <v>0</v>
      </c>
      <c r="AK13" s="364">
        <f aca="true" t="shared" si="108" ref="AK13">O13*$D13</f>
        <v>7499.999999999997</v>
      </c>
      <c r="AL13" s="364">
        <f aca="true" t="shared" si="109" ref="AL13">P13*$D13</f>
        <v>22500</v>
      </c>
      <c r="AM13" s="364">
        <f aca="true" t="shared" si="110" ref="AM13">Q13*$D13</f>
        <v>22500</v>
      </c>
      <c r="AN13" s="364">
        <f aca="true" t="shared" si="111" ref="AN13">R13*$D13</f>
        <v>22500</v>
      </c>
      <c r="AO13" s="364">
        <f aca="true" t="shared" si="112" ref="AO13">S13*$D13</f>
        <v>14999.99999999994</v>
      </c>
      <c r="AP13" s="364">
        <f aca="true" t="shared" si="113" ref="AP13">T13*$D13</f>
        <v>0</v>
      </c>
      <c r="AQ13" s="244">
        <f t="shared" si="13"/>
        <v>0</v>
      </c>
      <c r="AR13" s="364">
        <f t="shared" si="14"/>
        <v>0</v>
      </c>
      <c r="AS13" s="244">
        <f t="shared" si="15"/>
        <v>0</v>
      </c>
      <c r="AT13" s="364">
        <f t="shared" si="16"/>
        <v>0</v>
      </c>
      <c r="AU13" s="244"/>
      <c r="AV13" s="244">
        <f aca="true" t="shared" si="114" ref="AV13:BN30">IF(AV$3=$E13,$D13,0)</f>
        <v>0</v>
      </c>
      <c r="AW13" s="244">
        <f t="shared" si="114"/>
        <v>0</v>
      </c>
      <c r="AX13" s="244">
        <f t="shared" si="114"/>
        <v>0</v>
      </c>
      <c r="AY13" s="244">
        <f t="shared" si="114"/>
        <v>0</v>
      </c>
      <c r="AZ13" s="244">
        <f t="shared" si="114"/>
        <v>0</v>
      </c>
      <c r="BA13" s="244">
        <f t="shared" si="114"/>
        <v>0</v>
      </c>
      <c r="BB13" s="244">
        <f t="shared" si="114"/>
        <v>0</v>
      </c>
      <c r="BC13" s="244">
        <f t="shared" si="114"/>
        <v>0</v>
      </c>
      <c r="BD13" s="244">
        <f t="shared" si="114"/>
        <v>0</v>
      </c>
      <c r="BE13" s="244">
        <f t="shared" si="114"/>
        <v>90000</v>
      </c>
      <c r="BF13" s="244">
        <f t="shared" si="114"/>
        <v>0</v>
      </c>
      <c r="BG13" s="244">
        <f t="shared" si="114"/>
        <v>0</v>
      </c>
      <c r="BH13" s="244">
        <f t="shared" si="114"/>
        <v>0</v>
      </c>
      <c r="BI13" s="244">
        <f t="shared" si="114"/>
        <v>0</v>
      </c>
      <c r="BJ13" s="244">
        <f t="shared" si="114"/>
        <v>0</v>
      </c>
      <c r="BK13" s="244">
        <f t="shared" si="114"/>
        <v>0</v>
      </c>
      <c r="BL13" s="244">
        <f t="shared" si="114"/>
        <v>0</v>
      </c>
      <c r="BM13" s="244">
        <f t="shared" si="114"/>
        <v>0</v>
      </c>
      <c r="BN13" s="244">
        <f t="shared" si="114"/>
        <v>0</v>
      </c>
      <c r="BO13" s="244">
        <f t="shared" si="45"/>
        <v>0</v>
      </c>
    </row>
    <row r="14" spans="1:67" s="297" customFormat="1" ht="15">
      <c r="A14" s="297" t="s">
        <v>143</v>
      </c>
      <c r="B14" s="245"/>
      <c r="C14" s="247"/>
      <c r="D14" s="369">
        <v>150000</v>
      </c>
      <c r="E14" s="247" t="s">
        <v>281</v>
      </c>
      <c r="F14" s="346"/>
      <c r="G14" s="346"/>
      <c r="H14" s="346"/>
      <c r="I14" s="332"/>
      <c r="J14" s="332"/>
      <c r="K14" s="333">
        <v>0</v>
      </c>
      <c r="L14" s="396">
        <v>0</v>
      </c>
      <c r="M14" s="333">
        <v>0</v>
      </c>
      <c r="N14" s="333">
        <v>0</v>
      </c>
      <c r="O14" s="333">
        <v>0</v>
      </c>
      <c r="P14" s="333">
        <v>1</v>
      </c>
      <c r="Q14" s="333">
        <v>0</v>
      </c>
      <c r="R14" s="333">
        <v>0</v>
      </c>
      <c r="S14" s="333">
        <v>0</v>
      </c>
      <c r="T14" s="338">
        <v>0</v>
      </c>
      <c r="U14" s="333"/>
      <c r="V14" s="333"/>
      <c r="W14" s="333"/>
      <c r="X14" s="333"/>
      <c r="Y14" s="342">
        <f t="shared" si="21"/>
        <v>1</v>
      </c>
      <c r="Z14" s="247"/>
      <c r="AA14" s="247"/>
      <c r="AB14" s="244">
        <f aca="true" t="shared" si="115" ref="AB14:AB15">F14*$D14</f>
        <v>0</v>
      </c>
      <c r="AC14" s="244">
        <f aca="true" t="shared" si="116" ref="AC14:AC15">G14*$D14</f>
        <v>0</v>
      </c>
      <c r="AD14" s="244">
        <f aca="true" t="shared" si="117" ref="AD14:AD15">H14*$D14</f>
        <v>0</v>
      </c>
      <c r="AE14" s="244">
        <f aca="true" t="shared" si="118" ref="AE14:AE15">I14*$D14</f>
        <v>0</v>
      </c>
      <c r="AF14" s="244">
        <f>J14*$D14</f>
        <v>0</v>
      </c>
      <c r="AG14" s="364">
        <f aca="true" t="shared" si="119" ref="AG14:AG15">K14*$D14</f>
        <v>0</v>
      </c>
      <c r="AH14" s="364">
        <f aca="true" t="shared" si="120" ref="AH14:AH15">L14*$D14</f>
        <v>0</v>
      </c>
      <c r="AI14" s="364">
        <f aca="true" t="shared" si="121" ref="AI14:AI15">M14*$D14</f>
        <v>0</v>
      </c>
      <c r="AJ14" s="364">
        <f aca="true" t="shared" si="122" ref="AJ14:AJ15">N14*$D14</f>
        <v>0</v>
      </c>
      <c r="AK14" s="364">
        <f aca="true" t="shared" si="123" ref="AK14:AK15">O14*$D14</f>
        <v>0</v>
      </c>
      <c r="AL14" s="364">
        <f aca="true" t="shared" si="124" ref="AL14:AL15">P14*$D14</f>
        <v>150000</v>
      </c>
      <c r="AM14" s="364">
        <f aca="true" t="shared" si="125" ref="AM14:AM15">Q14*$D14</f>
        <v>0</v>
      </c>
      <c r="AN14" s="364">
        <f aca="true" t="shared" si="126" ref="AN14:AN15">R14*$D14</f>
        <v>0</v>
      </c>
      <c r="AO14" s="364">
        <f aca="true" t="shared" si="127" ref="AO14:AO15">S14*$D14</f>
        <v>0</v>
      </c>
      <c r="AP14" s="364">
        <f aca="true" t="shared" si="128" ref="AP14:AP15">T14*$D14</f>
        <v>0</v>
      </c>
      <c r="AQ14" s="244">
        <f aca="true" t="shared" si="129" ref="AQ14:AQ15">U14*$D14</f>
        <v>0</v>
      </c>
      <c r="AR14" s="364">
        <f aca="true" t="shared" si="130" ref="AR14:AR15">V14*$D14</f>
        <v>0</v>
      </c>
      <c r="AS14" s="244">
        <f aca="true" t="shared" si="131" ref="AS14:AS15">W14*$D14</f>
        <v>0</v>
      </c>
      <c r="AT14" s="364">
        <f aca="true" t="shared" si="132" ref="AT14:AT15">X14*$D14</f>
        <v>0</v>
      </c>
      <c r="AU14" s="244"/>
      <c r="AV14" s="244">
        <f t="shared" si="114"/>
        <v>0</v>
      </c>
      <c r="AW14" s="244">
        <f t="shared" si="114"/>
        <v>0</v>
      </c>
      <c r="AX14" s="244">
        <f t="shared" si="114"/>
        <v>0</v>
      </c>
      <c r="AY14" s="244">
        <f t="shared" si="114"/>
        <v>0</v>
      </c>
      <c r="AZ14" s="244">
        <f t="shared" si="114"/>
        <v>0</v>
      </c>
      <c r="BA14" s="244">
        <f t="shared" si="114"/>
        <v>0</v>
      </c>
      <c r="BB14" s="244">
        <f t="shared" si="114"/>
        <v>0</v>
      </c>
      <c r="BC14" s="244">
        <f t="shared" si="114"/>
        <v>0</v>
      </c>
      <c r="BD14" s="244">
        <f t="shared" si="114"/>
        <v>0</v>
      </c>
      <c r="BE14" s="244">
        <f t="shared" si="114"/>
        <v>0</v>
      </c>
      <c r="BF14" s="244">
        <f t="shared" si="114"/>
        <v>150000</v>
      </c>
      <c r="BG14" s="244">
        <f t="shared" si="114"/>
        <v>0</v>
      </c>
      <c r="BH14" s="244">
        <f t="shared" si="114"/>
        <v>0</v>
      </c>
      <c r="BI14" s="244">
        <f t="shared" si="114"/>
        <v>0</v>
      </c>
      <c r="BJ14" s="244">
        <f t="shared" si="114"/>
        <v>0</v>
      </c>
      <c r="BK14" s="244">
        <f t="shared" si="114"/>
        <v>0</v>
      </c>
      <c r="BL14" s="244">
        <f t="shared" si="114"/>
        <v>0</v>
      </c>
      <c r="BM14" s="244">
        <f t="shared" si="114"/>
        <v>0</v>
      </c>
      <c r="BN14" s="244">
        <f t="shared" si="114"/>
        <v>0</v>
      </c>
      <c r="BO14" s="244">
        <f t="shared" si="45"/>
        <v>0</v>
      </c>
    </row>
    <row r="15" spans="1:67" s="297" customFormat="1" ht="15">
      <c r="A15" s="297" t="s">
        <v>143</v>
      </c>
      <c r="B15" s="245"/>
      <c r="C15" s="247"/>
      <c r="D15" s="369">
        <v>200000</v>
      </c>
      <c r="E15" s="247" t="s">
        <v>258</v>
      </c>
      <c r="F15" s="346"/>
      <c r="G15" s="346"/>
      <c r="H15" s="346"/>
      <c r="I15" s="332"/>
      <c r="J15" s="332"/>
      <c r="K15" s="333"/>
      <c r="L15" s="333"/>
      <c r="M15" s="333"/>
      <c r="N15" s="333">
        <v>0</v>
      </c>
      <c r="O15" s="333">
        <v>0.25</v>
      </c>
      <c r="P15" s="333">
        <v>0.25</v>
      </c>
      <c r="Q15" s="333">
        <v>0.25</v>
      </c>
      <c r="R15" s="333">
        <v>0.25</v>
      </c>
      <c r="S15" s="333"/>
      <c r="T15" s="333"/>
      <c r="U15" s="333"/>
      <c r="V15" s="333"/>
      <c r="W15" s="333"/>
      <c r="X15" s="333"/>
      <c r="Y15" s="342">
        <f t="shared" si="21"/>
        <v>1</v>
      </c>
      <c r="Z15" s="247"/>
      <c r="AA15" s="247"/>
      <c r="AB15" s="244">
        <f t="shared" si="115"/>
        <v>0</v>
      </c>
      <c r="AC15" s="244">
        <f t="shared" si="116"/>
        <v>0</v>
      </c>
      <c r="AD15" s="244">
        <f t="shared" si="117"/>
        <v>0</v>
      </c>
      <c r="AE15" s="244">
        <f t="shared" si="118"/>
        <v>0</v>
      </c>
      <c r="AF15" s="244">
        <f aca="true" t="shared" si="133" ref="AF15">J15*$D15</f>
        <v>0</v>
      </c>
      <c r="AG15" s="364">
        <f t="shared" si="119"/>
        <v>0</v>
      </c>
      <c r="AH15" s="364">
        <f t="shared" si="120"/>
        <v>0</v>
      </c>
      <c r="AI15" s="364">
        <f t="shared" si="121"/>
        <v>0</v>
      </c>
      <c r="AJ15" s="364">
        <f t="shared" si="122"/>
        <v>0</v>
      </c>
      <c r="AK15" s="364">
        <f t="shared" si="123"/>
        <v>50000</v>
      </c>
      <c r="AL15" s="364">
        <f t="shared" si="124"/>
        <v>50000</v>
      </c>
      <c r="AM15" s="364">
        <f t="shared" si="125"/>
        <v>50000</v>
      </c>
      <c r="AN15" s="364">
        <f t="shared" si="126"/>
        <v>50000</v>
      </c>
      <c r="AO15" s="364">
        <f t="shared" si="127"/>
        <v>0</v>
      </c>
      <c r="AP15" s="364">
        <f t="shared" si="128"/>
        <v>0</v>
      </c>
      <c r="AQ15" s="244">
        <f t="shared" si="129"/>
        <v>0</v>
      </c>
      <c r="AR15" s="364">
        <f t="shared" si="130"/>
        <v>0</v>
      </c>
      <c r="AS15" s="244">
        <f t="shared" si="131"/>
        <v>0</v>
      </c>
      <c r="AT15" s="364">
        <f t="shared" si="132"/>
        <v>0</v>
      </c>
      <c r="AU15" s="244"/>
      <c r="AV15" s="244">
        <f aca="true" t="shared" si="134" ref="AV15:BL36">IF(AV$3=$E15,$D15,0)</f>
        <v>0</v>
      </c>
      <c r="AW15" s="244">
        <f t="shared" si="134"/>
        <v>0</v>
      </c>
      <c r="AX15" s="244">
        <f t="shared" si="134"/>
        <v>0</v>
      </c>
      <c r="AY15" s="244">
        <f t="shared" si="134"/>
        <v>0</v>
      </c>
      <c r="AZ15" s="244">
        <f t="shared" si="134"/>
        <v>0</v>
      </c>
      <c r="BA15" s="244">
        <f t="shared" si="134"/>
        <v>0</v>
      </c>
      <c r="BB15" s="244">
        <f t="shared" si="134"/>
        <v>0</v>
      </c>
      <c r="BC15" s="244">
        <f t="shared" si="134"/>
        <v>0</v>
      </c>
      <c r="BD15" s="244">
        <f t="shared" si="134"/>
        <v>0</v>
      </c>
      <c r="BE15" s="244">
        <f t="shared" si="134"/>
        <v>200000</v>
      </c>
      <c r="BF15" s="244">
        <f t="shared" si="134"/>
        <v>0</v>
      </c>
      <c r="BG15" s="244">
        <f t="shared" si="134"/>
        <v>0</v>
      </c>
      <c r="BH15" s="244">
        <f t="shared" si="134"/>
        <v>0</v>
      </c>
      <c r="BI15" s="244">
        <f t="shared" si="134"/>
        <v>0</v>
      </c>
      <c r="BJ15" s="244">
        <f t="shared" si="134"/>
        <v>0</v>
      </c>
      <c r="BK15" s="244">
        <f t="shared" si="134"/>
        <v>0</v>
      </c>
      <c r="BL15" s="244">
        <f t="shared" si="134"/>
        <v>0</v>
      </c>
      <c r="BM15" s="244">
        <f t="shared" si="114"/>
        <v>0</v>
      </c>
      <c r="BN15" s="244">
        <f t="shared" si="114"/>
        <v>0</v>
      </c>
      <c r="BO15" s="244">
        <f t="shared" si="45"/>
        <v>0</v>
      </c>
    </row>
    <row r="16" spans="1:67" s="297" customFormat="1" ht="15">
      <c r="A16" s="297" t="s">
        <v>143</v>
      </c>
      <c r="B16" s="245"/>
      <c r="C16" s="247"/>
      <c r="D16" s="369">
        <v>200000</v>
      </c>
      <c r="E16" s="247" t="s">
        <v>258</v>
      </c>
      <c r="F16" s="346"/>
      <c r="G16" s="346"/>
      <c r="H16" s="346"/>
      <c r="I16" s="332"/>
      <c r="J16" s="332"/>
      <c r="K16" s="333"/>
      <c r="L16" s="333"/>
      <c r="M16" s="333"/>
      <c r="N16" s="333">
        <v>0</v>
      </c>
      <c r="O16" s="333">
        <v>0</v>
      </c>
      <c r="P16" s="333">
        <v>0.25</v>
      </c>
      <c r="Q16" s="333">
        <v>0.25</v>
      </c>
      <c r="R16" s="333">
        <v>0.25</v>
      </c>
      <c r="S16" s="333">
        <v>0.25</v>
      </c>
      <c r="T16" s="333"/>
      <c r="U16" s="333"/>
      <c r="V16" s="333"/>
      <c r="W16" s="333"/>
      <c r="X16" s="333"/>
      <c r="Y16" s="342">
        <f t="shared" si="21"/>
        <v>1</v>
      </c>
      <c r="Z16" s="247"/>
      <c r="AA16" s="247"/>
      <c r="AB16" s="244">
        <f aca="true" t="shared" si="135" ref="AB16">F16*$D16</f>
        <v>0</v>
      </c>
      <c r="AC16" s="244">
        <f aca="true" t="shared" si="136" ref="AC16">G16*$D16</f>
        <v>0</v>
      </c>
      <c r="AD16" s="244">
        <f aca="true" t="shared" si="137" ref="AD16">H16*$D16</f>
        <v>0</v>
      </c>
      <c r="AE16" s="244">
        <f aca="true" t="shared" si="138" ref="AE16">I16*$D16</f>
        <v>0</v>
      </c>
      <c r="AF16" s="244">
        <f aca="true" t="shared" si="139" ref="AF16">J16*$D16</f>
        <v>0</v>
      </c>
      <c r="AG16" s="364">
        <f aca="true" t="shared" si="140" ref="AG16">K16*$D16</f>
        <v>0</v>
      </c>
      <c r="AH16" s="364">
        <f aca="true" t="shared" si="141" ref="AH16">L16*$D16</f>
        <v>0</v>
      </c>
      <c r="AI16" s="364">
        <f aca="true" t="shared" si="142" ref="AI16">M16*$D16</f>
        <v>0</v>
      </c>
      <c r="AJ16" s="364">
        <f aca="true" t="shared" si="143" ref="AJ16">N16*$D16</f>
        <v>0</v>
      </c>
      <c r="AK16" s="364">
        <f aca="true" t="shared" si="144" ref="AK16">O16*$D16</f>
        <v>0</v>
      </c>
      <c r="AL16" s="364">
        <f aca="true" t="shared" si="145" ref="AL16">P16*$D16</f>
        <v>50000</v>
      </c>
      <c r="AM16" s="364">
        <f aca="true" t="shared" si="146" ref="AM16">Q16*$D16</f>
        <v>50000</v>
      </c>
      <c r="AN16" s="364">
        <f aca="true" t="shared" si="147" ref="AN16">R16*$D16</f>
        <v>50000</v>
      </c>
      <c r="AO16" s="364">
        <f aca="true" t="shared" si="148" ref="AO16">S16*$D16</f>
        <v>50000</v>
      </c>
      <c r="AP16" s="364">
        <f aca="true" t="shared" si="149" ref="AP16">T16*$D16</f>
        <v>0</v>
      </c>
      <c r="AQ16" s="244">
        <f t="shared" si="13"/>
        <v>0</v>
      </c>
      <c r="AR16" s="364">
        <f t="shared" si="14"/>
        <v>0</v>
      </c>
      <c r="AS16" s="244">
        <f t="shared" si="15"/>
        <v>0</v>
      </c>
      <c r="AT16" s="364">
        <f t="shared" si="16"/>
        <v>0</v>
      </c>
      <c r="AU16" s="244"/>
      <c r="AV16" s="244">
        <f t="shared" si="134"/>
        <v>0</v>
      </c>
      <c r="AW16" s="244">
        <f t="shared" si="134"/>
        <v>0</v>
      </c>
      <c r="AX16" s="244">
        <f t="shared" si="134"/>
        <v>0</v>
      </c>
      <c r="AY16" s="244">
        <f t="shared" si="134"/>
        <v>0</v>
      </c>
      <c r="AZ16" s="244">
        <f t="shared" si="134"/>
        <v>0</v>
      </c>
      <c r="BA16" s="244">
        <f t="shared" si="134"/>
        <v>0</v>
      </c>
      <c r="BB16" s="244">
        <f t="shared" si="134"/>
        <v>0</v>
      </c>
      <c r="BC16" s="244">
        <f t="shared" si="134"/>
        <v>0</v>
      </c>
      <c r="BD16" s="244">
        <f t="shared" si="134"/>
        <v>0</v>
      </c>
      <c r="BE16" s="244">
        <f t="shared" si="134"/>
        <v>200000</v>
      </c>
      <c r="BF16" s="244">
        <f t="shared" si="134"/>
        <v>0</v>
      </c>
      <c r="BG16" s="244">
        <f t="shared" si="134"/>
        <v>0</v>
      </c>
      <c r="BH16" s="244">
        <f t="shared" si="134"/>
        <v>0</v>
      </c>
      <c r="BI16" s="244">
        <f t="shared" si="134"/>
        <v>0</v>
      </c>
      <c r="BJ16" s="244">
        <f t="shared" si="134"/>
        <v>0</v>
      </c>
      <c r="BK16" s="244">
        <f t="shared" si="134"/>
        <v>0</v>
      </c>
      <c r="BL16" s="244">
        <f t="shared" si="134"/>
        <v>0</v>
      </c>
      <c r="BM16" s="244">
        <f t="shared" si="114"/>
        <v>0</v>
      </c>
      <c r="BN16" s="244">
        <f t="shared" si="114"/>
        <v>0</v>
      </c>
      <c r="BO16" s="244">
        <f t="shared" si="45"/>
        <v>0</v>
      </c>
    </row>
    <row r="17" spans="1:67" s="297" customFormat="1" ht="15">
      <c r="A17" s="297" t="s">
        <v>143</v>
      </c>
      <c r="B17" s="245"/>
      <c r="C17" s="247"/>
      <c r="D17" s="369">
        <v>1200000</v>
      </c>
      <c r="E17" s="247" t="s">
        <v>259</v>
      </c>
      <c r="F17" s="346"/>
      <c r="G17" s="346"/>
      <c r="H17" s="346"/>
      <c r="I17" s="332"/>
      <c r="J17" s="332"/>
      <c r="K17" s="333"/>
      <c r="L17" s="333"/>
      <c r="M17" s="333"/>
      <c r="N17" s="333"/>
      <c r="O17" s="333">
        <v>0.1</v>
      </c>
      <c r="P17" s="333">
        <v>0.17</v>
      </c>
      <c r="Q17" s="333">
        <v>0.11</v>
      </c>
      <c r="R17" s="333">
        <v>0.11</v>
      </c>
      <c r="S17" s="333">
        <v>0.09</v>
      </c>
      <c r="T17" s="333">
        <v>0.19</v>
      </c>
      <c r="U17" s="333">
        <v>0.23</v>
      </c>
      <c r="V17" s="333"/>
      <c r="W17" s="333"/>
      <c r="X17" s="333"/>
      <c r="Y17" s="342">
        <f t="shared" si="21"/>
        <v>1</v>
      </c>
      <c r="Z17" s="247"/>
      <c r="AA17" s="247"/>
      <c r="AB17" s="244">
        <f aca="true" t="shared" si="150" ref="AB17">F17*$D17</f>
        <v>0</v>
      </c>
      <c r="AC17" s="244">
        <f aca="true" t="shared" si="151" ref="AC17">G17*$D17</f>
        <v>0</v>
      </c>
      <c r="AD17" s="244">
        <f aca="true" t="shared" si="152" ref="AD17">H17*$D17</f>
        <v>0</v>
      </c>
      <c r="AE17" s="244">
        <f aca="true" t="shared" si="153" ref="AE17">I17*$D17</f>
        <v>0</v>
      </c>
      <c r="AF17" s="244">
        <f aca="true" t="shared" si="154" ref="AF17">J17*$D17</f>
        <v>0</v>
      </c>
      <c r="AG17" s="364">
        <f aca="true" t="shared" si="155" ref="AG17">K17*$D17</f>
        <v>0</v>
      </c>
      <c r="AH17" s="364">
        <f aca="true" t="shared" si="156" ref="AH17">L17*$D17</f>
        <v>0</v>
      </c>
      <c r="AI17" s="364">
        <f aca="true" t="shared" si="157" ref="AI17">M17*$D17</f>
        <v>0</v>
      </c>
      <c r="AJ17" s="364">
        <f aca="true" t="shared" si="158" ref="AJ17">N17*$D17</f>
        <v>0</v>
      </c>
      <c r="AK17" s="364">
        <f aca="true" t="shared" si="159" ref="AK17">O17*$D17</f>
        <v>120000</v>
      </c>
      <c r="AL17" s="364">
        <f aca="true" t="shared" si="160" ref="AL17">P17*$D17</f>
        <v>204000.00000000003</v>
      </c>
      <c r="AM17" s="364">
        <f aca="true" t="shared" si="161" ref="AM17">Q17*$D17</f>
        <v>132000</v>
      </c>
      <c r="AN17" s="364">
        <f aca="true" t="shared" si="162" ref="AN17">R17*$D17</f>
        <v>132000</v>
      </c>
      <c r="AO17" s="364">
        <f aca="true" t="shared" si="163" ref="AO17">S17*$D17</f>
        <v>108000</v>
      </c>
      <c r="AP17" s="364">
        <f aca="true" t="shared" si="164" ref="AP17">T17*$D17</f>
        <v>228000</v>
      </c>
      <c r="AQ17" s="244">
        <f t="shared" si="13"/>
        <v>276000</v>
      </c>
      <c r="AR17" s="364">
        <f t="shared" si="14"/>
        <v>0</v>
      </c>
      <c r="AS17" s="244">
        <f t="shared" si="15"/>
        <v>0</v>
      </c>
      <c r="AT17" s="364">
        <f t="shared" si="16"/>
        <v>0</v>
      </c>
      <c r="AU17" s="244"/>
      <c r="AV17" s="244">
        <f t="shared" si="17"/>
        <v>0</v>
      </c>
      <c r="AW17" s="244">
        <f t="shared" si="17"/>
        <v>0</v>
      </c>
      <c r="AX17" s="244">
        <f t="shared" si="17"/>
        <v>0</v>
      </c>
      <c r="AY17" s="244">
        <f t="shared" si="17"/>
        <v>0</v>
      </c>
      <c r="AZ17" s="244">
        <f t="shared" si="17"/>
        <v>0</v>
      </c>
      <c r="BA17" s="244">
        <f t="shared" si="17"/>
        <v>0</v>
      </c>
      <c r="BB17" s="244">
        <f t="shared" si="17"/>
        <v>0</v>
      </c>
      <c r="BC17" s="244">
        <f t="shared" si="17"/>
        <v>0</v>
      </c>
      <c r="BD17" s="244">
        <f t="shared" si="17"/>
        <v>1200000</v>
      </c>
      <c r="BE17" s="244">
        <f t="shared" si="17"/>
        <v>0</v>
      </c>
      <c r="BF17" s="244">
        <f t="shared" si="17"/>
        <v>0</v>
      </c>
      <c r="BG17" s="244">
        <f t="shared" si="17"/>
        <v>0</v>
      </c>
      <c r="BH17" s="244">
        <f t="shared" si="17"/>
        <v>0</v>
      </c>
      <c r="BI17" s="244">
        <f t="shared" si="17"/>
        <v>0</v>
      </c>
      <c r="BJ17" s="244">
        <f t="shared" si="17"/>
        <v>0</v>
      </c>
      <c r="BK17" s="244">
        <f t="shared" si="134"/>
        <v>0</v>
      </c>
      <c r="BL17" s="244">
        <f t="shared" si="114"/>
        <v>0</v>
      </c>
      <c r="BM17" s="244">
        <f t="shared" si="114"/>
        <v>0</v>
      </c>
      <c r="BN17" s="244">
        <f t="shared" si="114"/>
        <v>0</v>
      </c>
      <c r="BO17" s="244">
        <f t="shared" si="45"/>
        <v>0</v>
      </c>
    </row>
    <row r="18" spans="1:67" ht="15">
      <c r="A18" t="s">
        <v>144</v>
      </c>
      <c r="B18" s="245"/>
      <c r="C18" s="247"/>
      <c r="D18" s="369">
        <v>2772876.18</v>
      </c>
      <c r="E18" s="247" t="s">
        <v>211</v>
      </c>
      <c r="F18" s="344"/>
      <c r="G18" s="344"/>
      <c r="H18" s="344"/>
      <c r="I18" s="345">
        <v>0</v>
      </c>
      <c r="J18" s="345"/>
      <c r="K18" s="345">
        <v>0.07476635514018692</v>
      </c>
      <c r="L18" s="345">
        <v>0.056074764942302374</v>
      </c>
      <c r="M18" s="345">
        <v>0.07476635325</v>
      </c>
      <c r="N18" s="345">
        <v>0.03738317662637211</v>
      </c>
      <c r="O18" s="345">
        <v>0.355140187200858</v>
      </c>
      <c r="P18" s="345">
        <v>0</v>
      </c>
      <c r="Q18" s="345">
        <v>0.08411214953271029</v>
      </c>
      <c r="R18" s="345">
        <v>0</v>
      </c>
      <c r="S18" s="345">
        <v>0</v>
      </c>
      <c r="T18" s="345">
        <f>1-(S18+R18+Q18+P18+O18+N18+M18+L18+K18+J18+I18)</f>
        <v>0.31775701330757034</v>
      </c>
      <c r="U18" s="345"/>
      <c r="V18" s="345"/>
      <c r="W18" s="345"/>
      <c r="X18" s="345"/>
      <c r="Y18" s="342">
        <f t="shared" si="21"/>
        <v>1</v>
      </c>
      <c r="Z18" s="247"/>
      <c r="AA18" s="247"/>
      <c r="AB18" s="244">
        <f t="shared" si="0"/>
        <v>0</v>
      </c>
      <c r="AC18" s="364">
        <f t="shared" si="1"/>
        <v>0</v>
      </c>
      <c r="AD18" s="364">
        <f t="shared" si="2"/>
        <v>0</v>
      </c>
      <c r="AE18" s="364">
        <f>I18*$D18</f>
        <v>0</v>
      </c>
      <c r="AF18" s="364">
        <f>J18*$D18</f>
        <v>0</v>
      </c>
      <c r="AG18" s="364">
        <f t="shared" si="22"/>
        <v>207317.84523364488</v>
      </c>
      <c r="AH18" s="364">
        <f t="shared" si="23"/>
        <v>155488.38000760935</v>
      </c>
      <c r="AI18" s="364">
        <f t="shared" si="24"/>
        <v>207317.8399923906</v>
      </c>
      <c r="AJ18" s="364">
        <f t="shared" si="19"/>
        <v>103658.92</v>
      </c>
      <c r="AK18" s="244">
        <f t="shared" si="20"/>
        <v>984759.7656500001</v>
      </c>
      <c r="AL18" s="244">
        <f t="shared" si="8"/>
        <v>0</v>
      </c>
      <c r="AM18" s="244">
        <f t="shared" si="9"/>
        <v>233232.57588785051</v>
      </c>
      <c r="AN18" s="244">
        <f t="shared" si="10"/>
        <v>0</v>
      </c>
      <c r="AO18" s="244">
        <f t="shared" si="11"/>
        <v>0</v>
      </c>
      <c r="AP18" s="244">
        <f t="shared" si="12"/>
        <v>881100.8532285049</v>
      </c>
      <c r="AQ18" s="244">
        <f t="shared" si="13"/>
        <v>0</v>
      </c>
      <c r="AR18" s="244">
        <f t="shared" si="14"/>
        <v>0</v>
      </c>
      <c r="AS18" s="244">
        <f t="shared" si="15"/>
        <v>0</v>
      </c>
      <c r="AT18" s="244">
        <f t="shared" si="16"/>
        <v>0</v>
      </c>
      <c r="AU18" s="244"/>
      <c r="AV18" s="244">
        <f t="shared" si="17"/>
        <v>0</v>
      </c>
      <c r="AW18" s="244">
        <f t="shared" si="17"/>
        <v>0</v>
      </c>
      <c r="AX18" s="244">
        <f t="shared" si="17"/>
        <v>0</v>
      </c>
      <c r="AY18" s="244">
        <f t="shared" si="17"/>
        <v>2772876.18</v>
      </c>
      <c r="AZ18" s="244">
        <f t="shared" si="17"/>
        <v>0</v>
      </c>
      <c r="BA18" s="244">
        <f t="shared" si="17"/>
        <v>0</v>
      </c>
      <c r="BB18" s="244">
        <f t="shared" si="17"/>
        <v>0</v>
      </c>
      <c r="BC18" s="244">
        <f t="shared" si="17"/>
        <v>0</v>
      </c>
      <c r="BD18" s="244">
        <f t="shared" si="17"/>
        <v>0</v>
      </c>
      <c r="BE18" s="244">
        <f t="shared" si="17"/>
        <v>0</v>
      </c>
      <c r="BF18" s="244">
        <f t="shared" si="17"/>
        <v>0</v>
      </c>
      <c r="BG18" s="244">
        <f t="shared" si="17"/>
        <v>0</v>
      </c>
      <c r="BH18" s="244">
        <f t="shared" si="17"/>
        <v>0</v>
      </c>
      <c r="BI18" s="244">
        <f t="shared" si="17"/>
        <v>0</v>
      </c>
      <c r="BJ18" s="244">
        <f t="shared" si="17"/>
        <v>0</v>
      </c>
      <c r="BK18" s="244">
        <f t="shared" si="134"/>
        <v>0</v>
      </c>
      <c r="BL18" s="244">
        <f t="shared" si="114"/>
        <v>0</v>
      </c>
      <c r="BM18" s="244">
        <f t="shared" si="114"/>
        <v>0</v>
      </c>
      <c r="BN18" s="244">
        <f t="shared" si="114"/>
        <v>0</v>
      </c>
      <c r="BO18" s="364">
        <f t="shared" si="45"/>
        <v>0</v>
      </c>
    </row>
    <row r="19" spans="1:67" s="297" customFormat="1" ht="15">
      <c r="A19" s="297" t="s">
        <v>146</v>
      </c>
      <c r="B19" s="245"/>
      <c r="C19" s="247"/>
      <c r="D19" s="369">
        <v>23.98</v>
      </c>
      <c r="E19" s="247" t="s">
        <v>193</v>
      </c>
      <c r="F19" s="344"/>
      <c r="G19" s="344"/>
      <c r="H19" s="344"/>
      <c r="I19" s="345"/>
      <c r="J19" s="345">
        <v>0</v>
      </c>
      <c r="K19" s="345">
        <v>0</v>
      </c>
      <c r="L19" s="345">
        <v>1</v>
      </c>
      <c r="M19" s="345">
        <v>0</v>
      </c>
      <c r="N19" s="345"/>
      <c r="O19" s="345"/>
      <c r="P19" s="345"/>
      <c r="Q19" s="345"/>
      <c r="R19" s="345"/>
      <c r="S19" s="345"/>
      <c r="T19" s="333"/>
      <c r="U19" s="333"/>
      <c r="V19" s="333"/>
      <c r="W19" s="333"/>
      <c r="X19" s="333"/>
      <c r="Y19" s="342">
        <f t="shared" si="21"/>
        <v>1</v>
      </c>
      <c r="Z19" s="247"/>
      <c r="AA19" s="247"/>
      <c r="AB19" s="244">
        <f aca="true" t="shared" si="165" ref="AB19">F19*$D19</f>
        <v>0</v>
      </c>
      <c r="AC19" s="364">
        <f aca="true" t="shared" si="166" ref="AC19">G19*$D19</f>
        <v>0</v>
      </c>
      <c r="AD19" s="364">
        <f aca="true" t="shared" si="167" ref="AD19">H19*$D19</f>
        <v>0</v>
      </c>
      <c r="AE19" s="364">
        <f aca="true" t="shared" si="168" ref="AE19">I19*$D19</f>
        <v>0</v>
      </c>
      <c r="AF19" s="364">
        <f>J19*$D19</f>
        <v>0</v>
      </c>
      <c r="AG19" s="364">
        <f aca="true" t="shared" si="169" ref="AG19">K19*$D19</f>
        <v>0</v>
      </c>
      <c r="AH19" s="364">
        <f aca="true" t="shared" si="170" ref="AH19">L19*$D19</f>
        <v>23.98</v>
      </c>
      <c r="AI19" s="364">
        <f aca="true" t="shared" si="171" ref="AI19">M19*$D19</f>
        <v>0</v>
      </c>
      <c r="AJ19" s="364">
        <f aca="true" t="shared" si="172" ref="AJ19">N19*$D19</f>
        <v>0</v>
      </c>
      <c r="AK19" s="244">
        <f aca="true" t="shared" si="173" ref="AK19">O19*$D19</f>
        <v>0</v>
      </c>
      <c r="AL19" s="244">
        <f aca="true" t="shared" si="174" ref="AL19">P19*$D19</f>
        <v>0</v>
      </c>
      <c r="AM19" s="244">
        <f aca="true" t="shared" si="175" ref="AM19">Q19*$D19</f>
        <v>0</v>
      </c>
      <c r="AN19" s="244">
        <f aca="true" t="shared" si="176" ref="AN19">R19*$D19</f>
        <v>0</v>
      </c>
      <c r="AO19" s="244">
        <f aca="true" t="shared" si="177" ref="AO19">S19*$D19</f>
        <v>0</v>
      </c>
      <c r="AP19" s="244">
        <f aca="true" t="shared" si="178" ref="AP19">T19*$D19</f>
        <v>0</v>
      </c>
      <c r="AQ19" s="244">
        <f t="shared" si="13"/>
        <v>0</v>
      </c>
      <c r="AR19" s="244">
        <f t="shared" si="14"/>
        <v>0</v>
      </c>
      <c r="AS19" s="244">
        <f t="shared" si="15"/>
        <v>0</v>
      </c>
      <c r="AT19" s="244">
        <f t="shared" si="16"/>
        <v>0</v>
      </c>
      <c r="AU19" s="244"/>
      <c r="AV19" s="244">
        <f t="shared" si="17"/>
        <v>0</v>
      </c>
      <c r="AW19" s="244">
        <f t="shared" si="17"/>
        <v>0</v>
      </c>
      <c r="AX19" s="244">
        <f t="shared" si="17"/>
        <v>0</v>
      </c>
      <c r="AY19" s="244">
        <f aca="true" t="shared" si="179" ref="AY19:BJ19">IF(AY$3=$E19,$D19,0)</f>
        <v>0</v>
      </c>
      <c r="AZ19" s="244">
        <v>0</v>
      </c>
      <c r="BA19" s="244">
        <v>0</v>
      </c>
      <c r="BB19" s="364">
        <f t="shared" si="179"/>
        <v>23.98</v>
      </c>
      <c r="BC19" s="244">
        <f t="shared" si="179"/>
        <v>0</v>
      </c>
      <c r="BD19" s="244">
        <f t="shared" si="179"/>
        <v>0</v>
      </c>
      <c r="BE19" s="244">
        <f t="shared" si="179"/>
        <v>0</v>
      </c>
      <c r="BF19" s="244">
        <f t="shared" si="179"/>
        <v>0</v>
      </c>
      <c r="BG19" s="244">
        <f t="shared" si="179"/>
        <v>0</v>
      </c>
      <c r="BH19" s="244">
        <f t="shared" si="179"/>
        <v>0</v>
      </c>
      <c r="BI19" s="244">
        <f t="shared" si="179"/>
        <v>0</v>
      </c>
      <c r="BJ19" s="244">
        <f t="shared" si="179"/>
        <v>0</v>
      </c>
      <c r="BK19" s="244">
        <f t="shared" si="134"/>
        <v>0</v>
      </c>
      <c r="BL19" s="244">
        <f t="shared" si="114"/>
        <v>0</v>
      </c>
      <c r="BM19" s="244">
        <f t="shared" si="114"/>
        <v>0</v>
      </c>
      <c r="BN19" s="244">
        <f t="shared" si="114"/>
        <v>0</v>
      </c>
      <c r="BO19" s="364">
        <f t="shared" si="45"/>
        <v>0</v>
      </c>
    </row>
    <row r="20" spans="1:67" s="297" customFormat="1" ht="15">
      <c r="A20" s="297" t="s">
        <v>146</v>
      </c>
      <c r="B20" s="245"/>
      <c r="C20" s="247"/>
      <c r="D20" s="369">
        <v>56.93</v>
      </c>
      <c r="E20" s="247" t="s">
        <v>193</v>
      </c>
      <c r="F20" s="344"/>
      <c r="G20" s="344"/>
      <c r="H20" s="344"/>
      <c r="I20" s="345"/>
      <c r="J20" s="345">
        <v>0</v>
      </c>
      <c r="K20" s="345">
        <v>0</v>
      </c>
      <c r="L20" s="345">
        <v>0</v>
      </c>
      <c r="M20" s="345">
        <v>1</v>
      </c>
      <c r="N20" s="345"/>
      <c r="O20" s="345"/>
      <c r="P20" s="345"/>
      <c r="Q20" s="345"/>
      <c r="R20" s="345"/>
      <c r="S20" s="345"/>
      <c r="T20" s="333"/>
      <c r="U20" s="333"/>
      <c r="V20" s="333"/>
      <c r="W20" s="333"/>
      <c r="X20" s="333"/>
      <c r="Y20" s="342">
        <f t="shared" si="21"/>
        <v>1</v>
      </c>
      <c r="Z20" s="247"/>
      <c r="AA20" s="247"/>
      <c r="AB20" s="244">
        <f t="shared" si="0"/>
        <v>0</v>
      </c>
      <c r="AC20" s="364">
        <f t="shared" si="1"/>
        <v>0</v>
      </c>
      <c r="AD20" s="364">
        <f t="shared" si="2"/>
        <v>0</v>
      </c>
      <c r="AE20" s="364">
        <f aca="true" t="shared" si="180" ref="AE20">I20*$D20</f>
        <v>0</v>
      </c>
      <c r="AF20" s="364">
        <f>J20*$D20</f>
        <v>0</v>
      </c>
      <c r="AG20" s="364">
        <f t="shared" si="22"/>
        <v>0</v>
      </c>
      <c r="AH20" s="364">
        <f t="shared" si="23"/>
        <v>0</v>
      </c>
      <c r="AI20" s="364">
        <f t="shared" si="24"/>
        <v>56.93</v>
      </c>
      <c r="AJ20" s="364">
        <f t="shared" si="19"/>
        <v>0</v>
      </c>
      <c r="AK20" s="244">
        <f t="shared" si="20"/>
        <v>0</v>
      </c>
      <c r="AL20" s="244">
        <f t="shared" si="8"/>
        <v>0</v>
      </c>
      <c r="AM20" s="244">
        <f t="shared" si="9"/>
        <v>0</v>
      </c>
      <c r="AN20" s="244">
        <f t="shared" si="10"/>
        <v>0</v>
      </c>
      <c r="AO20" s="244">
        <f t="shared" si="11"/>
        <v>0</v>
      </c>
      <c r="AP20" s="244">
        <f t="shared" si="12"/>
        <v>0</v>
      </c>
      <c r="AQ20" s="244">
        <f t="shared" si="13"/>
        <v>0</v>
      </c>
      <c r="AR20" s="244">
        <f t="shared" si="14"/>
        <v>0</v>
      </c>
      <c r="AS20" s="244">
        <f t="shared" si="15"/>
        <v>0</v>
      </c>
      <c r="AT20" s="244">
        <f t="shared" si="16"/>
        <v>0</v>
      </c>
      <c r="AU20" s="244"/>
      <c r="AV20" s="244">
        <f t="shared" si="17"/>
        <v>0</v>
      </c>
      <c r="AW20" s="244">
        <f t="shared" si="17"/>
        <v>0</v>
      </c>
      <c r="AX20" s="244">
        <f t="shared" si="17"/>
        <v>0</v>
      </c>
      <c r="AY20" s="244">
        <f t="shared" si="17"/>
        <v>0</v>
      </c>
      <c r="AZ20" s="244">
        <v>0</v>
      </c>
      <c r="BA20" s="244">
        <v>0</v>
      </c>
      <c r="BB20" s="244">
        <f t="shared" si="17"/>
        <v>56.93</v>
      </c>
      <c r="BC20" s="364">
        <f t="shared" si="17"/>
        <v>0</v>
      </c>
      <c r="BD20" s="244">
        <f t="shared" si="17"/>
        <v>0</v>
      </c>
      <c r="BE20" s="244">
        <f t="shared" si="17"/>
        <v>0</v>
      </c>
      <c r="BF20" s="244">
        <f t="shared" si="17"/>
        <v>0</v>
      </c>
      <c r="BG20" s="244">
        <f t="shared" si="17"/>
        <v>0</v>
      </c>
      <c r="BH20" s="244">
        <f t="shared" si="17"/>
        <v>0</v>
      </c>
      <c r="BI20" s="244">
        <f t="shared" si="17"/>
        <v>0</v>
      </c>
      <c r="BJ20" s="244">
        <f t="shared" si="17"/>
        <v>0</v>
      </c>
      <c r="BK20" s="244">
        <f t="shared" si="134"/>
        <v>0</v>
      </c>
      <c r="BL20" s="244">
        <f t="shared" si="114"/>
        <v>0</v>
      </c>
      <c r="BM20" s="244">
        <f t="shared" si="114"/>
        <v>0</v>
      </c>
      <c r="BN20" s="244">
        <f t="shared" si="114"/>
        <v>0</v>
      </c>
      <c r="BO20" s="364">
        <f t="shared" si="45"/>
        <v>0</v>
      </c>
    </row>
    <row r="21" spans="1:67" s="297" customFormat="1" ht="15">
      <c r="A21" s="297" t="s">
        <v>147</v>
      </c>
      <c r="B21" s="356"/>
      <c r="C21" s="247"/>
      <c r="D21" s="355">
        <v>36998.88</v>
      </c>
      <c r="E21" s="247" t="s">
        <v>179</v>
      </c>
      <c r="F21" s="397"/>
      <c r="G21" s="397"/>
      <c r="H21" s="397"/>
      <c r="I21" s="333">
        <v>0.24325060650484556</v>
      </c>
      <c r="J21" s="333">
        <v>0.2619517131329381</v>
      </c>
      <c r="K21" s="333">
        <v>0.23700393092980113</v>
      </c>
      <c r="L21" s="333">
        <v>0.2577937494324153</v>
      </c>
      <c r="M21" s="333">
        <v>0</v>
      </c>
      <c r="N21" s="333"/>
      <c r="O21" s="333"/>
      <c r="P21" s="333"/>
      <c r="Q21" s="333"/>
      <c r="R21" s="332"/>
      <c r="S21" s="332"/>
      <c r="T21" s="332"/>
      <c r="U21" s="332"/>
      <c r="V21" s="332"/>
      <c r="W21" s="332"/>
      <c r="X21" s="332"/>
      <c r="Y21" s="342">
        <f t="shared" si="21"/>
        <v>1</v>
      </c>
      <c r="Z21" s="247"/>
      <c r="AA21" s="247"/>
      <c r="AB21" s="244">
        <f t="shared" si="0"/>
        <v>0</v>
      </c>
      <c r="AC21" s="244">
        <f t="shared" si="1"/>
        <v>0</v>
      </c>
      <c r="AD21" s="244">
        <f t="shared" si="2"/>
        <v>0</v>
      </c>
      <c r="AE21" s="244">
        <f t="shared" si="3"/>
        <v>9000</v>
      </c>
      <c r="AF21" s="364">
        <f>J21*$D21</f>
        <v>9691.92</v>
      </c>
      <c r="AG21" s="244">
        <f t="shared" si="22"/>
        <v>8768.88</v>
      </c>
      <c r="AH21" s="364">
        <f t="shared" si="23"/>
        <v>9538.08</v>
      </c>
      <c r="AI21" s="364">
        <f t="shared" si="24"/>
        <v>0</v>
      </c>
      <c r="AJ21" s="364">
        <f t="shared" si="19"/>
        <v>0</v>
      </c>
      <c r="AK21" s="364">
        <f t="shared" si="20"/>
        <v>0</v>
      </c>
      <c r="AL21" s="364">
        <f t="shared" si="8"/>
        <v>0</v>
      </c>
      <c r="AM21" s="364">
        <f t="shared" si="9"/>
        <v>0</v>
      </c>
      <c r="AN21" s="364">
        <f t="shared" si="10"/>
        <v>0</v>
      </c>
      <c r="AO21" s="364">
        <f t="shared" si="11"/>
        <v>0</v>
      </c>
      <c r="AP21" s="244">
        <f t="shared" si="12"/>
        <v>0</v>
      </c>
      <c r="AQ21" s="244">
        <f t="shared" si="13"/>
        <v>0</v>
      </c>
      <c r="AR21" s="244">
        <f t="shared" si="14"/>
        <v>0</v>
      </c>
      <c r="AS21" s="244">
        <f t="shared" si="15"/>
        <v>0</v>
      </c>
      <c r="AT21" s="244">
        <f t="shared" si="16"/>
        <v>0</v>
      </c>
      <c r="AU21" s="244"/>
      <c r="AV21" s="244">
        <f t="shared" si="17"/>
        <v>0</v>
      </c>
      <c r="AW21" s="244">
        <f t="shared" si="17"/>
        <v>0</v>
      </c>
      <c r="AX21" s="364">
        <f aca="true" t="shared" si="181" ref="AX21:AY35">IF(AX$3=$E21,$D21,0)</f>
        <v>36998.88</v>
      </c>
      <c r="AY21" s="244">
        <f t="shared" si="181"/>
        <v>0</v>
      </c>
      <c r="AZ21" s="244">
        <f t="shared" si="17"/>
        <v>0</v>
      </c>
      <c r="BA21" s="244">
        <f t="shared" si="17"/>
        <v>0</v>
      </c>
      <c r="BB21" s="244">
        <f t="shared" si="17"/>
        <v>0</v>
      </c>
      <c r="BC21" s="244">
        <f t="shared" si="17"/>
        <v>0</v>
      </c>
      <c r="BD21" s="244">
        <f t="shared" si="17"/>
        <v>0</v>
      </c>
      <c r="BE21" s="244">
        <f t="shared" si="17"/>
        <v>0</v>
      </c>
      <c r="BF21" s="244">
        <f t="shared" si="17"/>
        <v>0</v>
      </c>
      <c r="BG21" s="244">
        <f t="shared" si="17"/>
        <v>0</v>
      </c>
      <c r="BH21" s="244">
        <f t="shared" si="17"/>
        <v>0</v>
      </c>
      <c r="BI21" s="244">
        <f t="shared" si="17"/>
        <v>0</v>
      </c>
      <c r="BJ21" s="244">
        <f t="shared" si="17"/>
        <v>0</v>
      </c>
      <c r="BK21" s="244">
        <f t="shared" si="134"/>
        <v>0</v>
      </c>
      <c r="BL21" s="244">
        <f t="shared" si="114"/>
        <v>0</v>
      </c>
      <c r="BM21" s="244">
        <f t="shared" si="114"/>
        <v>0</v>
      </c>
      <c r="BN21" s="244">
        <f t="shared" si="114"/>
        <v>0</v>
      </c>
      <c r="BO21" s="244">
        <f t="shared" si="45"/>
        <v>0</v>
      </c>
    </row>
    <row r="22" spans="1:67" s="297" customFormat="1" ht="15">
      <c r="A22" s="297" t="s">
        <v>147</v>
      </c>
      <c r="B22" s="356"/>
      <c r="C22" s="247"/>
      <c r="D22" s="355">
        <v>43134</v>
      </c>
      <c r="E22" s="247" t="s">
        <v>193</v>
      </c>
      <c r="F22" s="397"/>
      <c r="G22" s="397"/>
      <c r="H22" s="397"/>
      <c r="I22" s="333"/>
      <c r="J22" s="333"/>
      <c r="K22" s="333"/>
      <c r="L22" s="333">
        <v>0</v>
      </c>
      <c r="M22" s="333">
        <v>0.2461538461538461</v>
      </c>
      <c r="N22" s="333">
        <v>0.2625641025641025</v>
      </c>
      <c r="O22" s="333">
        <v>0.25435897435897437</v>
      </c>
      <c r="P22" s="333">
        <f>1-(O22+N22+M22)</f>
        <v>0.23692307692307701</v>
      </c>
      <c r="Q22" s="333"/>
      <c r="R22" s="333"/>
      <c r="S22" s="333"/>
      <c r="T22" s="333"/>
      <c r="U22" s="333"/>
      <c r="V22" s="333"/>
      <c r="W22" s="333"/>
      <c r="X22" s="333"/>
      <c r="Y22" s="342">
        <f t="shared" si="21"/>
        <v>1</v>
      </c>
      <c r="Z22" s="247"/>
      <c r="AA22" s="247"/>
      <c r="AB22" s="244">
        <f aca="true" t="shared" si="182" ref="AB22">F22*$D22</f>
        <v>0</v>
      </c>
      <c r="AC22" s="244">
        <f aca="true" t="shared" si="183" ref="AC22">G22*$D22</f>
        <v>0</v>
      </c>
      <c r="AD22" s="244">
        <f aca="true" t="shared" si="184" ref="AD22">H22*$D22</f>
        <v>0</v>
      </c>
      <c r="AE22" s="244">
        <f aca="true" t="shared" si="185" ref="AE22">I22*$D22</f>
        <v>0</v>
      </c>
      <c r="AF22" s="244">
        <f aca="true" t="shared" si="186" ref="AF22">J22*$D22</f>
        <v>0</v>
      </c>
      <c r="AG22" s="244">
        <f aca="true" t="shared" si="187" ref="AG22">K22*$D22</f>
        <v>0</v>
      </c>
      <c r="AH22" s="364">
        <f aca="true" t="shared" si="188" ref="AH22">L22*$D22</f>
        <v>0</v>
      </c>
      <c r="AI22" s="364">
        <f aca="true" t="shared" si="189" ref="AI22">M22*$D22</f>
        <v>10617.599999999999</v>
      </c>
      <c r="AJ22" s="364">
        <f aca="true" t="shared" si="190" ref="AJ22">N22*$D22</f>
        <v>11325.439999999997</v>
      </c>
      <c r="AK22" s="364">
        <f aca="true" t="shared" si="191" ref="AK22">O22*$D22</f>
        <v>10971.52</v>
      </c>
      <c r="AL22" s="364">
        <f aca="true" t="shared" si="192" ref="AL22">P22*$D22</f>
        <v>10219.440000000004</v>
      </c>
      <c r="AM22" s="364">
        <f aca="true" t="shared" si="193" ref="AM22">Q22*$D22</f>
        <v>0</v>
      </c>
      <c r="AN22" s="364">
        <f aca="true" t="shared" si="194" ref="AN22">R22*$D22</f>
        <v>0</v>
      </c>
      <c r="AO22" s="364">
        <f aca="true" t="shared" si="195" ref="AO22">S22*$D22</f>
        <v>0</v>
      </c>
      <c r="AP22" s="244">
        <f aca="true" t="shared" si="196" ref="AP22">T22*$D22</f>
        <v>0</v>
      </c>
      <c r="AQ22" s="244">
        <f t="shared" si="13"/>
        <v>0</v>
      </c>
      <c r="AR22" s="244">
        <f t="shared" si="14"/>
        <v>0</v>
      </c>
      <c r="AS22" s="244">
        <f t="shared" si="15"/>
        <v>0</v>
      </c>
      <c r="AT22" s="244">
        <f t="shared" si="16"/>
        <v>0</v>
      </c>
      <c r="AU22" s="244"/>
      <c r="AV22" s="244">
        <f t="shared" si="17"/>
        <v>0</v>
      </c>
      <c r="AW22" s="244">
        <f t="shared" si="17"/>
        <v>0</v>
      </c>
      <c r="AX22" s="364">
        <f t="shared" si="17"/>
        <v>0</v>
      </c>
      <c r="AY22" s="244">
        <f t="shared" si="181"/>
        <v>0</v>
      </c>
      <c r="AZ22" s="244">
        <f t="shared" si="17"/>
        <v>0</v>
      </c>
      <c r="BA22" s="244">
        <f t="shared" si="17"/>
        <v>0</v>
      </c>
      <c r="BB22" s="244">
        <f aca="true" t="shared" si="197" ref="BB22:BJ23">IF(BB$3=$E22,$D22,0)</f>
        <v>43134</v>
      </c>
      <c r="BC22" s="244">
        <f t="shared" si="17"/>
        <v>0</v>
      </c>
      <c r="BD22" s="244">
        <f t="shared" si="17"/>
        <v>0</v>
      </c>
      <c r="BE22" s="244">
        <f t="shared" si="17"/>
        <v>0</v>
      </c>
      <c r="BF22" s="244">
        <f t="shared" si="17"/>
        <v>0</v>
      </c>
      <c r="BG22" s="244">
        <f t="shared" si="17"/>
        <v>0</v>
      </c>
      <c r="BH22" s="244">
        <f t="shared" si="17"/>
        <v>0</v>
      </c>
      <c r="BI22" s="244">
        <f t="shared" si="17"/>
        <v>0</v>
      </c>
      <c r="BJ22" s="244">
        <f t="shared" si="17"/>
        <v>0</v>
      </c>
      <c r="BK22" s="244">
        <f t="shared" si="134"/>
        <v>0</v>
      </c>
      <c r="BL22" s="244">
        <f t="shared" si="114"/>
        <v>0</v>
      </c>
      <c r="BM22" s="244">
        <f t="shared" si="114"/>
        <v>0</v>
      </c>
      <c r="BN22" s="244">
        <f t="shared" si="114"/>
        <v>0</v>
      </c>
      <c r="BO22" s="244">
        <f t="shared" si="45"/>
        <v>0</v>
      </c>
    </row>
    <row r="23" spans="1:67" s="297" customFormat="1" ht="15">
      <c r="A23" s="297" t="s">
        <v>147</v>
      </c>
      <c r="B23" s="356"/>
      <c r="C23" s="247"/>
      <c r="D23" s="355">
        <v>43134</v>
      </c>
      <c r="E23" s="247" t="s">
        <v>281</v>
      </c>
      <c r="F23" s="397">
        <v>0</v>
      </c>
      <c r="G23" s="397"/>
      <c r="H23" s="397"/>
      <c r="I23" s="333"/>
      <c r="J23" s="333"/>
      <c r="K23" s="333"/>
      <c r="L23" s="333">
        <v>0</v>
      </c>
      <c r="M23" s="333">
        <v>0</v>
      </c>
      <c r="N23" s="333">
        <v>0</v>
      </c>
      <c r="O23" s="333">
        <v>0</v>
      </c>
      <c r="P23" s="333">
        <v>0.25</v>
      </c>
      <c r="Q23" s="333">
        <v>0.25</v>
      </c>
      <c r="R23" s="333">
        <v>0.25</v>
      </c>
      <c r="S23" s="333">
        <v>0.25</v>
      </c>
      <c r="T23" s="333"/>
      <c r="U23" s="333"/>
      <c r="V23" s="333"/>
      <c r="W23" s="333"/>
      <c r="X23" s="333"/>
      <c r="Y23" s="342">
        <f t="shared" si="21"/>
        <v>1</v>
      </c>
      <c r="Z23" s="247"/>
      <c r="AA23" s="247"/>
      <c r="AB23" s="244">
        <f aca="true" t="shared" si="198" ref="AB23">F23*$D23</f>
        <v>0</v>
      </c>
      <c r="AC23" s="244">
        <f aca="true" t="shared" si="199" ref="AC23">G23*$D23</f>
        <v>0</v>
      </c>
      <c r="AD23" s="244">
        <f aca="true" t="shared" si="200" ref="AD23">H23*$D23</f>
        <v>0</v>
      </c>
      <c r="AE23" s="244">
        <f aca="true" t="shared" si="201" ref="AE23">I23*$D23</f>
        <v>0</v>
      </c>
      <c r="AF23" s="244">
        <f aca="true" t="shared" si="202" ref="AF23">J23*$D23</f>
        <v>0</v>
      </c>
      <c r="AG23" s="244">
        <f aca="true" t="shared" si="203" ref="AG23">K23*$D23</f>
        <v>0</v>
      </c>
      <c r="AH23" s="364">
        <f aca="true" t="shared" si="204" ref="AH23">L23*$D23</f>
        <v>0</v>
      </c>
      <c r="AI23" s="364">
        <f aca="true" t="shared" si="205" ref="AI23">M23*$D23</f>
        <v>0</v>
      </c>
      <c r="AJ23" s="364">
        <f aca="true" t="shared" si="206" ref="AJ23">N23*$D23</f>
        <v>0</v>
      </c>
      <c r="AK23" s="364">
        <f aca="true" t="shared" si="207" ref="AK23">O23*$D23</f>
        <v>0</v>
      </c>
      <c r="AL23" s="364">
        <f aca="true" t="shared" si="208" ref="AL23">P23*$D23</f>
        <v>10783.5</v>
      </c>
      <c r="AM23" s="364">
        <f aca="true" t="shared" si="209" ref="AM23">Q23*$D23</f>
        <v>10783.5</v>
      </c>
      <c r="AN23" s="364">
        <f aca="true" t="shared" si="210" ref="AN23">R23*$D23</f>
        <v>10783.5</v>
      </c>
      <c r="AO23" s="364">
        <f aca="true" t="shared" si="211" ref="AO23">S23*$D23</f>
        <v>10783.5</v>
      </c>
      <c r="AP23" s="244">
        <f aca="true" t="shared" si="212" ref="AP23">T23*$D23</f>
        <v>0</v>
      </c>
      <c r="AQ23" s="244">
        <f aca="true" t="shared" si="213" ref="AQ23">U23*$D23</f>
        <v>0</v>
      </c>
      <c r="AR23" s="244">
        <f aca="true" t="shared" si="214" ref="AR23">V23*$D23</f>
        <v>0</v>
      </c>
      <c r="AS23" s="244">
        <f aca="true" t="shared" si="215" ref="AS23">W23*$D23</f>
        <v>0</v>
      </c>
      <c r="AT23" s="244">
        <f aca="true" t="shared" si="216" ref="AT23">X23*$D23</f>
        <v>0</v>
      </c>
      <c r="AU23" s="244"/>
      <c r="AV23" s="244">
        <f t="shared" si="17"/>
        <v>0</v>
      </c>
      <c r="AW23" s="244">
        <f t="shared" si="17"/>
        <v>0</v>
      </c>
      <c r="AX23" s="364">
        <f t="shared" si="17"/>
        <v>0</v>
      </c>
      <c r="AY23" s="244">
        <f t="shared" si="181"/>
        <v>0</v>
      </c>
      <c r="AZ23" s="244">
        <f t="shared" si="17"/>
        <v>0</v>
      </c>
      <c r="BA23" s="244">
        <f t="shared" si="17"/>
        <v>0</v>
      </c>
      <c r="BB23" s="244">
        <f t="shared" si="197"/>
        <v>0</v>
      </c>
      <c r="BC23" s="244">
        <f t="shared" si="197"/>
        <v>0</v>
      </c>
      <c r="BD23" s="244">
        <f t="shared" si="197"/>
        <v>0</v>
      </c>
      <c r="BE23" s="244">
        <f t="shared" si="197"/>
        <v>0</v>
      </c>
      <c r="BF23" s="244">
        <f t="shared" si="197"/>
        <v>43134</v>
      </c>
      <c r="BG23" s="244">
        <f t="shared" si="197"/>
        <v>0</v>
      </c>
      <c r="BH23" s="244">
        <f t="shared" si="197"/>
        <v>0</v>
      </c>
      <c r="BI23" s="244">
        <f t="shared" si="197"/>
        <v>0</v>
      </c>
      <c r="BJ23" s="244">
        <f t="shared" si="197"/>
        <v>0</v>
      </c>
      <c r="BK23" s="244">
        <f t="shared" si="134"/>
        <v>0</v>
      </c>
      <c r="BL23" s="244">
        <f t="shared" si="114"/>
        <v>0</v>
      </c>
      <c r="BM23" s="244">
        <f t="shared" si="114"/>
        <v>0</v>
      </c>
      <c r="BN23" s="244">
        <f t="shared" si="114"/>
        <v>0</v>
      </c>
      <c r="BO23" s="244">
        <f t="shared" si="45"/>
        <v>0</v>
      </c>
    </row>
    <row r="24" spans="1:67" s="297" customFormat="1" ht="15">
      <c r="A24" s="297" t="s">
        <v>147</v>
      </c>
      <c r="B24" s="356"/>
      <c r="C24" s="247"/>
      <c r="D24" s="355">
        <v>18759</v>
      </c>
      <c r="E24" s="247" t="s">
        <v>193</v>
      </c>
      <c r="F24" s="397"/>
      <c r="G24" s="397"/>
      <c r="H24" s="397"/>
      <c r="I24" s="333"/>
      <c r="J24" s="333"/>
      <c r="K24" s="333"/>
      <c r="L24" s="333">
        <v>0.17230769230769233</v>
      </c>
      <c r="M24" s="398">
        <v>0.24</v>
      </c>
      <c r="N24" s="333">
        <v>0.26666666666666666</v>
      </c>
      <c r="O24" s="333">
        <v>0.2543589743589743</v>
      </c>
      <c r="P24" s="333">
        <f>1-(O24+N24+M24+L24)</f>
        <v>0.06666666666666665</v>
      </c>
      <c r="Q24" s="333"/>
      <c r="R24" s="333"/>
      <c r="S24" s="333"/>
      <c r="T24" s="333"/>
      <c r="U24" s="333"/>
      <c r="V24" s="333"/>
      <c r="W24" s="333"/>
      <c r="X24" s="333"/>
      <c r="Y24" s="342">
        <f t="shared" si="21"/>
        <v>1</v>
      </c>
      <c r="Z24" s="247"/>
      <c r="AA24" s="247"/>
      <c r="AB24" s="244">
        <f aca="true" t="shared" si="217" ref="AB24">F24*$D24</f>
        <v>0</v>
      </c>
      <c r="AC24" s="244">
        <f aca="true" t="shared" si="218" ref="AC24">G24*$D24</f>
        <v>0</v>
      </c>
      <c r="AD24" s="244">
        <f aca="true" t="shared" si="219" ref="AD24">H24*$D24</f>
        <v>0</v>
      </c>
      <c r="AE24" s="244">
        <f aca="true" t="shared" si="220" ref="AE24">I24*$D24</f>
        <v>0</v>
      </c>
      <c r="AF24" s="244">
        <f aca="true" t="shared" si="221" ref="AF24">J24*$D24</f>
        <v>0</v>
      </c>
      <c r="AG24" s="244">
        <f aca="true" t="shared" si="222" ref="AG24:AG25">K24*$D24</f>
        <v>0</v>
      </c>
      <c r="AH24" s="364">
        <f aca="true" t="shared" si="223" ref="AH24">L24*$D24</f>
        <v>3232.32</v>
      </c>
      <c r="AI24" s="364">
        <f aca="true" t="shared" si="224" ref="AI24">M24*$D24</f>
        <v>4502.16</v>
      </c>
      <c r="AJ24" s="364">
        <f aca="true" t="shared" si="225" ref="AJ24">N24*$D24</f>
        <v>5002.4</v>
      </c>
      <c r="AK24" s="364">
        <f aca="true" t="shared" si="226" ref="AK24">O24*$D24</f>
        <v>4771.5199999999995</v>
      </c>
      <c r="AL24" s="364">
        <f aca="true" t="shared" si="227" ref="AL24">P24*$D24</f>
        <v>1250.5999999999997</v>
      </c>
      <c r="AM24" s="364">
        <f aca="true" t="shared" si="228" ref="AM24">Q24*$D24</f>
        <v>0</v>
      </c>
      <c r="AN24" s="364">
        <f aca="true" t="shared" si="229" ref="AN24">R24*$D24</f>
        <v>0</v>
      </c>
      <c r="AO24" s="364">
        <f aca="true" t="shared" si="230" ref="AO24">S24*$D24</f>
        <v>0</v>
      </c>
      <c r="AP24" s="244">
        <f aca="true" t="shared" si="231" ref="AP24">T24*$D24</f>
        <v>0</v>
      </c>
      <c r="AQ24" s="244">
        <f t="shared" si="13"/>
        <v>0</v>
      </c>
      <c r="AR24" s="244">
        <f t="shared" si="14"/>
        <v>0</v>
      </c>
      <c r="AS24" s="244">
        <f t="shared" si="15"/>
        <v>0</v>
      </c>
      <c r="AT24" s="244">
        <f t="shared" si="16"/>
        <v>0</v>
      </c>
      <c r="AU24" s="244"/>
      <c r="AV24" s="244">
        <f t="shared" si="17"/>
        <v>0</v>
      </c>
      <c r="AW24" s="244">
        <f t="shared" si="17"/>
        <v>0</v>
      </c>
      <c r="AX24" s="364">
        <f t="shared" si="17"/>
        <v>0</v>
      </c>
      <c r="AY24" s="244">
        <f t="shared" si="181"/>
        <v>0</v>
      </c>
      <c r="AZ24" s="244">
        <f t="shared" si="17"/>
        <v>0</v>
      </c>
      <c r="BA24" s="244">
        <f t="shared" si="17"/>
        <v>0</v>
      </c>
      <c r="BB24" s="244">
        <f t="shared" si="17"/>
        <v>18759</v>
      </c>
      <c r="BC24" s="244">
        <f t="shared" si="17"/>
        <v>0</v>
      </c>
      <c r="BD24" s="244">
        <f t="shared" si="17"/>
        <v>0</v>
      </c>
      <c r="BE24" s="244">
        <f t="shared" si="17"/>
        <v>0</v>
      </c>
      <c r="BF24" s="244">
        <f t="shared" si="17"/>
        <v>0</v>
      </c>
      <c r="BG24" s="244">
        <f t="shared" si="17"/>
        <v>0</v>
      </c>
      <c r="BH24" s="244">
        <f t="shared" si="17"/>
        <v>0</v>
      </c>
      <c r="BI24" s="244">
        <f t="shared" si="17"/>
        <v>0</v>
      </c>
      <c r="BJ24" s="244">
        <f t="shared" si="17"/>
        <v>0</v>
      </c>
      <c r="BK24" s="244">
        <f t="shared" si="134"/>
        <v>0</v>
      </c>
      <c r="BL24" s="244">
        <f t="shared" si="114"/>
        <v>0</v>
      </c>
      <c r="BM24" s="244">
        <f t="shared" si="114"/>
        <v>0</v>
      </c>
      <c r="BN24" s="244">
        <f t="shared" si="114"/>
        <v>0</v>
      </c>
      <c r="BO24" s="244">
        <f t="shared" si="45"/>
        <v>0</v>
      </c>
    </row>
    <row r="25" spans="1:67" s="297" customFormat="1" ht="15">
      <c r="A25" s="297" t="s">
        <v>147</v>
      </c>
      <c r="B25" s="356"/>
      <c r="C25" s="320"/>
      <c r="D25" s="355">
        <v>120000</v>
      </c>
      <c r="E25" s="247" t="s">
        <v>258</v>
      </c>
      <c r="F25" s="397"/>
      <c r="G25" s="397"/>
      <c r="H25" s="397"/>
      <c r="I25" s="333"/>
      <c r="J25" s="333"/>
      <c r="K25" s="333">
        <v>0</v>
      </c>
      <c r="L25" s="333">
        <v>0</v>
      </c>
      <c r="M25" s="333">
        <v>0</v>
      </c>
      <c r="N25" s="333">
        <v>0</v>
      </c>
      <c r="O25" s="333">
        <v>0.0833333333333333</v>
      </c>
      <c r="P25" s="333">
        <v>0.25</v>
      </c>
      <c r="Q25" s="333">
        <v>0.25</v>
      </c>
      <c r="R25" s="333">
        <v>0.25</v>
      </c>
      <c r="S25" s="333">
        <v>0.166666666666666</v>
      </c>
      <c r="T25" s="333"/>
      <c r="U25" s="333"/>
      <c r="V25" s="333"/>
      <c r="W25" s="333"/>
      <c r="X25" s="333"/>
      <c r="Y25" s="342">
        <f t="shared" si="21"/>
        <v>0.9999999999999992</v>
      </c>
      <c r="Z25" s="247"/>
      <c r="AA25" s="247"/>
      <c r="AB25" s="244">
        <f t="shared" si="0"/>
        <v>0</v>
      </c>
      <c r="AC25" s="244">
        <f t="shared" si="1"/>
        <v>0</v>
      </c>
      <c r="AD25" s="244">
        <f t="shared" si="2"/>
        <v>0</v>
      </c>
      <c r="AE25" s="244">
        <f t="shared" si="3"/>
        <v>0</v>
      </c>
      <c r="AF25" s="244">
        <f>J25*$D25</f>
        <v>0</v>
      </c>
      <c r="AG25" s="244">
        <f t="shared" si="222"/>
        <v>0</v>
      </c>
      <c r="AH25" s="364">
        <f t="shared" si="23"/>
        <v>0</v>
      </c>
      <c r="AI25" s="364">
        <f t="shared" si="24"/>
        <v>0</v>
      </c>
      <c r="AJ25" s="364">
        <f t="shared" si="19"/>
        <v>0</v>
      </c>
      <c r="AK25" s="364">
        <f t="shared" si="20"/>
        <v>9999.999999999996</v>
      </c>
      <c r="AL25" s="364">
        <f t="shared" si="8"/>
        <v>30000</v>
      </c>
      <c r="AM25" s="364">
        <f t="shared" si="9"/>
        <v>30000</v>
      </c>
      <c r="AN25" s="364">
        <f t="shared" si="10"/>
        <v>30000</v>
      </c>
      <c r="AO25" s="364">
        <f t="shared" si="11"/>
        <v>19999.99999999992</v>
      </c>
      <c r="AP25" s="244">
        <f t="shared" si="12"/>
        <v>0</v>
      </c>
      <c r="AQ25" s="244">
        <f t="shared" si="13"/>
        <v>0</v>
      </c>
      <c r="AR25" s="244">
        <f t="shared" si="14"/>
        <v>0</v>
      </c>
      <c r="AS25" s="244">
        <f t="shared" si="15"/>
        <v>0</v>
      </c>
      <c r="AT25" s="244">
        <f t="shared" si="16"/>
        <v>0</v>
      </c>
      <c r="AU25" s="244"/>
      <c r="AV25" s="244">
        <f t="shared" si="17"/>
        <v>0</v>
      </c>
      <c r="AW25" s="244">
        <f t="shared" si="17"/>
        <v>0</v>
      </c>
      <c r="AX25" s="364">
        <f t="shared" si="17"/>
        <v>0</v>
      </c>
      <c r="AY25" s="244">
        <f t="shared" si="181"/>
        <v>0</v>
      </c>
      <c r="AZ25" s="244">
        <f t="shared" si="17"/>
        <v>0</v>
      </c>
      <c r="BA25" s="244">
        <f t="shared" si="17"/>
        <v>0</v>
      </c>
      <c r="BB25" s="244">
        <f t="shared" si="17"/>
        <v>0</v>
      </c>
      <c r="BC25" s="244">
        <f t="shared" si="17"/>
        <v>0</v>
      </c>
      <c r="BD25" s="244">
        <f t="shared" si="17"/>
        <v>0</v>
      </c>
      <c r="BE25" s="244">
        <f t="shared" si="17"/>
        <v>120000</v>
      </c>
      <c r="BF25" s="244">
        <f t="shared" si="17"/>
        <v>0</v>
      </c>
      <c r="BG25" s="244">
        <f t="shared" si="17"/>
        <v>0</v>
      </c>
      <c r="BH25" s="244">
        <f t="shared" si="17"/>
        <v>0</v>
      </c>
      <c r="BI25" s="244">
        <f t="shared" si="17"/>
        <v>0</v>
      </c>
      <c r="BJ25" s="244">
        <f t="shared" si="17"/>
        <v>0</v>
      </c>
      <c r="BK25" s="244">
        <f t="shared" si="134"/>
        <v>0</v>
      </c>
      <c r="BL25" s="244">
        <f t="shared" si="114"/>
        <v>0</v>
      </c>
      <c r="BM25" s="244">
        <f t="shared" si="114"/>
        <v>0</v>
      </c>
      <c r="BN25" s="244">
        <f t="shared" si="114"/>
        <v>0</v>
      </c>
      <c r="BO25" s="244">
        <f t="shared" si="45"/>
        <v>0</v>
      </c>
    </row>
    <row r="26" spans="1:67" s="297" customFormat="1" ht="15">
      <c r="A26" s="297" t="s">
        <v>147</v>
      </c>
      <c r="B26" s="356"/>
      <c r="C26" s="320"/>
      <c r="D26" s="355">
        <v>120000</v>
      </c>
      <c r="E26" s="247" t="s">
        <v>258</v>
      </c>
      <c r="F26" s="397"/>
      <c r="G26" s="397"/>
      <c r="H26" s="397"/>
      <c r="I26" s="333"/>
      <c r="J26" s="333"/>
      <c r="K26" s="333"/>
      <c r="L26" s="333">
        <v>0</v>
      </c>
      <c r="M26" s="333">
        <v>0</v>
      </c>
      <c r="N26" s="333">
        <v>0</v>
      </c>
      <c r="O26" s="333">
        <v>0.0833333333333333</v>
      </c>
      <c r="P26" s="333">
        <v>0.25</v>
      </c>
      <c r="Q26" s="333">
        <v>0.25</v>
      </c>
      <c r="R26" s="333">
        <v>0.25</v>
      </c>
      <c r="S26" s="333">
        <v>0.166666666666666</v>
      </c>
      <c r="T26" s="333"/>
      <c r="U26" s="333"/>
      <c r="V26" s="333"/>
      <c r="W26" s="333"/>
      <c r="X26" s="333"/>
      <c r="Y26" s="342">
        <f t="shared" si="21"/>
        <v>0.9999999999999992</v>
      </c>
      <c r="Z26" s="247"/>
      <c r="AA26" s="247"/>
      <c r="AB26" s="244">
        <f aca="true" t="shared" si="232" ref="AB26:AB27">F26*$D26</f>
        <v>0</v>
      </c>
      <c r="AC26" s="244">
        <f aca="true" t="shared" si="233" ref="AC26:AC27">G26*$D26</f>
        <v>0</v>
      </c>
      <c r="AD26" s="244">
        <f aca="true" t="shared" si="234" ref="AD26:AD27">H26*$D26</f>
        <v>0</v>
      </c>
      <c r="AE26" s="244">
        <f aca="true" t="shared" si="235" ref="AE26:AE27">I26*$D26</f>
        <v>0</v>
      </c>
      <c r="AF26" s="244">
        <f aca="true" t="shared" si="236" ref="AF26:AF27">J26*$D26</f>
        <v>0</v>
      </c>
      <c r="AG26" s="244">
        <f aca="true" t="shared" si="237" ref="AG26:AG27">K26*$D26</f>
        <v>0</v>
      </c>
      <c r="AH26" s="364">
        <f aca="true" t="shared" si="238" ref="AH26:AH27">L26*$D26</f>
        <v>0</v>
      </c>
      <c r="AI26" s="364">
        <f aca="true" t="shared" si="239" ref="AI26:AI27">M26*$D26</f>
        <v>0</v>
      </c>
      <c r="AJ26" s="364">
        <f aca="true" t="shared" si="240" ref="AJ26:AJ27">N26*$D26</f>
        <v>0</v>
      </c>
      <c r="AK26" s="364">
        <f aca="true" t="shared" si="241" ref="AK26:AK27">O26*$D26</f>
        <v>9999.999999999996</v>
      </c>
      <c r="AL26" s="364">
        <f aca="true" t="shared" si="242" ref="AL26:AL27">P26*$D26</f>
        <v>30000</v>
      </c>
      <c r="AM26" s="364">
        <f aca="true" t="shared" si="243" ref="AM26:AM27">Q26*$D26</f>
        <v>30000</v>
      </c>
      <c r="AN26" s="364">
        <f aca="true" t="shared" si="244" ref="AN26:AN27">R26*$D26</f>
        <v>30000</v>
      </c>
      <c r="AO26" s="364">
        <f aca="true" t="shared" si="245" ref="AO26:AO27">S26*$D26</f>
        <v>19999.99999999992</v>
      </c>
      <c r="AP26" s="244">
        <f aca="true" t="shared" si="246" ref="AP26:AP27">T26*$D26</f>
        <v>0</v>
      </c>
      <c r="AQ26" s="244">
        <f t="shared" si="13"/>
        <v>0</v>
      </c>
      <c r="AR26" s="244">
        <f t="shared" si="14"/>
        <v>0</v>
      </c>
      <c r="AS26" s="244">
        <f t="shared" si="15"/>
        <v>0</v>
      </c>
      <c r="AT26" s="244">
        <f t="shared" si="16"/>
        <v>0</v>
      </c>
      <c r="AU26" s="244"/>
      <c r="AV26" s="244">
        <f t="shared" si="17"/>
        <v>0</v>
      </c>
      <c r="AW26" s="244">
        <f t="shared" si="17"/>
        <v>0</v>
      </c>
      <c r="AX26" s="364">
        <f t="shared" si="17"/>
        <v>0</v>
      </c>
      <c r="AY26" s="244">
        <f t="shared" si="181"/>
        <v>0</v>
      </c>
      <c r="AZ26" s="244">
        <f t="shared" si="17"/>
        <v>0</v>
      </c>
      <c r="BA26" s="244">
        <f t="shared" si="17"/>
        <v>0</v>
      </c>
      <c r="BB26" s="244">
        <f t="shared" si="17"/>
        <v>0</v>
      </c>
      <c r="BC26" s="244">
        <f t="shared" si="17"/>
        <v>0</v>
      </c>
      <c r="BD26" s="244">
        <f t="shared" si="17"/>
        <v>0</v>
      </c>
      <c r="BE26" s="244">
        <f t="shared" si="17"/>
        <v>120000</v>
      </c>
      <c r="BF26" s="244">
        <f t="shared" si="17"/>
        <v>0</v>
      </c>
      <c r="BG26" s="244">
        <f t="shared" si="17"/>
        <v>0</v>
      </c>
      <c r="BH26" s="244">
        <f t="shared" si="17"/>
        <v>0</v>
      </c>
      <c r="BI26" s="244">
        <f t="shared" si="17"/>
        <v>0</v>
      </c>
      <c r="BJ26" s="244">
        <f t="shared" si="17"/>
        <v>0</v>
      </c>
      <c r="BK26" s="244">
        <f t="shared" si="134"/>
        <v>0</v>
      </c>
      <c r="BL26" s="244">
        <f t="shared" si="114"/>
        <v>0</v>
      </c>
      <c r="BM26" s="244">
        <f t="shared" si="114"/>
        <v>0</v>
      </c>
      <c r="BN26" s="244">
        <f t="shared" si="114"/>
        <v>0</v>
      </c>
      <c r="BO26" s="244">
        <f t="shared" si="45"/>
        <v>0</v>
      </c>
    </row>
    <row r="27" spans="1:67" s="297" customFormat="1" ht="15">
      <c r="A27" s="297" t="s">
        <v>147</v>
      </c>
      <c r="B27" s="356"/>
      <c r="C27" s="320"/>
      <c r="D27" s="355">
        <v>120000</v>
      </c>
      <c r="E27" s="247" t="s">
        <v>258</v>
      </c>
      <c r="F27" s="397"/>
      <c r="G27" s="397"/>
      <c r="H27" s="397"/>
      <c r="I27" s="333"/>
      <c r="J27" s="333"/>
      <c r="K27" s="333">
        <v>0</v>
      </c>
      <c r="L27" s="333">
        <v>0</v>
      </c>
      <c r="M27" s="333">
        <v>0</v>
      </c>
      <c r="N27" s="333">
        <v>0</v>
      </c>
      <c r="O27" s="333">
        <v>0.225</v>
      </c>
      <c r="P27" s="333">
        <v>0.25</v>
      </c>
      <c r="Q27" s="333">
        <v>0.25</v>
      </c>
      <c r="R27" s="333">
        <v>0.275</v>
      </c>
      <c r="S27" s="333"/>
      <c r="T27" s="333"/>
      <c r="U27" s="333"/>
      <c r="V27" s="333"/>
      <c r="W27" s="333"/>
      <c r="X27" s="333"/>
      <c r="Y27" s="342">
        <f t="shared" si="21"/>
        <v>1</v>
      </c>
      <c r="Z27" s="247"/>
      <c r="AA27" s="247"/>
      <c r="AB27" s="244">
        <f t="shared" si="232"/>
        <v>0</v>
      </c>
      <c r="AC27" s="244">
        <f t="shared" si="233"/>
        <v>0</v>
      </c>
      <c r="AD27" s="244">
        <f t="shared" si="234"/>
        <v>0</v>
      </c>
      <c r="AE27" s="244">
        <f t="shared" si="235"/>
        <v>0</v>
      </c>
      <c r="AF27" s="244">
        <f t="shared" si="236"/>
        <v>0</v>
      </c>
      <c r="AG27" s="244">
        <f t="shared" si="237"/>
        <v>0</v>
      </c>
      <c r="AH27" s="364">
        <f t="shared" si="238"/>
        <v>0</v>
      </c>
      <c r="AI27" s="364">
        <f t="shared" si="239"/>
        <v>0</v>
      </c>
      <c r="AJ27" s="364">
        <f t="shared" si="240"/>
        <v>0</v>
      </c>
      <c r="AK27" s="364">
        <f t="shared" si="241"/>
        <v>27000</v>
      </c>
      <c r="AL27" s="364">
        <f t="shared" si="242"/>
        <v>30000</v>
      </c>
      <c r="AM27" s="364">
        <f t="shared" si="243"/>
        <v>30000</v>
      </c>
      <c r="AN27" s="364">
        <f t="shared" si="244"/>
        <v>33000</v>
      </c>
      <c r="AO27" s="364">
        <f t="shared" si="245"/>
        <v>0</v>
      </c>
      <c r="AP27" s="244">
        <f t="shared" si="246"/>
        <v>0</v>
      </c>
      <c r="AQ27" s="244">
        <f t="shared" si="13"/>
        <v>0</v>
      </c>
      <c r="AR27" s="244">
        <f t="shared" si="14"/>
        <v>0</v>
      </c>
      <c r="AS27" s="244">
        <f t="shared" si="15"/>
        <v>0</v>
      </c>
      <c r="AT27" s="244">
        <f t="shared" si="16"/>
        <v>0</v>
      </c>
      <c r="AU27" s="244"/>
      <c r="AV27" s="244">
        <f aca="true" t="shared" si="247" ref="AV27:BN27">IF(AV$3=$E27,$D27,0)</f>
        <v>0</v>
      </c>
      <c r="AW27" s="244">
        <f t="shared" si="247"/>
        <v>0</v>
      </c>
      <c r="AX27" s="364">
        <f t="shared" si="247"/>
        <v>0</v>
      </c>
      <c r="AY27" s="244">
        <f t="shared" si="181"/>
        <v>0</v>
      </c>
      <c r="AZ27" s="244">
        <f t="shared" si="247"/>
        <v>0</v>
      </c>
      <c r="BA27" s="244">
        <f t="shared" si="247"/>
        <v>0</v>
      </c>
      <c r="BB27" s="244">
        <f t="shared" si="247"/>
        <v>0</v>
      </c>
      <c r="BC27" s="244">
        <f t="shared" si="247"/>
        <v>0</v>
      </c>
      <c r="BD27" s="244">
        <f t="shared" si="247"/>
        <v>0</v>
      </c>
      <c r="BE27" s="244">
        <f t="shared" si="247"/>
        <v>120000</v>
      </c>
      <c r="BF27" s="244">
        <f t="shared" si="247"/>
        <v>0</v>
      </c>
      <c r="BG27" s="244">
        <f t="shared" si="247"/>
        <v>0</v>
      </c>
      <c r="BH27" s="244">
        <f t="shared" si="247"/>
        <v>0</v>
      </c>
      <c r="BI27" s="244">
        <f t="shared" si="247"/>
        <v>0</v>
      </c>
      <c r="BJ27" s="244">
        <f t="shared" si="247"/>
        <v>0</v>
      </c>
      <c r="BK27" s="244">
        <f t="shared" si="247"/>
        <v>0</v>
      </c>
      <c r="BL27" s="244">
        <f t="shared" si="247"/>
        <v>0</v>
      </c>
      <c r="BM27" s="244">
        <f t="shared" si="247"/>
        <v>0</v>
      </c>
      <c r="BN27" s="244">
        <f t="shared" si="247"/>
        <v>0</v>
      </c>
      <c r="BO27" s="244">
        <f t="shared" si="45"/>
        <v>0</v>
      </c>
    </row>
    <row r="28" spans="1:67" ht="15">
      <c r="A28" t="s">
        <v>147</v>
      </c>
      <c r="B28" s="356"/>
      <c r="C28" s="320"/>
      <c r="D28" s="355">
        <v>4000</v>
      </c>
      <c r="E28" s="247" t="s">
        <v>179</v>
      </c>
      <c r="F28" s="397"/>
      <c r="G28" s="397"/>
      <c r="H28" s="397">
        <v>1</v>
      </c>
      <c r="I28" s="333"/>
      <c r="J28" s="333"/>
      <c r="K28" s="333"/>
      <c r="L28" s="333"/>
      <c r="M28" s="333"/>
      <c r="N28" s="333"/>
      <c r="O28" s="332"/>
      <c r="P28" s="332"/>
      <c r="Q28" s="333"/>
      <c r="R28" s="333"/>
      <c r="S28" s="333"/>
      <c r="T28" s="333"/>
      <c r="U28" s="333"/>
      <c r="V28" s="333"/>
      <c r="W28" s="333"/>
      <c r="X28" s="333"/>
      <c r="Y28" s="342">
        <f t="shared" si="21"/>
        <v>1</v>
      </c>
      <c r="Z28" s="247"/>
      <c r="AA28" s="247"/>
      <c r="AB28" s="244">
        <f t="shared" si="0"/>
        <v>0</v>
      </c>
      <c r="AC28" s="244">
        <f t="shared" si="1"/>
        <v>0</v>
      </c>
      <c r="AD28" s="244">
        <f t="shared" si="2"/>
        <v>4000</v>
      </c>
      <c r="AE28" s="244">
        <f t="shared" si="3"/>
        <v>0</v>
      </c>
      <c r="AF28" s="244">
        <f>J28*$D28</f>
        <v>0</v>
      </c>
      <c r="AG28" s="244">
        <f t="shared" si="22"/>
        <v>0</v>
      </c>
      <c r="AH28" s="364">
        <f t="shared" si="23"/>
        <v>0</v>
      </c>
      <c r="AI28" s="364">
        <f t="shared" si="24"/>
        <v>0</v>
      </c>
      <c r="AJ28" s="364">
        <f t="shared" si="19"/>
        <v>0</v>
      </c>
      <c r="AK28" s="364">
        <f t="shared" si="20"/>
        <v>0</v>
      </c>
      <c r="AL28" s="364">
        <f t="shared" si="8"/>
        <v>0</v>
      </c>
      <c r="AM28" s="364">
        <f t="shared" si="9"/>
        <v>0</v>
      </c>
      <c r="AN28" s="364">
        <f t="shared" si="10"/>
        <v>0</v>
      </c>
      <c r="AO28" s="364">
        <f t="shared" si="11"/>
        <v>0</v>
      </c>
      <c r="AP28" s="244">
        <f t="shared" si="12"/>
        <v>0</v>
      </c>
      <c r="AQ28" s="244">
        <f t="shared" si="13"/>
        <v>0</v>
      </c>
      <c r="AR28" s="244">
        <f t="shared" si="14"/>
        <v>0</v>
      </c>
      <c r="AS28" s="244">
        <f t="shared" si="15"/>
        <v>0</v>
      </c>
      <c r="AT28" s="244">
        <f t="shared" si="16"/>
        <v>0</v>
      </c>
      <c r="AU28" s="244"/>
      <c r="AV28" s="244">
        <f t="shared" si="17"/>
        <v>0</v>
      </c>
      <c r="AW28" s="244">
        <f t="shared" si="17"/>
        <v>0</v>
      </c>
      <c r="AX28" s="364">
        <f t="shared" si="17"/>
        <v>4000</v>
      </c>
      <c r="AY28" s="244">
        <f t="shared" si="181"/>
        <v>0</v>
      </c>
      <c r="AZ28" s="244">
        <f t="shared" si="17"/>
        <v>0</v>
      </c>
      <c r="BA28" s="244">
        <f t="shared" si="17"/>
        <v>0</v>
      </c>
      <c r="BB28" s="244">
        <f t="shared" si="17"/>
        <v>0</v>
      </c>
      <c r="BC28" s="244">
        <f t="shared" si="17"/>
        <v>0</v>
      </c>
      <c r="BD28" s="244">
        <f t="shared" si="17"/>
        <v>0</v>
      </c>
      <c r="BE28" s="244">
        <f t="shared" si="17"/>
        <v>0</v>
      </c>
      <c r="BF28" s="244">
        <f t="shared" si="17"/>
        <v>0</v>
      </c>
      <c r="BG28" s="244">
        <f t="shared" si="17"/>
        <v>0</v>
      </c>
      <c r="BH28" s="244">
        <f t="shared" si="17"/>
        <v>0</v>
      </c>
      <c r="BI28" s="244">
        <f t="shared" si="17"/>
        <v>0</v>
      </c>
      <c r="BJ28" s="244">
        <f t="shared" si="17"/>
        <v>0</v>
      </c>
      <c r="BK28" s="244">
        <f t="shared" si="134"/>
        <v>0</v>
      </c>
      <c r="BL28" s="244">
        <f t="shared" si="114"/>
        <v>0</v>
      </c>
      <c r="BM28" s="244">
        <f t="shared" si="114"/>
        <v>0</v>
      </c>
      <c r="BN28" s="244">
        <f t="shared" si="114"/>
        <v>0</v>
      </c>
      <c r="BO28" s="244">
        <f t="shared" si="45"/>
        <v>0</v>
      </c>
    </row>
    <row r="29" spans="1:67" s="297" customFormat="1" ht="15">
      <c r="A29" s="297" t="s">
        <v>147</v>
      </c>
      <c r="B29" s="356"/>
      <c r="C29" s="320"/>
      <c r="D29" s="355">
        <v>1800</v>
      </c>
      <c r="E29" s="247" t="s">
        <v>193</v>
      </c>
      <c r="F29" s="397"/>
      <c r="G29" s="397"/>
      <c r="H29" s="397">
        <v>0</v>
      </c>
      <c r="I29" s="333"/>
      <c r="J29" s="333"/>
      <c r="K29" s="333"/>
      <c r="L29" s="333">
        <v>1</v>
      </c>
      <c r="M29" s="333">
        <v>0</v>
      </c>
      <c r="N29" s="333"/>
      <c r="O29" s="332"/>
      <c r="P29" s="332"/>
      <c r="Q29" s="333"/>
      <c r="R29" s="333"/>
      <c r="S29" s="333"/>
      <c r="T29" s="333"/>
      <c r="U29" s="333"/>
      <c r="V29" s="333"/>
      <c r="W29" s="333"/>
      <c r="X29" s="333"/>
      <c r="Y29" s="342">
        <f t="shared" si="21"/>
        <v>1</v>
      </c>
      <c r="Z29" s="247"/>
      <c r="AA29" s="247"/>
      <c r="AB29" s="244">
        <f aca="true" t="shared" si="248" ref="AB29">F29*$D29</f>
        <v>0</v>
      </c>
      <c r="AC29" s="244">
        <f aca="true" t="shared" si="249" ref="AC29">G29*$D29</f>
        <v>0</v>
      </c>
      <c r="AD29" s="244">
        <f aca="true" t="shared" si="250" ref="AD29">H29*$D29</f>
        <v>0</v>
      </c>
      <c r="AE29" s="244">
        <f aca="true" t="shared" si="251" ref="AE29">I29*$D29</f>
        <v>0</v>
      </c>
      <c r="AF29" s="244">
        <f>J29*$D29</f>
        <v>0</v>
      </c>
      <c r="AG29" s="244">
        <f aca="true" t="shared" si="252" ref="AG29">K29*$D29</f>
        <v>0</v>
      </c>
      <c r="AH29" s="364">
        <f aca="true" t="shared" si="253" ref="AH29">L29*$D29</f>
        <v>1800</v>
      </c>
      <c r="AI29" s="364">
        <f aca="true" t="shared" si="254" ref="AI29">M29*$D29</f>
        <v>0</v>
      </c>
      <c r="AJ29" s="364">
        <f aca="true" t="shared" si="255" ref="AJ29">N29*$D29</f>
        <v>0</v>
      </c>
      <c r="AK29" s="364">
        <f aca="true" t="shared" si="256" ref="AK29">O29*$D29</f>
        <v>0</v>
      </c>
      <c r="AL29" s="364">
        <f aca="true" t="shared" si="257" ref="AL29">P29*$D29</f>
        <v>0</v>
      </c>
      <c r="AM29" s="364">
        <f aca="true" t="shared" si="258" ref="AM29">Q29*$D29</f>
        <v>0</v>
      </c>
      <c r="AN29" s="364">
        <f aca="true" t="shared" si="259" ref="AN29">R29*$D29</f>
        <v>0</v>
      </c>
      <c r="AO29" s="364">
        <f aca="true" t="shared" si="260" ref="AO29">S29*$D29</f>
        <v>0</v>
      </c>
      <c r="AP29" s="244">
        <f aca="true" t="shared" si="261" ref="AP29">T29*$D29</f>
        <v>0</v>
      </c>
      <c r="AQ29" s="244">
        <f t="shared" si="13"/>
        <v>0</v>
      </c>
      <c r="AR29" s="244">
        <f t="shared" si="14"/>
        <v>0</v>
      </c>
      <c r="AS29" s="244">
        <f t="shared" si="15"/>
        <v>0</v>
      </c>
      <c r="AT29" s="244">
        <f t="shared" si="16"/>
        <v>0</v>
      </c>
      <c r="AU29" s="244"/>
      <c r="AV29" s="244">
        <f aca="true" t="shared" si="262" ref="AV29:BJ29">IF(AV$3=$E29,$D29,0)</f>
        <v>0</v>
      </c>
      <c r="AW29" s="244">
        <f t="shared" si="262"/>
        <v>0</v>
      </c>
      <c r="AX29" s="364">
        <f t="shared" si="262"/>
        <v>0</v>
      </c>
      <c r="AY29" s="244">
        <f t="shared" si="181"/>
        <v>0</v>
      </c>
      <c r="AZ29" s="244">
        <f t="shared" si="262"/>
        <v>0</v>
      </c>
      <c r="BA29" s="244">
        <f t="shared" si="262"/>
        <v>0</v>
      </c>
      <c r="BB29" s="244">
        <f t="shared" si="262"/>
        <v>1800</v>
      </c>
      <c r="BC29" s="244">
        <f t="shared" si="262"/>
        <v>0</v>
      </c>
      <c r="BD29" s="244">
        <f t="shared" si="262"/>
        <v>0</v>
      </c>
      <c r="BE29" s="244">
        <f t="shared" si="262"/>
        <v>0</v>
      </c>
      <c r="BF29" s="244">
        <f t="shared" si="262"/>
        <v>0</v>
      </c>
      <c r="BG29" s="244">
        <f t="shared" si="262"/>
        <v>0</v>
      </c>
      <c r="BH29" s="244">
        <f t="shared" si="262"/>
        <v>0</v>
      </c>
      <c r="BI29" s="244">
        <f t="shared" si="262"/>
        <v>0</v>
      </c>
      <c r="BJ29" s="244">
        <f t="shared" si="262"/>
        <v>0</v>
      </c>
      <c r="BK29" s="244">
        <f t="shared" si="134"/>
        <v>0</v>
      </c>
      <c r="BL29" s="244">
        <f t="shared" si="114"/>
        <v>0</v>
      </c>
      <c r="BM29" s="244">
        <f t="shared" si="114"/>
        <v>0</v>
      </c>
      <c r="BN29" s="244">
        <f t="shared" si="114"/>
        <v>0</v>
      </c>
      <c r="BO29" s="244">
        <f t="shared" si="45"/>
        <v>0</v>
      </c>
    </row>
    <row r="30" spans="1:67" ht="15">
      <c r="A30" t="s">
        <v>147</v>
      </c>
      <c r="B30" s="356"/>
      <c r="C30" s="320"/>
      <c r="D30" s="323">
        <f>99000+851.16</f>
        <v>99851.16</v>
      </c>
      <c r="E30" s="247" t="s">
        <v>179</v>
      </c>
      <c r="F30" s="397"/>
      <c r="G30" s="397"/>
      <c r="H30" s="344">
        <v>0</v>
      </c>
      <c r="I30" s="345">
        <v>0.3304919041501371</v>
      </c>
      <c r="J30" s="345">
        <v>0.2712004547568601</v>
      </c>
      <c r="K30" s="345">
        <v>0.26270741371457274</v>
      </c>
      <c r="L30" s="333">
        <v>0.13560022737843005</v>
      </c>
      <c r="M30" s="333"/>
      <c r="N30" s="333"/>
      <c r="O30" s="332"/>
      <c r="P30" s="332"/>
      <c r="Q30" s="333"/>
      <c r="R30" s="333"/>
      <c r="S30" s="333"/>
      <c r="T30" s="333"/>
      <c r="U30" s="333"/>
      <c r="V30" s="333"/>
      <c r="W30" s="333"/>
      <c r="X30" s="333"/>
      <c r="Y30" s="342">
        <f t="shared" si="21"/>
        <v>0.9999999999999999</v>
      </c>
      <c r="Z30" s="247"/>
      <c r="AA30" s="247"/>
      <c r="AB30" s="244">
        <f t="shared" si="0"/>
        <v>0</v>
      </c>
      <c r="AC30" s="244">
        <f t="shared" si="1"/>
        <v>0</v>
      </c>
      <c r="AD30" s="244">
        <f t="shared" si="2"/>
        <v>0</v>
      </c>
      <c r="AE30" s="244">
        <f t="shared" si="3"/>
        <v>33000</v>
      </c>
      <c r="AF30" s="244">
        <f>J30*$D30</f>
        <v>27079.68</v>
      </c>
      <c r="AG30" s="244">
        <f t="shared" si="22"/>
        <v>26231.639999999996</v>
      </c>
      <c r="AH30" s="364">
        <f t="shared" si="23"/>
        <v>13539.84</v>
      </c>
      <c r="AI30" s="364">
        <f t="shared" si="24"/>
        <v>0</v>
      </c>
      <c r="AJ30" s="364">
        <f t="shared" si="19"/>
        <v>0</v>
      </c>
      <c r="AK30" s="364">
        <f t="shared" si="20"/>
        <v>0</v>
      </c>
      <c r="AL30" s="364">
        <f t="shared" si="8"/>
        <v>0</v>
      </c>
      <c r="AM30" s="364">
        <f t="shared" si="9"/>
        <v>0</v>
      </c>
      <c r="AN30" s="364">
        <f t="shared" si="10"/>
        <v>0</v>
      </c>
      <c r="AO30" s="364">
        <f t="shared" si="11"/>
        <v>0</v>
      </c>
      <c r="AP30" s="244">
        <f t="shared" si="12"/>
        <v>0</v>
      </c>
      <c r="AQ30" s="244">
        <f t="shared" si="13"/>
        <v>0</v>
      </c>
      <c r="AR30" s="244">
        <f t="shared" si="14"/>
        <v>0</v>
      </c>
      <c r="AS30" s="244">
        <f t="shared" si="15"/>
        <v>0</v>
      </c>
      <c r="AT30" s="244">
        <f t="shared" si="16"/>
        <v>0</v>
      </c>
      <c r="AU30" s="244"/>
      <c r="AV30" s="244">
        <f t="shared" si="17"/>
        <v>0</v>
      </c>
      <c r="AW30" s="244">
        <f t="shared" si="17"/>
        <v>0</v>
      </c>
      <c r="AX30" s="364">
        <f t="shared" si="17"/>
        <v>99851.16</v>
      </c>
      <c r="AY30" s="244">
        <f t="shared" si="181"/>
        <v>0</v>
      </c>
      <c r="AZ30" s="244">
        <f t="shared" si="17"/>
        <v>0</v>
      </c>
      <c r="BA30" s="244">
        <f t="shared" si="17"/>
        <v>0</v>
      </c>
      <c r="BB30" s="244">
        <f t="shared" si="17"/>
        <v>0</v>
      </c>
      <c r="BC30" s="244">
        <f t="shared" si="17"/>
        <v>0</v>
      </c>
      <c r="BD30" s="244">
        <f t="shared" si="17"/>
        <v>0</v>
      </c>
      <c r="BE30" s="244">
        <f t="shared" si="17"/>
        <v>0</v>
      </c>
      <c r="BF30" s="244">
        <f t="shared" si="17"/>
        <v>0</v>
      </c>
      <c r="BG30" s="244">
        <f t="shared" si="17"/>
        <v>0</v>
      </c>
      <c r="BH30" s="244">
        <f t="shared" si="17"/>
        <v>0</v>
      </c>
      <c r="BI30" s="244">
        <f t="shared" si="17"/>
        <v>0</v>
      </c>
      <c r="BJ30" s="244">
        <f t="shared" si="17"/>
        <v>0</v>
      </c>
      <c r="BK30" s="244">
        <f t="shared" si="134"/>
        <v>0</v>
      </c>
      <c r="BL30" s="244">
        <f t="shared" si="114"/>
        <v>0</v>
      </c>
      <c r="BM30" s="244">
        <f t="shared" si="114"/>
        <v>0</v>
      </c>
      <c r="BN30" s="244">
        <f t="shared" si="114"/>
        <v>0</v>
      </c>
      <c r="BO30" s="244">
        <f t="shared" si="45"/>
        <v>0</v>
      </c>
    </row>
    <row r="31" spans="1:67" s="297" customFormat="1" ht="15">
      <c r="A31" s="297" t="s">
        <v>147</v>
      </c>
      <c r="B31" s="356"/>
      <c r="C31" s="320"/>
      <c r="D31" s="355">
        <v>118579.5</v>
      </c>
      <c r="E31" s="247" t="s">
        <v>193</v>
      </c>
      <c r="F31" s="397"/>
      <c r="G31" s="397"/>
      <c r="H31" s="344"/>
      <c r="I31" s="345"/>
      <c r="J31" s="345"/>
      <c r="K31" s="345"/>
      <c r="L31" s="333">
        <v>0.07931623931623932</v>
      </c>
      <c r="M31" s="398">
        <v>0.2516239316239316</v>
      </c>
      <c r="N31" s="333">
        <v>0.26666666666666666</v>
      </c>
      <c r="O31" s="333">
        <v>0.25435897435897437</v>
      </c>
      <c r="P31" s="333">
        <f>1-(O31+N31+M31+L31)</f>
        <v>0.148034188034188</v>
      </c>
      <c r="Q31" s="333"/>
      <c r="R31" s="333"/>
      <c r="S31" s="333"/>
      <c r="T31" s="333"/>
      <c r="U31" s="333"/>
      <c r="V31" s="333"/>
      <c r="W31" s="333"/>
      <c r="X31" s="333"/>
      <c r="Y31" s="342">
        <f t="shared" si="21"/>
        <v>0.9999999999999999</v>
      </c>
      <c r="Z31" s="247"/>
      <c r="AA31" s="247"/>
      <c r="AB31" s="244">
        <f aca="true" t="shared" si="263" ref="AB31">F31*$D31</f>
        <v>0</v>
      </c>
      <c r="AC31" s="244">
        <f aca="true" t="shared" si="264" ref="AC31">G31*$D31</f>
        <v>0</v>
      </c>
      <c r="AD31" s="244">
        <f aca="true" t="shared" si="265" ref="AD31">H31*$D31</f>
        <v>0</v>
      </c>
      <c r="AE31" s="244">
        <f aca="true" t="shared" si="266" ref="AE31">I31*$D31</f>
        <v>0</v>
      </c>
      <c r="AF31" s="244">
        <f aca="true" t="shared" si="267" ref="AF31">J31*$D31</f>
        <v>0</v>
      </c>
      <c r="AG31" s="244">
        <f aca="true" t="shared" si="268" ref="AG31">K31*$D31</f>
        <v>0</v>
      </c>
      <c r="AH31" s="364">
        <f aca="true" t="shared" si="269" ref="AH31">L31*$D31</f>
        <v>9405.28</v>
      </c>
      <c r="AI31" s="364">
        <f aca="true" t="shared" si="270" ref="AI31">M31*$D31</f>
        <v>29837.439999999995</v>
      </c>
      <c r="AJ31" s="364">
        <f aca="true" t="shared" si="271" ref="AJ31">N31*$D31</f>
        <v>31621.2</v>
      </c>
      <c r="AK31" s="364">
        <f aca="true" t="shared" si="272" ref="AK31">O31*$D31</f>
        <v>30161.760000000002</v>
      </c>
      <c r="AL31" s="364">
        <f aca="true" t="shared" si="273" ref="AL31">P31*$D31</f>
        <v>17553.819999999996</v>
      </c>
      <c r="AM31" s="364">
        <f aca="true" t="shared" si="274" ref="AM31">Q31*$D31</f>
        <v>0</v>
      </c>
      <c r="AN31" s="364">
        <f aca="true" t="shared" si="275" ref="AN31">R31*$D31</f>
        <v>0</v>
      </c>
      <c r="AO31" s="364">
        <f aca="true" t="shared" si="276" ref="AO31">S31*$D31</f>
        <v>0</v>
      </c>
      <c r="AP31" s="244">
        <f aca="true" t="shared" si="277" ref="AP31">T31*$D31</f>
        <v>0</v>
      </c>
      <c r="AQ31" s="244">
        <f t="shared" si="13"/>
        <v>0</v>
      </c>
      <c r="AR31" s="244">
        <f t="shared" si="14"/>
        <v>0</v>
      </c>
      <c r="AS31" s="244">
        <f t="shared" si="15"/>
        <v>0</v>
      </c>
      <c r="AT31" s="244">
        <f t="shared" si="16"/>
        <v>0</v>
      </c>
      <c r="AU31" s="244"/>
      <c r="AV31" s="244">
        <f aca="true" t="shared" si="278" ref="AV31:BN45">IF(AV$3=$E31,$D31,0)</f>
        <v>0</v>
      </c>
      <c r="AW31" s="244">
        <f t="shared" si="278"/>
        <v>0</v>
      </c>
      <c r="AX31" s="364">
        <f t="shared" si="278"/>
        <v>0</v>
      </c>
      <c r="AY31" s="244">
        <f t="shared" si="181"/>
        <v>0</v>
      </c>
      <c r="AZ31" s="244">
        <f t="shared" si="278"/>
        <v>0</v>
      </c>
      <c r="BA31" s="244">
        <f t="shared" si="278"/>
        <v>0</v>
      </c>
      <c r="BB31" s="244">
        <f t="shared" si="278"/>
        <v>118579.5</v>
      </c>
      <c r="BC31" s="244">
        <f t="shared" si="278"/>
        <v>0</v>
      </c>
      <c r="BD31" s="244">
        <f t="shared" si="278"/>
        <v>0</v>
      </c>
      <c r="BE31" s="244">
        <f t="shared" si="278"/>
        <v>0</v>
      </c>
      <c r="BF31" s="244">
        <f t="shared" si="278"/>
        <v>0</v>
      </c>
      <c r="BG31" s="244">
        <f t="shared" si="278"/>
        <v>0</v>
      </c>
      <c r="BH31" s="244">
        <f t="shared" si="278"/>
        <v>0</v>
      </c>
      <c r="BI31" s="244">
        <f t="shared" si="278"/>
        <v>0</v>
      </c>
      <c r="BJ31" s="244">
        <f t="shared" si="278"/>
        <v>0</v>
      </c>
      <c r="BK31" s="244">
        <f t="shared" si="278"/>
        <v>0</v>
      </c>
      <c r="BL31" s="244">
        <f t="shared" si="278"/>
        <v>0</v>
      </c>
      <c r="BM31" s="244">
        <f t="shared" si="278"/>
        <v>0</v>
      </c>
      <c r="BN31" s="244">
        <f t="shared" si="278"/>
        <v>0</v>
      </c>
      <c r="BO31" s="244">
        <f t="shared" si="45"/>
        <v>0</v>
      </c>
    </row>
    <row r="32" spans="1:67" ht="15">
      <c r="A32" t="s">
        <v>147</v>
      </c>
      <c r="B32" s="356"/>
      <c r="C32" s="320"/>
      <c r="D32" s="335">
        <f>0.5*D31</f>
        <v>59289.75</v>
      </c>
      <c r="E32" s="247" t="s">
        <v>281</v>
      </c>
      <c r="F32" s="397"/>
      <c r="G32" s="397"/>
      <c r="H32" s="397"/>
      <c r="I32" s="333"/>
      <c r="J32" s="333"/>
      <c r="K32" s="333">
        <v>0</v>
      </c>
      <c r="L32" s="333">
        <v>0</v>
      </c>
      <c r="M32" s="333">
        <v>0</v>
      </c>
      <c r="N32" s="333">
        <v>0</v>
      </c>
      <c r="O32" s="333">
        <v>0</v>
      </c>
      <c r="P32" s="333">
        <v>0.25</v>
      </c>
      <c r="Q32" s="333">
        <v>0.25</v>
      </c>
      <c r="R32" s="333">
        <v>0.25</v>
      </c>
      <c r="S32" s="333">
        <v>0.25</v>
      </c>
      <c r="T32" s="333"/>
      <c r="U32" s="333"/>
      <c r="V32" s="333"/>
      <c r="W32" s="333"/>
      <c r="X32" s="333"/>
      <c r="Y32" s="342">
        <f t="shared" si="21"/>
        <v>1</v>
      </c>
      <c r="Z32" s="247"/>
      <c r="AA32" s="247"/>
      <c r="AB32" s="244">
        <f t="shared" si="0"/>
        <v>0</v>
      </c>
      <c r="AC32" s="244">
        <f t="shared" si="1"/>
        <v>0</v>
      </c>
      <c r="AD32" s="244">
        <f t="shared" si="2"/>
        <v>0</v>
      </c>
      <c r="AE32" s="244">
        <f t="shared" si="3"/>
        <v>0</v>
      </c>
      <c r="AF32" s="244">
        <f aca="true" t="shared" si="279" ref="AF32:AG35">J32*$D32</f>
        <v>0</v>
      </c>
      <c r="AG32" s="244">
        <f t="shared" si="279"/>
        <v>0</v>
      </c>
      <c r="AH32" s="364">
        <f t="shared" si="23"/>
        <v>0</v>
      </c>
      <c r="AI32" s="364">
        <f t="shared" si="24"/>
        <v>0</v>
      </c>
      <c r="AJ32" s="364">
        <f t="shared" si="19"/>
        <v>0</v>
      </c>
      <c r="AK32" s="364">
        <f t="shared" si="20"/>
        <v>0</v>
      </c>
      <c r="AL32" s="364">
        <f t="shared" si="8"/>
        <v>14822.4375</v>
      </c>
      <c r="AM32" s="364">
        <f t="shared" si="9"/>
        <v>14822.4375</v>
      </c>
      <c r="AN32" s="364">
        <f t="shared" si="10"/>
        <v>14822.4375</v>
      </c>
      <c r="AO32" s="364">
        <f t="shared" si="11"/>
        <v>14822.4375</v>
      </c>
      <c r="AP32" s="244">
        <f t="shared" si="12"/>
        <v>0</v>
      </c>
      <c r="AQ32" s="244">
        <f t="shared" si="13"/>
        <v>0</v>
      </c>
      <c r="AR32" s="244">
        <f t="shared" si="14"/>
        <v>0</v>
      </c>
      <c r="AS32" s="244">
        <f t="shared" si="15"/>
        <v>0</v>
      </c>
      <c r="AT32" s="244">
        <f t="shared" si="16"/>
        <v>0</v>
      </c>
      <c r="AU32" s="244"/>
      <c r="AV32" s="244">
        <f t="shared" si="17"/>
        <v>0</v>
      </c>
      <c r="AW32" s="244">
        <f t="shared" si="17"/>
        <v>0</v>
      </c>
      <c r="AX32" s="364">
        <f t="shared" si="17"/>
        <v>0</v>
      </c>
      <c r="AY32" s="244">
        <f t="shared" si="181"/>
        <v>0</v>
      </c>
      <c r="AZ32" s="244">
        <f t="shared" si="17"/>
        <v>0</v>
      </c>
      <c r="BA32" s="244">
        <f t="shared" si="17"/>
        <v>0</v>
      </c>
      <c r="BB32" s="244">
        <f t="shared" si="17"/>
        <v>0</v>
      </c>
      <c r="BC32" s="244">
        <f t="shared" si="17"/>
        <v>0</v>
      </c>
      <c r="BD32" s="244">
        <f t="shared" si="17"/>
        <v>0</v>
      </c>
      <c r="BE32" s="244">
        <f t="shared" si="17"/>
        <v>0</v>
      </c>
      <c r="BF32" s="244">
        <f t="shared" si="17"/>
        <v>59289.75</v>
      </c>
      <c r="BG32" s="244">
        <f t="shared" si="17"/>
        <v>0</v>
      </c>
      <c r="BH32" s="244">
        <f t="shared" si="17"/>
        <v>0</v>
      </c>
      <c r="BI32" s="244">
        <f t="shared" si="17"/>
        <v>0</v>
      </c>
      <c r="BJ32" s="244">
        <f t="shared" si="17"/>
        <v>0</v>
      </c>
      <c r="BK32" s="244">
        <f t="shared" si="134"/>
        <v>0</v>
      </c>
      <c r="BL32" s="244">
        <f t="shared" si="278"/>
        <v>0</v>
      </c>
      <c r="BM32" s="244">
        <f t="shared" si="278"/>
        <v>0</v>
      </c>
      <c r="BN32" s="244">
        <f t="shared" si="278"/>
        <v>0</v>
      </c>
      <c r="BO32" s="244">
        <f t="shared" si="45"/>
        <v>0</v>
      </c>
    </row>
    <row r="33" spans="1:67" s="297" customFormat="1" ht="15">
      <c r="A33" s="297" t="s">
        <v>147</v>
      </c>
      <c r="B33" s="356"/>
      <c r="C33" s="320"/>
      <c r="D33" s="335">
        <v>7725.48</v>
      </c>
      <c r="E33" s="247" t="s">
        <v>193</v>
      </c>
      <c r="F33" s="397"/>
      <c r="G33" s="397"/>
      <c r="H33" s="397"/>
      <c r="I33" s="333"/>
      <c r="J33" s="333"/>
      <c r="K33" s="333">
        <v>0</v>
      </c>
      <c r="L33" s="333">
        <v>1</v>
      </c>
      <c r="M33" s="333">
        <v>0</v>
      </c>
      <c r="N33" s="333">
        <v>0</v>
      </c>
      <c r="O33" s="333">
        <v>0</v>
      </c>
      <c r="P33" s="333">
        <v>0</v>
      </c>
      <c r="Q33" s="333">
        <v>0</v>
      </c>
      <c r="R33" s="333">
        <v>0</v>
      </c>
      <c r="S33" s="333"/>
      <c r="T33" s="333"/>
      <c r="U33" s="333"/>
      <c r="V33" s="333"/>
      <c r="W33" s="333"/>
      <c r="X33" s="333"/>
      <c r="Y33" s="342">
        <f t="shared" si="21"/>
        <v>1</v>
      </c>
      <c r="Z33" s="247"/>
      <c r="AA33" s="247"/>
      <c r="AB33" s="244">
        <f aca="true" t="shared" si="280" ref="AB33">F33*$D33</f>
        <v>0</v>
      </c>
      <c r="AC33" s="244">
        <f aca="true" t="shared" si="281" ref="AC33">G33*$D33</f>
        <v>0</v>
      </c>
      <c r="AD33" s="244">
        <f aca="true" t="shared" si="282" ref="AD33">H33*$D33</f>
        <v>0</v>
      </c>
      <c r="AE33" s="244">
        <f aca="true" t="shared" si="283" ref="AE33">I33*$D33</f>
        <v>0</v>
      </c>
      <c r="AF33" s="244">
        <f t="shared" si="279"/>
        <v>0</v>
      </c>
      <c r="AG33" s="244">
        <f t="shared" si="279"/>
        <v>0</v>
      </c>
      <c r="AH33" s="364">
        <f aca="true" t="shared" si="284" ref="AH33">L33*$D33</f>
        <v>7725.48</v>
      </c>
      <c r="AI33" s="364">
        <f aca="true" t="shared" si="285" ref="AI33">M33*$D33</f>
        <v>0</v>
      </c>
      <c r="AJ33" s="364">
        <f aca="true" t="shared" si="286" ref="AJ33">N33*$D33</f>
        <v>0</v>
      </c>
      <c r="AK33" s="364">
        <f aca="true" t="shared" si="287" ref="AK33">O33*$D33</f>
        <v>0</v>
      </c>
      <c r="AL33" s="364">
        <f aca="true" t="shared" si="288" ref="AL33">P33*$D33</f>
        <v>0</v>
      </c>
      <c r="AM33" s="364">
        <f aca="true" t="shared" si="289" ref="AM33">Q33*$D33</f>
        <v>0</v>
      </c>
      <c r="AN33" s="364">
        <f aca="true" t="shared" si="290" ref="AN33">R33*$D33</f>
        <v>0</v>
      </c>
      <c r="AO33" s="364">
        <f aca="true" t="shared" si="291" ref="AO33">S33*$D33</f>
        <v>0</v>
      </c>
      <c r="AP33" s="244">
        <f aca="true" t="shared" si="292" ref="AP33">T33*$D33</f>
        <v>0</v>
      </c>
      <c r="AQ33" s="244">
        <f t="shared" si="13"/>
        <v>0</v>
      </c>
      <c r="AR33" s="244">
        <f t="shared" si="14"/>
        <v>0</v>
      </c>
      <c r="AS33" s="244">
        <f t="shared" si="15"/>
        <v>0</v>
      </c>
      <c r="AT33" s="244">
        <f t="shared" si="16"/>
        <v>0</v>
      </c>
      <c r="AU33" s="244"/>
      <c r="AV33" s="244">
        <f aca="true" t="shared" si="293" ref="AV33:BJ35">IF(AV$3=$E33,$D33,0)</f>
        <v>0</v>
      </c>
      <c r="AW33" s="244">
        <f t="shared" si="293"/>
        <v>0</v>
      </c>
      <c r="AX33" s="364">
        <f t="shared" si="293"/>
        <v>0</v>
      </c>
      <c r="AY33" s="244">
        <f t="shared" si="181"/>
        <v>0</v>
      </c>
      <c r="AZ33" s="244">
        <f t="shared" si="293"/>
        <v>0</v>
      </c>
      <c r="BA33" s="244">
        <f t="shared" si="293"/>
        <v>0</v>
      </c>
      <c r="BB33" s="244">
        <f t="shared" si="293"/>
        <v>7725.48</v>
      </c>
      <c r="BC33" s="244">
        <f t="shared" si="293"/>
        <v>0</v>
      </c>
      <c r="BD33" s="244">
        <f t="shared" si="293"/>
        <v>0</v>
      </c>
      <c r="BE33" s="244">
        <f t="shared" si="293"/>
        <v>0</v>
      </c>
      <c r="BF33" s="244">
        <f t="shared" si="293"/>
        <v>0</v>
      </c>
      <c r="BG33" s="244">
        <f t="shared" si="293"/>
        <v>0</v>
      </c>
      <c r="BH33" s="244">
        <f t="shared" si="293"/>
        <v>0</v>
      </c>
      <c r="BI33" s="244">
        <f t="shared" si="293"/>
        <v>0</v>
      </c>
      <c r="BJ33" s="244">
        <f t="shared" si="293"/>
        <v>0</v>
      </c>
      <c r="BK33" s="244">
        <f t="shared" si="134"/>
        <v>0</v>
      </c>
      <c r="BL33" s="244">
        <f t="shared" si="278"/>
        <v>0</v>
      </c>
      <c r="BM33" s="244">
        <f t="shared" si="278"/>
        <v>0</v>
      </c>
      <c r="BN33" s="244">
        <f t="shared" si="278"/>
        <v>0</v>
      </c>
      <c r="BO33" s="244">
        <f t="shared" si="45"/>
        <v>0</v>
      </c>
    </row>
    <row r="34" spans="1:67" s="297" customFormat="1" ht="15">
      <c r="A34" s="297" t="s">
        <v>147</v>
      </c>
      <c r="B34" s="356"/>
      <c r="C34" s="320"/>
      <c r="D34" s="335">
        <v>1241.07</v>
      </c>
      <c r="E34" s="247" t="s">
        <v>233</v>
      </c>
      <c r="F34" s="397"/>
      <c r="G34" s="397"/>
      <c r="H34" s="397"/>
      <c r="I34" s="333"/>
      <c r="J34" s="333"/>
      <c r="K34" s="333">
        <v>0</v>
      </c>
      <c r="L34" s="333">
        <v>0</v>
      </c>
      <c r="M34" s="333">
        <v>1</v>
      </c>
      <c r="N34" s="333">
        <v>0</v>
      </c>
      <c r="O34" s="333">
        <v>0</v>
      </c>
      <c r="P34" s="333">
        <v>0</v>
      </c>
      <c r="Q34" s="333">
        <v>0</v>
      </c>
      <c r="R34" s="333">
        <v>0</v>
      </c>
      <c r="S34" s="333"/>
      <c r="T34" s="333"/>
      <c r="U34" s="333"/>
      <c r="V34" s="333"/>
      <c r="W34" s="333"/>
      <c r="X34" s="333"/>
      <c r="Y34" s="342">
        <f t="shared" si="21"/>
        <v>1</v>
      </c>
      <c r="Z34" s="247"/>
      <c r="AA34" s="247"/>
      <c r="AB34" s="244">
        <f aca="true" t="shared" si="294" ref="AB34">F34*$D34</f>
        <v>0</v>
      </c>
      <c r="AC34" s="244">
        <f aca="true" t="shared" si="295" ref="AC34">G34*$D34</f>
        <v>0</v>
      </c>
      <c r="AD34" s="244">
        <f aca="true" t="shared" si="296" ref="AD34">H34*$D34</f>
        <v>0</v>
      </c>
      <c r="AE34" s="244">
        <f aca="true" t="shared" si="297" ref="AE34">I34*$D34</f>
        <v>0</v>
      </c>
      <c r="AF34" s="244">
        <f t="shared" si="279"/>
        <v>0</v>
      </c>
      <c r="AG34" s="244">
        <f t="shared" si="279"/>
        <v>0</v>
      </c>
      <c r="AH34" s="364">
        <f aca="true" t="shared" si="298" ref="AH34">L34*$D34</f>
        <v>0</v>
      </c>
      <c r="AI34" s="364">
        <f aca="true" t="shared" si="299" ref="AI34">M34*$D34</f>
        <v>1241.07</v>
      </c>
      <c r="AJ34" s="364">
        <f aca="true" t="shared" si="300" ref="AJ34">N34*$D34</f>
        <v>0</v>
      </c>
      <c r="AK34" s="364">
        <f aca="true" t="shared" si="301" ref="AK34">O34*$D34</f>
        <v>0</v>
      </c>
      <c r="AL34" s="364">
        <f aca="true" t="shared" si="302" ref="AL34">P34*$D34</f>
        <v>0</v>
      </c>
      <c r="AM34" s="364">
        <f aca="true" t="shared" si="303" ref="AM34">Q34*$D34</f>
        <v>0</v>
      </c>
      <c r="AN34" s="364">
        <f aca="true" t="shared" si="304" ref="AN34">R34*$D34</f>
        <v>0</v>
      </c>
      <c r="AO34" s="364">
        <f aca="true" t="shared" si="305" ref="AO34">S34*$D34</f>
        <v>0</v>
      </c>
      <c r="AP34" s="244">
        <f aca="true" t="shared" si="306" ref="AP34">T34*$D34</f>
        <v>0</v>
      </c>
      <c r="AQ34" s="244">
        <f t="shared" si="13"/>
        <v>0</v>
      </c>
      <c r="AR34" s="244">
        <f t="shared" si="14"/>
        <v>0</v>
      </c>
      <c r="AS34" s="244">
        <f t="shared" si="15"/>
        <v>0</v>
      </c>
      <c r="AT34" s="244">
        <f t="shared" si="16"/>
        <v>0</v>
      </c>
      <c r="AU34" s="244"/>
      <c r="AV34" s="244">
        <f t="shared" si="293"/>
        <v>0</v>
      </c>
      <c r="AW34" s="244">
        <f t="shared" si="293"/>
        <v>0</v>
      </c>
      <c r="AX34" s="364">
        <f t="shared" si="293"/>
        <v>0</v>
      </c>
      <c r="AY34" s="244">
        <f t="shared" si="181"/>
        <v>0</v>
      </c>
      <c r="AZ34" s="244">
        <f t="shared" si="293"/>
        <v>0</v>
      </c>
      <c r="BA34" s="244">
        <f t="shared" si="293"/>
        <v>0</v>
      </c>
      <c r="BB34" s="244">
        <f t="shared" si="293"/>
        <v>0</v>
      </c>
      <c r="BC34" s="244">
        <f t="shared" si="293"/>
        <v>1241.07</v>
      </c>
      <c r="BD34" s="244">
        <f t="shared" si="293"/>
        <v>0</v>
      </c>
      <c r="BE34" s="244">
        <f t="shared" si="293"/>
        <v>0</v>
      </c>
      <c r="BF34" s="244">
        <f t="shared" si="293"/>
        <v>0</v>
      </c>
      <c r="BG34" s="244">
        <f t="shared" si="293"/>
        <v>0</v>
      </c>
      <c r="BH34" s="244">
        <f t="shared" si="293"/>
        <v>0</v>
      </c>
      <c r="BI34" s="244">
        <f t="shared" si="293"/>
        <v>0</v>
      </c>
      <c r="BJ34" s="244">
        <f t="shared" si="293"/>
        <v>0</v>
      </c>
      <c r="BK34" s="244">
        <f t="shared" si="134"/>
        <v>0</v>
      </c>
      <c r="BL34" s="244">
        <f t="shared" si="278"/>
        <v>0</v>
      </c>
      <c r="BM34" s="244">
        <f t="shared" si="278"/>
        <v>0</v>
      </c>
      <c r="BN34" s="244">
        <f t="shared" si="278"/>
        <v>0</v>
      </c>
      <c r="BO34" s="244">
        <f t="shared" si="45"/>
        <v>0</v>
      </c>
    </row>
    <row r="35" spans="1:67" s="297" customFormat="1" ht="15">
      <c r="A35" s="297" t="s">
        <v>147</v>
      </c>
      <c r="B35" s="356"/>
      <c r="C35" s="320"/>
      <c r="D35" s="335">
        <v>174.22</v>
      </c>
      <c r="E35" s="247" t="s">
        <v>259</v>
      </c>
      <c r="F35" s="397"/>
      <c r="G35" s="397"/>
      <c r="H35" s="397"/>
      <c r="I35" s="333"/>
      <c r="J35" s="333"/>
      <c r="K35" s="333">
        <v>0</v>
      </c>
      <c r="L35" s="333">
        <v>0</v>
      </c>
      <c r="M35" s="333">
        <v>0</v>
      </c>
      <c r="N35" s="333">
        <v>1</v>
      </c>
      <c r="O35" s="333">
        <v>0</v>
      </c>
      <c r="P35" s="333">
        <v>0</v>
      </c>
      <c r="Q35" s="333">
        <v>0</v>
      </c>
      <c r="R35" s="333">
        <v>0</v>
      </c>
      <c r="S35" s="333"/>
      <c r="T35" s="333"/>
      <c r="U35" s="333"/>
      <c r="V35" s="333"/>
      <c r="W35" s="333"/>
      <c r="X35" s="333"/>
      <c r="Y35" s="342">
        <f t="shared" si="21"/>
        <v>1</v>
      </c>
      <c r="Z35" s="247"/>
      <c r="AA35" s="247"/>
      <c r="AB35" s="244">
        <f aca="true" t="shared" si="307" ref="AB35">F35*$D35</f>
        <v>0</v>
      </c>
      <c r="AC35" s="244">
        <f aca="true" t="shared" si="308" ref="AC35">G35*$D35</f>
        <v>0</v>
      </c>
      <c r="AD35" s="244">
        <f aca="true" t="shared" si="309" ref="AD35">H35*$D35</f>
        <v>0</v>
      </c>
      <c r="AE35" s="244">
        <f aca="true" t="shared" si="310" ref="AE35">I35*$D35</f>
        <v>0</v>
      </c>
      <c r="AF35" s="244">
        <f t="shared" si="279"/>
        <v>0</v>
      </c>
      <c r="AG35" s="244">
        <f t="shared" si="279"/>
        <v>0</v>
      </c>
      <c r="AH35" s="364">
        <f aca="true" t="shared" si="311" ref="AH35">L35*$D35</f>
        <v>0</v>
      </c>
      <c r="AI35" s="364">
        <f aca="true" t="shared" si="312" ref="AI35">M35*$D35</f>
        <v>0</v>
      </c>
      <c r="AJ35" s="364">
        <f aca="true" t="shared" si="313" ref="AJ35">N35*$D35</f>
        <v>174.22</v>
      </c>
      <c r="AK35" s="364">
        <f aca="true" t="shared" si="314" ref="AK35">O35*$D35</f>
        <v>0</v>
      </c>
      <c r="AL35" s="364">
        <f aca="true" t="shared" si="315" ref="AL35">P35*$D35</f>
        <v>0</v>
      </c>
      <c r="AM35" s="364">
        <f aca="true" t="shared" si="316" ref="AM35">Q35*$D35</f>
        <v>0</v>
      </c>
      <c r="AN35" s="364">
        <f aca="true" t="shared" si="317" ref="AN35">R35*$D35</f>
        <v>0</v>
      </c>
      <c r="AO35" s="364">
        <f aca="true" t="shared" si="318" ref="AO35">S35*$D35</f>
        <v>0</v>
      </c>
      <c r="AP35" s="244">
        <f aca="true" t="shared" si="319" ref="AP35">T35*$D35</f>
        <v>0</v>
      </c>
      <c r="AQ35" s="244">
        <f t="shared" si="13"/>
        <v>0</v>
      </c>
      <c r="AR35" s="244">
        <f t="shared" si="14"/>
        <v>0</v>
      </c>
      <c r="AS35" s="244">
        <f t="shared" si="15"/>
        <v>0</v>
      </c>
      <c r="AT35" s="244">
        <f t="shared" si="16"/>
        <v>0</v>
      </c>
      <c r="AU35" s="244"/>
      <c r="AV35" s="244">
        <f t="shared" si="293"/>
        <v>0</v>
      </c>
      <c r="AW35" s="244">
        <f t="shared" si="293"/>
        <v>0</v>
      </c>
      <c r="AX35" s="364">
        <f t="shared" si="293"/>
        <v>0</v>
      </c>
      <c r="AY35" s="244">
        <f t="shared" si="181"/>
        <v>0</v>
      </c>
      <c r="AZ35" s="244">
        <f t="shared" si="293"/>
        <v>0</v>
      </c>
      <c r="BA35" s="244">
        <f t="shared" si="293"/>
        <v>0</v>
      </c>
      <c r="BB35" s="244">
        <f t="shared" si="293"/>
        <v>0</v>
      </c>
      <c r="BC35" s="244">
        <f t="shared" si="293"/>
        <v>0</v>
      </c>
      <c r="BD35" s="244">
        <f t="shared" si="293"/>
        <v>174.22</v>
      </c>
      <c r="BE35" s="244">
        <f t="shared" si="293"/>
        <v>0</v>
      </c>
      <c r="BF35" s="244">
        <f t="shared" si="293"/>
        <v>0</v>
      </c>
      <c r="BG35" s="244">
        <f t="shared" si="293"/>
        <v>0</v>
      </c>
      <c r="BH35" s="244">
        <f t="shared" si="293"/>
        <v>0</v>
      </c>
      <c r="BI35" s="244">
        <f t="shared" si="293"/>
        <v>0</v>
      </c>
      <c r="BJ35" s="244">
        <f t="shared" si="293"/>
        <v>0</v>
      </c>
      <c r="BK35" s="244">
        <f t="shared" si="134"/>
        <v>0</v>
      </c>
      <c r="BL35" s="244">
        <f t="shared" si="278"/>
        <v>0</v>
      </c>
      <c r="BM35" s="244">
        <f t="shared" si="278"/>
        <v>0</v>
      </c>
      <c r="BN35" s="244">
        <f t="shared" si="278"/>
        <v>0</v>
      </c>
      <c r="BO35" s="244">
        <f t="shared" si="45"/>
        <v>0</v>
      </c>
    </row>
    <row r="36" spans="1:67" s="297" customFormat="1" ht="15">
      <c r="A36" s="297" t="s">
        <v>147</v>
      </c>
      <c r="B36" s="356"/>
      <c r="C36" s="320"/>
      <c r="D36" s="335">
        <v>1500</v>
      </c>
      <c r="E36" s="247" t="s">
        <v>211</v>
      </c>
      <c r="F36" s="397"/>
      <c r="G36" s="397"/>
      <c r="H36" s="397"/>
      <c r="I36" s="333">
        <v>1</v>
      </c>
      <c r="J36" s="333"/>
      <c r="K36" s="333">
        <v>0</v>
      </c>
      <c r="L36" s="333"/>
      <c r="M36" s="333"/>
      <c r="N36" s="333"/>
      <c r="O36" s="333"/>
      <c r="P36" s="333"/>
      <c r="Q36" s="333"/>
      <c r="R36" s="332"/>
      <c r="S36" s="332"/>
      <c r="T36" s="332"/>
      <c r="U36" s="332"/>
      <c r="V36" s="332"/>
      <c r="W36" s="332"/>
      <c r="X36" s="332"/>
      <c r="Y36" s="342">
        <f t="shared" si="21"/>
        <v>1</v>
      </c>
      <c r="Z36" s="247"/>
      <c r="AA36" s="247"/>
      <c r="AB36" s="244">
        <f aca="true" t="shared" si="320" ref="AB36">F36*$D36</f>
        <v>0</v>
      </c>
      <c r="AC36" s="244">
        <f aca="true" t="shared" si="321" ref="AC36">G36*$D36</f>
        <v>0</v>
      </c>
      <c r="AD36" s="244">
        <f aca="true" t="shared" si="322" ref="AD36">H36*$D36</f>
        <v>0</v>
      </c>
      <c r="AE36" s="244">
        <f aca="true" t="shared" si="323" ref="AE36">I36*$D36</f>
        <v>1500</v>
      </c>
      <c r="AF36" s="244">
        <f aca="true" t="shared" si="324" ref="AF36">J36*$D36</f>
        <v>0</v>
      </c>
      <c r="AG36" s="244">
        <f aca="true" t="shared" si="325" ref="AG36">K36*$D36</f>
        <v>0</v>
      </c>
      <c r="AH36" s="364">
        <f aca="true" t="shared" si="326" ref="AH36">L36*$D36</f>
        <v>0</v>
      </c>
      <c r="AI36" s="364">
        <f aca="true" t="shared" si="327" ref="AI36">M36*$D36</f>
        <v>0</v>
      </c>
      <c r="AJ36" s="364">
        <f aca="true" t="shared" si="328" ref="AJ36">N36*$D36</f>
        <v>0</v>
      </c>
      <c r="AK36" s="364">
        <f aca="true" t="shared" si="329" ref="AK36">O36*$D36</f>
        <v>0</v>
      </c>
      <c r="AL36" s="364">
        <f aca="true" t="shared" si="330" ref="AL36">P36*$D36</f>
        <v>0</v>
      </c>
      <c r="AM36" s="364">
        <f aca="true" t="shared" si="331" ref="AM36">Q36*$D36</f>
        <v>0</v>
      </c>
      <c r="AN36" s="364">
        <f aca="true" t="shared" si="332" ref="AN36">R36*$D36</f>
        <v>0</v>
      </c>
      <c r="AO36" s="364">
        <f aca="true" t="shared" si="333" ref="AO36">S36*$D36</f>
        <v>0</v>
      </c>
      <c r="AP36" s="244">
        <f aca="true" t="shared" si="334" ref="AP36">T36*$D36</f>
        <v>0</v>
      </c>
      <c r="AQ36" s="244">
        <f t="shared" si="13"/>
        <v>0</v>
      </c>
      <c r="AR36" s="244">
        <f t="shared" si="14"/>
        <v>0</v>
      </c>
      <c r="AS36" s="244">
        <f t="shared" si="15"/>
        <v>0</v>
      </c>
      <c r="AT36" s="244">
        <f t="shared" si="16"/>
        <v>0</v>
      </c>
      <c r="AU36" s="244"/>
      <c r="AV36" s="244">
        <f t="shared" si="17"/>
        <v>0</v>
      </c>
      <c r="AW36" s="244">
        <f t="shared" si="17"/>
        <v>0</v>
      </c>
      <c r="AX36" s="364">
        <f t="shared" si="17"/>
        <v>0</v>
      </c>
      <c r="AY36" s="364">
        <f t="shared" si="17"/>
        <v>1500</v>
      </c>
      <c r="AZ36" s="244">
        <f t="shared" si="17"/>
        <v>0</v>
      </c>
      <c r="BA36" s="244">
        <f t="shared" si="17"/>
        <v>0</v>
      </c>
      <c r="BB36" s="244">
        <f t="shared" si="17"/>
        <v>0</v>
      </c>
      <c r="BC36" s="244">
        <f t="shared" si="17"/>
        <v>0</v>
      </c>
      <c r="BD36" s="244">
        <f t="shared" si="17"/>
        <v>0</v>
      </c>
      <c r="BE36" s="244">
        <f t="shared" si="17"/>
        <v>0</v>
      </c>
      <c r="BF36" s="244">
        <f t="shared" si="17"/>
        <v>0</v>
      </c>
      <c r="BG36" s="244">
        <f t="shared" si="17"/>
        <v>0</v>
      </c>
      <c r="BH36" s="244">
        <f t="shared" si="17"/>
        <v>0</v>
      </c>
      <c r="BI36" s="244">
        <f t="shared" si="17"/>
        <v>0</v>
      </c>
      <c r="BJ36" s="244">
        <f t="shared" si="17"/>
        <v>0</v>
      </c>
      <c r="BK36" s="244">
        <f t="shared" si="134"/>
        <v>0</v>
      </c>
      <c r="BL36" s="244">
        <f t="shared" si="278"/>
        <v>0</v>
      </c>
      <c r="BM36" s="244">
        <f t="shared" si="278"/>
        <v>0</v>
      </c>
      <c r="BN36" s="244">
        <f t="shared" si="278"/>
        <v>0</v>
      </c>
      <c r="BO36" s="244">
        <f t="shared" si="45"/>
        <v>0</v>
      </c>
    </row>
    <row r="37" spans="1:67" ht="15">
      <c r="A37" s="297" t="s">
        <v>148</v>
      </c>
      <c r="B37" s="310"/>
      <c r="C37" s="320"/>
      <c r="D37" s="364">
        <v>200000</v>
      </c>
      <c r="E37" s="247" t="s">
        <v>211</v>
      </c>
      <c r="F37" s="397"/>
      <c r="G37" s="397"/>
      <c r="H37" s="397"/>
      <c r="I37" s="333"/>
      <c r="J37" s="333">
        <v>0</v>
      </c>
      <c r="K37" s="333">
        <v>0.20979245</v>
      </c>
      <c r="L37" s="396">
        <v>0.027375</v>
      </c>
      <c r="M37" s="399">
        <f>1.94978%+0.036</f>
        <v>0.0554978</v>
      </c>
      <c r="N37" s="338">
        <v>0</v>
      </c>
      <c r="O37" s="400">
        <v>0.0309987</v>
      </c>
      <c r="P37" s="338">
        <v>0.2190013</v>
      </c>
      <c r="Q37" s="338"/>
      <c r="R37" s="338">
        <v>0.2</v>
      </c>
      <c r="S37" s="338">
        <f>1-R37-P37-O37-N37-L37-K37-M37</f>
        <v>0.25733475</v>
      </c>
      <c r="T37" s="332"/>
      <c r="U37" s="332"/>
      <c r="V37" s="332"/>
      <c r="W37" s="332"/>
      <c r="X37" s="332"/>
      <c r="Y37" s="342">
        <f t="shared" si="21"/>
        <v>1</v>
      </c>
      <c r="Z37" s="247"/>
      <c r="AA37" s="247"/>
      <c r="AB37" s="244">
        <f t="shared" si="0"/>
        <v>0</v>
      </c>
      <c r="AC37" s="244">
        <f t="shared" si="1"/>
        <v>0</v>
      </c>
      <c r="AD37" s="364">
        <f t="shared" si="2"/>
        <v>0</v>
      </c>
      <c r="AE37" s="364">
        <f t="shared" si="3"/>
        <v>0</v>
      </c>
      <c r="AF37" s="364">
        <f>J37*$D37</f>
        <v>0</v>
      </c>
      <c r="AG37" s="364">
        <f t="shared" si="22"/>
        <v>41958.49</v>
      </c>
      <c r="AH37" s="364">
        <f t="shared" si="23"/>
        <v>5475</v>
      </c>
      <c r="AI37" s="364">
        <f t="shared" si="24"/>
        <v>11099.56</v>
      </c>
      <c r="AJ37" s="244">
        <f t="shared" si="19"/>
        <v>0</v>
      </c>
      <c r="AK37" s="364">
        <f t="shared" si="20"/>
        <v>6199.74</v>
      </c>
      <c r="AL37" s="244">
        <f t="shared" si="8"/>
        <v>43800.26</v>
      </c>
      <c r="AM37" s="244">
        <f t="shared" si="9"/>
        <v>0</v>
      </c>
      <c r="AN37" s="244">
        <f t="shared" si="10"/>
        <v>40000</v>
      </c>
      <c r="AO37" s="244">
        <f t="shared" si="11"/>
        <v>51466.95</v>
      </c>
      <c r="AP37" s="244">
        <f t="shared" si="12"/>
        <v>0</v>
      </c>
      <c r="AQ37" s="244">
        <f t="shared" si="13"/>
        <v>0</v>
      </c>
      <c r="AR37" s="244">
        <f t="shared" si="14"/>
        <v>0</v>
      </c>
      <c r="AS37" s="244">
        <f t="shared" si="15"/>
        <v>0</v>
      </c>
      <c r="AT37" s="244">
        <f t="shared" si="16"/>
        <v>0</v>
      </c>
      <c r="AU37" s="244"/>
      <c r="AV37" s="244">
        <f aca="true" t="shared" si="335" ref="AV37:BL52">IF(AV$3=$E37,$D37,0)</f>
        <v>0</v>
      </c>
      <c r="AW37" s="244">
        <f t="shared" si="335"/>
        <v>0</v>
      </c>
      <c r="AX37" s="244">
        <f t="shared" si="335"/>
        <v>0</v>
      </c>
      <c r="AY37" s="244">
        <f t="shared" si="335"/>
        <v>200000</v>
      </c>
      <c r="AZ37" s="244">
        <f t="shared" si="335"/>
        <v>0</v>
      </c>
      <c r="BA37" s="244">
        <f t="shared" si="335"/>
        <v>0</v>
      </c>
      <c r="BB37" s="244">
        <f t="shared" si="335"/>
        <v>0</v>
      </c>
      <c r="BC37" s="244">
        <f t="shared" si="335"/>
        <v>0</v>
      </c>
      <c r="BD37" s="244">
        <f t="shared" si="335"/>
        <v>0</v>
      </c>
      <c r="BE37" s="244">
        <f t="shared" si="335"/>
        <v>0</v>
      </c>
      <c r="BF37" s="244">
        <f t="shared" si="335"/>
        <v>0</v>
      </c>
      <c r="BG37" s="244">
        <f t="shared" si="335"/>
        <v>0</v>
      </c>
      <c r="BH37" s="244">
        <f t="shared" si="335"/>
        <v>0</v>
      </c>
      <c r="BI37" s="244">
        <f t="shared" si="335"/>
        <v>0</v>
      </c>
      <c r="BJ37" s="244">
        <f t="shared" si="335"/>
        <v>0</v>
      </c>
      <c r="BK37" s="244">
        <f t="shared" si="335"/>
        <v>0</v>
      </c>
      <c r="BL37" s="244">
        <f t="shared" si="335"/>
        <v>0</v>
      </c>
      <c r="BM37" s="244">
        <f t="shared" si="278"/>
        <v>0</v>
      </c>
      <c r="BN37" s="244">
        <f t="shared" si="278"/>
        <v>0</v>
      </c>
      <c r="BO37" s="244">
        <f t="shared" si="45"/>
        <v>0</v>
      </c>
    </row>
    <row r="38" spans="1:67" ht="15">
      <c r="A38" t="s">
        <v>148</v>
      </c>
      <c r="B38" s="310"/>
      <c r="C38" s="320"/>
      <c r="D38" s="364">
        <v>51406.27</v>
      </c>
      <c r="E38" s="247" t="s">
        <v>208</v>
      </c>
      <c r="F38" s="346"/>
      <c r="G38" s="346"/>
      <c r="H38" s="346"/>
      <c r="I38" s="332"/>
      <c r="J38" s="333">
        <v>0.37499997568390003</v>
      </c>
      <c r="K38" s="333">
        <v>0.49999970820680045</v>
      </c>
      <c r="L38" s="345">
        <v>0.1249999270517</v>
      </c>
      <c r="M38" s="333"/>
      <c r="N38" s="333"/>
      <c r="O38" s="332"/>
      <c r="P38" s="332"/>
      <c r="Q38" s="332"/>
      <c r="R38" s="332"/>
      <c r="S38" s="338">
        <f>1-R38-P38-O38-N38-L38-K38-M38-J38</f>
        <v>3.890575994702772E-07</v>
      </c>
      <c r="T38" s="332"/>
      <c r="U38" s="332"/>
      <c r="V38" s="332"/>
      <c r="W38" s="332"/>
      <c r="X38" s="332"/>
      <c r="Y38" s="342">
        <f t="shared" si="21"/>
        <v>1</v>
      </c>
      <c r="Z38" s="247"/>
      <c r="AA38" s="247"/>
      <c r="AB38" s="244">
        <f t="shared" si="0"/>
        <v>0</v>
      </c>
      <c r="AC38" s="244">
        <f t="shared" si="1"/>
        <v>0</v>
      </c>
      <c r="AD38" s="364">
        <f t="shared" si="2"/>
        <v>0</v>
      </c>
      <c r="AE38" s="364">
        <f t="shared" si="3"/>
        <v>0</v>
      </c>
      <c r="AF38" s="364">
        <f>J38*$D38</f>
        <v>19277.35</v>
      </c>
      <c r="AG38" s="364">
        <f t="shared" si="22"/>
        <v>25703.12</v>
      </c>
      <c r="AH38" s="364">
        <f t="shared" si="23"/>
        <v>6425.779999999994</v>
      </c>
      <c r="AI38" s="364">
        <f t="shared" si="24"/>
        <v>0</v>
      </c>
      <c r="AJ38" s="244">
        <f t="shared" si="19"/>
        <v>0</v>
      </c>
      <c r="AK38" s="244">
        <f t="shared" si="20"/>
        <v>0</v>
      </c>
      <c r="AL38" s="244">
        <f t="shared" si="8"/>
        <v>0</v>
      </c>
      <c r="AM38" s="244">
        <f t="shared" si="9"/>
        <v>0</v>
      </c>
      <c r="AN38" s="244">
        <f t="shared" si="10"/>
        <v>0</v>
      </c>
      <c r="AO38" s="244">
        <f t="shared" si="11"/>
        <v>0.020000000003920923</v>
      </c>
      <c r="AP38" s="244">
        <f t="shared" si="12"/>
        <v>0</v>
      </c>
      <c r="AQ38" s="244">
        <f t="shared" si="13"/>
        <v>0</v>
      </c>
      <c r="AR38" s="244">
        <f t="shared" si="14"/>
        <v>0</v>
      </c>
      <c r="AS38" s="244">
        <f t="shared" si="15"/>
        <v>0</v>
      </c>
      <c r="AT38" s="244">
        <f t="shared" si="16"/>
        <v>0</v>
      </c>
      <c r="AU38" s="244"/>
      <c r="AV38" s="244">
        <f t="shared" si="335"/>
        <v>0</v>
      </c>
      <c r="AW38" s="244">
        <f t="shared" si="335"/>
        <v>0</v>
      </c>
      <c r="AX38" s="244">
        <f t="shared" si="335"/>
        <v>0</v>
      </c>
      <c r="AY38" s="244">
        <f t="shared" si="335"/>
        <v>0</v>
      </c>
      <c r="AZ38" s="364">
        <f t="shared" si="335"/>
        <v>51406.27</v>
      </c>
      <c r="BA38" s="244">
        <f t="shared" si="335"/>
        <v>0</v>
      </c>
      <c r="BB38" s="244">
        <f t="shared" si="335"/>
        <v>0</v>
      </c>
      <c r="BC38" s="244">
        <f t="shared" si="335"/>
        <v>0</v>
      </c>
      <c r="BD38" s="244">
        <f t="shared" si="335"/>
        <v>0</v>
      </c>
      <c r="BE38" s="244">
        <f t="shared" si="335"/>
        <v>0</v>
      </c>
      <c r="BF38" s="244">
        <f t="shared" si="335"/>
        <v>0</v>
      </c>
      <c r="BG38" s="244">
        <f t="shared" si="335"/>
        <v>0</v>
      </c>
      <c r="BH38" s="244">
        <f t="shared" si="335"/>
        <v>0</v>
      </c>
      <c r="BI38" s="244">
        <f t="shared" si="335"/>
        <v>0</v>
      </c>
      <c r="BJ38" s="244">
        <f t="shared" si="335"/>
        <v>0</v>
      </c>
      <c r="BK38" s="244">
        <f t="shared" si="335"/>
        <v>0</v>
      </c>
      <c r="BL38" s="244">
        <f t="shared" si="278"/>
        <v>0</v>
      </c>
      <c r="BM38" s="244">
        <f t="shared" si="278"/>
        <v>0</v>
      </c>
      <c r="BN38" s="244">
        <f t="shared" si="278"/>
        <v>0</v>
      </c>
      <c r="BO38" s="244">
        <f t="shared" si="45"/>
        <v>0</v>
      </c>
    </row>
    <row r="39" spans="1:67" s="297" customFormat="1" ht="15">
      <c r="A39" s="297" t="s">
        <v>148</v>
      </c>
      <c r="B39" s="310"/>
      <c r="C39" s="320"/>
      <c r="D39" s="364">
        <v>6425.8</v>
      </c>
      <c r="E39" s="247" t="s">
        <v>193</v>
      </c>
      <c r="F39" s="346"/>
      <c r="G39" s="346"/>
      <c r="H39" s="346"/>
      <c r="I39" s="332"/>
      <c r="J39" s="333">
        <v>0</v>
      </c>
      <c r="K39" s="333">
        <v>0</v>
      </c>
      <c r="L39" s="333">
        <v>0</v>
      </c>
      <c r="M39" s="333">
        <v>1</v>
      </c>
      <c r="N39" s="333"/>
      <c r="O39" s="332"/>
      <c r="P39" s="332"/>
      <c r="Q39" s="332"/>
      <c r="R39" s="332"/>
      <c r="S39" s="332"/>
      <c r="T39" s="332"/>
      <c r="U39" s="332"/>
      <c r="V39" s="332"/>
      <c r="W39" s="332"/>
      <c r="X39" s="332"/>
      <c r="Y39" s="342">
        <f t="shared" si="21"/>
        <v>1</v>
      </c>
      <c r="Z39" s="247"/>
      <c r="AA39" s="247"/>
      <c r="AB39" s="244">
        <f aca="true" t="shared" si="336" ref="AB39">F39*$D39</f>
        <v>0</v>
      </c>
      <c r="AC39" s="244">
        <f aca="true" t="shared" si="337" ref="AC39">G39*$D39</f>
        <v>0</v>
      </c>
      <c r="AD39" s="364">
        <f aca="true" t="shared" si="338" ref="AD39">H39*$D39</f>
        <v>0</v>
      </c>
      <c r="AE39" s="364">
        <f aca="true" t="shared" si="339" ref="AE39">I39*$D39</f>
        <v>0</v>
      </c>
      <c r="AF39" s="364">
        <f aca="true" t="shared" si="340" ref="AF39">J39*$D39</f>
        <v>0</v>
      </c>
      <c r="AG39" s="364">
        <f aca="true" t="shared" si="341" ref="AG39">K39*$D39</f>
        <v>0</v>
      </c>
      <c r="AH39" s="364">
        <f aca="true" t="shared" si="342" ref="AH39">L39*$D39</f>
        <v>0</v>
      </c>
      <c r="AI39" s="364">
        <f aca="true" t="shared" si="343" ref="AI39">M39*$D39</f>
        <v>6425.8</v>
      </c>
      <c r="AJ39" s="244">
        <f aca="true" t="shared" si="344" ref="AJ39">N39*$D39</f>
        <v>0</v>
      </c>
      <c r="AK39" s="244">
        <f aca="true" t="shared" si="345" ref="AK39">O39*$D39</f>
        <v>0</v>
      </c>
      <c r="AL39" s="244">
        <f aca="true" t="shared" si="346" ref="AL39">P39*$D39</f>
        <v>0</v>
      </c>
      <c r="AM39" s="244">
        <f aca="true" t="shared" si="347" ref="AM39">Q39*$D39</f>
        <v>0</v>
      </c>
      <c r="AN39" s="244">
        <f aca="true" t="shared" si="348" ref="AN39">R39*$D39</f>
        <v>0</v>
      </c>
      <c r="AO39" s="244">
        <f aca="true" t="shared" si="349" ref="AO39">S39*$D39</f>
        <v>0</v>
      </c>
      <c r="AP39" s="244">
        <f aca="true" t="shared" si="350" ref="AP39">T39*$D39</f>
        <v>0</v>
      </c>
      <c r="AQ39" s="244">
        <f t="shared" si="13"/>
        <v>0</v>
      </c>
      <c r="AR39" s="244">
        <f t="shared" si="14"/>
        <v>0</v>
      </c>
      <c r="AS39" s="244">
        <f t="shared" si="15"/>
        <v>0</v>
      </c>
      <c r="AT39" s="244">
        <f t="shared" si="16"/>
        <v>0</v>
      </c>
      <c r="AU39" s="244"/>
      <c r="AV39" s="244">
        <f t="shared" si="335"/>
        <v>0</v>
      </c>
      <c r="AW39" s="244">
        <f t="shared" si="335"/>
        <v>0</v>
      </c>
      <c r="AX39" s="244">
        <f t="shared" si="335"/>
        <v>0</v>
      </c>
      <c r="AY39" s="244">
        <f t="shared" si="335"/>
        <v>0</v>
      </c>
      <c r="AZ39" s="244">
        <f t="shared" si="335"/>
        <v>0</v>
      </c>
      <c r="BA39" s="244">
        <f t="shared" si="335"/>
        <v>0</v>
      </c>
      <c r="BB39" s="244">
        <f t="shared" si="335"/>
        <v>6425.8</v>
      </c>
      <c r="BC39" s="244">
        <f t="shared" si="335"/>
        <v>0</v>
      </c>
      <c r="BD39" s="244">
        <f t="shared" si="335"/>
        <v>0</v>
      </c>
      <c r="BE39" s="244">
        <f t="shared" si="335"/>
        <v>0</v>
      </c>
      <c r="BF39" s="244">
        <f t="shared" si="335"/>
        <v>0</v>
      </c>
      <c r="BG39" s="244">
        <f t="shared" si="335"/>
        <v>0</v>
      </c>
      <c r="BH39" s="244">
        <f t="shared" si="335"/>
        <v>0</v>
      </c>
      <c r="BI39" s="244">
        <f t="shared" si="335"/>
        <v>0</v>
      </c>
      <c r="BJ39" s="244">
        <f t="shared" si="335"/>
        <v>0</v>
      </c>
      <c r="BK39" s="244">
        <f t="shared" si="335"/>
        <v>0</v>
      </c>
      <c r="BL39" s="244">
        <f t="shared" si="278"/>
        <v>0</v>
      </c>
      <c r="BM39" s="244">
        <f t="shared" si="278"/>
        <v>0</v>
      </c>
      <c r="BN39" s="244">
        <f t="shared" si="278"/>
        <v>0</v>
      </c>
      <c r="BO39" s="244">
        <f t="shared" si="45"/>
        <v>0</v>
      </c>
    </row>
    <row r="40" spans="1:67" ht="15">
      <c r="A40" t="s">
        <v>148</v>
      </c>
      <c r="B40" s="310"/>
      <c r="C40" s="320"/>
      <c r="D40" s="364">
        <v>121200</v>
      </c>
      <c r="E40" s="247" t="s">
        <v>179</v>
      </c>
      <c r="F40" s="397"/>
      <c r="G40" s="397"/>
      <c r="H40" s="397"/>
      <c r="I40" s="333">
        <v>0.33333333</v>
      </c>
      <c r="J40" s="333">
        <v>0.16666666</v>
      </c>
      <c r="K40" s="333">
        <v>0.33333333</v>
      </c>
      <c r="L40" s="333">
        <v>0.16666668000000007</v>
      </c>
      <c r="M40" s="333"/>
      <c r="N40" s="333"/>
      <c r="O40" s="333"/>
      <c r="P40" s="333"/>
      <c r="Q40" s="333"/>
      <c r="R40" s="332"/>
      <c r="S40" s="332"/>
      <c r="T40" s="332"/>
      <c r="U40" s="332"/>
      <c r="V40" s="332"/>
      <c r="W40" s="332"/>
      <c r="X40" s="332"/>
      <c r="Y40" s="342">
        <f t="shared" si="21"/>
        <v>1</v>
      </c>
      <c r="Z40" s="247"/>
      <c r="AA40" s="247"/>
      <c r="AB40" s="254">
        <f t="shared" si="0"/>
        <v>0</v>
      </c>
      <c r="AC40" s="244">
        <f t="shared" si="1"/>
        <v>0</v>
      </c>
      <c r="AD40" s="364">
        <f t="shared" si="2"/>
        <v>0</v>
      </c>
      <c r="AE40" s="364">
        <f t="shared" si="3"/>
        <v>40399.999596</v>
      </c>
      <c r="AF40" s="364">
        <f aca="true" t="shared" si="351" ref="AF40:AF47">J40*$D40</f>
        <v>20199.999192</v>
      </c>
      <c r="AG40" s="364">
        <f t="shared" si="22"/>
        <v>40399.999596</v>
      </c>
      <c r="AH40" s="364">
        <f t="shared" si="23"/>
        <v>20200.00161600001</v>
      </c>
      <c r="AI40" s="364">
        <f t="shared" si="24"/>
        <v>0</v>
      </c>
      <c r="AJ40" s="244">
        <f t="shared" si="19"/>
        <v>0</v>
      </c>
      <c r="AK40" s="244">
        <f t="shared" si="20"/>
        <v>0</v>
      </c>
      <c r="AL40" s="244">
        <f t="shared" si="8"/>
        <v>0</v>
      </c>
      <c r="AM40" s="244">
        <f t="shared" si="9"/>
        <v>0</v>
      </c>
      <c r="AN40" s="244">
        <f t="shared" si="10"/>
        <v>0</v>
      </c>
      <c r="AO40" s="244">
        <f t="shared" si="11"/>
        <v>0</v>
      </c>
      <c r="AP40" s="244">
        <f t="shared" si="12"/>
        <v>0</v>
      </c>
      <c r="AQ40" s="244">
        <f t="shared" si="13"/>
        <v>0</v>
      </c>
      <c r="AR40" s="244">
        <f t="shared" si="14"/>
        <v>0</v>
      </c>
      <c r="AS40" s="244">
        <f t="shared" si="15"/>
        <v>0</v>
      </c>
      <c r="AT40" s="244">
        <f t="shared" si="16"/>
        <v>0</v>
      </c>
      <c r="AU40" s="244"/>
      <c r="AV40" s="244">
        <f t="shared" si="335"/>
        <v>0</v>
      </c>
      <c r="AW40" s="244">
        <f t="shared" si="335"/>
        <v>0</v>
      </c>
      <c r="AX40" s="244">
        <f t="shared" si="335"/>
        <v>121200</v>
      </c>
      <c r="AY40" s="244">
        <f t="shared" si="335"/>
        <v>0</v>
      </c>
      <c r="AZ40" s="244">
        <f t="shared" si="335"/>
        <v>0</v>
      </c>
      <c r="BA40" s="244">
        <f t="shared" si="335"/>
        <v>0</v>
      </c>
      <c r="BB40" s="244">
        <f t="shared" si="335"/>
        <v>0</v>
      </c>
      <c r="BC40" s="244">
        <f t="shared" si="335"/>
        <v>0</v>
      </c>
      <c r="BD40" s="244">
        <f t="shared" si="335"/>
        <v>0</v>
      </c>
      <c r="BE40" s="244">
        <f t="shared" si="335"/>
        <v>0</v>
      </c>
      <c r="BF40" s="244">
        <f t="shared" si="335"/>
        <v>0</v>
      </c>
      <c r="BG40" s="244">
        <f t="shared" si="335"/>
        <v>0</v>
      </c>
      <c r="BH40" s="244">
        <f t="shared" si="335"/>
        <v>0</v>
      </c>
      <c r="BI40" s="244">
        <f t="shared" si="335"/>
        <v>0</v>
      </c>
      <c r="BJ40" s="244">
        <f t="shared" si="335"/>
        <v>0</v>
      </c>
      <c r="BK40" s="244">
        <f t="shared" si="335"/>
        <v>0</v>
      </c>
      <c r="BL40" s="244">
        <f t="shared" si="278"/>
        <v>0</v>
      </c>
      <c r="BM40" s="244">
        <f t="shared" si="278"/>
        <v>0</v>
      </c>
      <c r="BN40" s="244">
        <f t="shared" si="278"/>
        <v>0</v>
      </c>
      <c r="BO40" s="244">
        <f t="shared" si="45"/>
        <v>0</v>
      </c>
    </row>
    <row r="41" spans="1:67" ht="15">
      <c r="A41" t="s">
        <v>148</v>
      </c>
      <c r="B41" s="310"/>
      <c r="C41" s="320"/>
      <c r="D41" s="366">
        <f>12250*12</f>
        <v>147000</v>
      </c>
      <c r="E41" s="332" t="s">
        <v>208</v>
      </c>
      <c r="F41" s="397"/>
      <c r="G41" s="397"/>
      <c r="H41" s="397"/>
      <c r="I41" s="333"/>
      <c r="J41" s="333">
        <v>0.0833333333333333</v>
      </c>
      <c r="K41" s="333">
        <v>0.166666666666666</v>
      </c>
      <c r="L41" s="333">
        <v>0.25</v>
      </c>
      <c r="M41" s="333">
        <v>0.3333333333333333</v>
      </c>
      <c r="N41" s="333">
        <v>0.16666666666666669</v>
      </c>
      <c r="O41" s="333">
        <v>0</v>
      </c>
      <c r="P41" s="333"/>
      <c r="Q41" s="333"/>
      <c r="R41" s="332"/>
      <c r="S41" s="332"/>
      <c r="T41" s="332"/>
      <c r="U41" s="332"/>
      <c r="V41" s="332"/>
      <c r="W41" s="332"/>
      <c r="X41" s="332"/>
      <c r="Y41" s="342">
        <f t="shared" si="21"/>
        <v>0.9999999999999993</v>
      </c>
      <c r="Z41" s="247"/>
      <c r="AA41" s="247"/>
      <c r="AB41" s="254">
        <f t="shared" si="0"/>
        <v>0</v>
      </c>
      <c r="AC41" s="244">
        <f t="shared" si="1"/>
        <v>0</v>
      </c>
      <c r="AD41" s="364">
        <f t="shared" si="2"/>
        <v>0</v>
      </c>
      <c r="AE41" s="364">
        <f t="shared" si="3"/>
        <v>0</v>
      </c>
      <c r="AF41" s="364">
        <f t="shared" si="351"/>
        <v>12249.999999999995</v>
      </c>
      <c r="AG41" s="364">
        <f t="shared" si="22"/>
        <v>24499.9999999999</v>
      </c>
      <c r="AH41" s="364">
        <f t="shared" si="23"/>
        <v>36750</v>
      </c>
      <c r="AI41" s="364">
        <f t="shared" si="24"/>
        <v>49000</v>
      </c>
      <c r="AJ41" s="244">
        <f t="shared" si="19"/>
        <v>24500.000000000004</v>
      </c>
      <c r="AK41" s="244">
        <f t="shared" si="20"/>
        <v>0</v>
      </c>
      <c r="AL41" s="244">
        <f t="shared" si="8"/>
        <v>0</v>
      </c>
      <c r="AM41" s="244">
        <f t="shared" si="9"/>
        <v>0</v>
      </c>
      <c r="AN41" s="244">
        <f t="shared" si="10"/>
        <v>0</v>
      </c>
      <c r="AO41" s="244">
        <f t="shared" si="11"/>
        <v>0</v>
      </c>
      <c r="AP41" s="244">
        <f t="shared" si="12"/>
        <v>0</v>
      </c>
      <c r="AQ41" s="244">
        <f t="shared" si="13"/>
        <v>0</v>
      </c>
      <c r="AR41" s="244">
        <f t="shared" si="14"/>
        <v>0</v>
      </c>
      <c r="AS41" s="244">
        <f t="shared" si="15"/>
        <v>0</v>
      </c>
      <c r="AT41" s="244">
        <f t="shared" si="16"/>
        <v>0</v>
      </c>
      <c r="AU41" s="244"/>
      <c r="AV41" s="244">
        <f t="shared" si="335"/>
        <v>0</v>
      </c>
      <c r="AW41" s="244">
        <f t="shared" si="335"/>
        <v>0</v>
      </c>
      <c r="AX41" s="244">
        <f t="shared" si="335"/>
        <v>0</v>
      </c>
      <c r="AY41" s="244">
        <f t="shared" si="335"/>
        <v>0</v>
      </c>
      <c r="AZ41" s="244">
        <f t="shared" si="335"/>
        <v>147000</v>
      </c>
      <c r="BA41" s="244">
        <f t="shared" si="335"/>
        <v>0</v>
      </c>
      <c r="BB41" s="244">
        <f t="shared" si="335"/>
        <v>0</v>
      </c>
      <c r="BC41" s="244">
        <f t="shared" si="335"/>
        <v>0</v>
      </c>
      <c r="BD41" s="244">
        <f t="shared" si="335"/>
        <v>0</v>
      </c>
      <c r="BE41" s="244">
        <f t="shared" si="335"/>
        <v>0</v>
      </c>
      <c r="BF41" s="244">
        <f t="shared" si="335"/>
        <v>0</v>
      </c>
      <c r="BG41" s="244">
        <f t="shared" si="335"/>
        <v>0</v>
      </c>
      <c r="BH41" s="244">
        <f t="shared" si="335"/>
        <v>0</v>
      </c>
      <c r="BI41" s="244">
        <f t="shared" si="335"/>
        <v>0</v>
      </c>
      <c r="BJ41" s="244">
        <f t="shared" si="335"/>
        <v>0</v>
      </c>
      <c r="BK41" s="244">
        <f t="shared" si="335"/>
        <v>0</v>
      </c>
      <c r="BL41" s="244">
        <f t="shared" si="278"/>
        <v>0</v>
      </c>
      <c r="BM41" s="244">
        <f t="shared" si="278"/>
        <v>0</v>
      </c>
      <c r="BN41" s="244">
        <f t="shared" si="278"/>
        <v>0</v>
      </c>
      <c r="BO41" s="244">
        <f t="shared" si="45"/>
        <v>0</v>
      </c>
    </row>
    <row r="42" spans="1:67" ht="15">
      <c r="A42" t="s">
        <v>148</v>
      </c>
      <c r="B42" s="310"/>
      <c r="C42" s="320"/>
      <c r="D42" s="364">
        <f>12250*12</f>
        <v>147000</v>
      </c>
      <c r="E42" s="247" t="s">
        <v>258</v>
      </c>
      <c r="F42" s="397"/>
      <c r="G42" s="397"/>
      <c r="H42" s="397"/>
      <c r="I42" s="333"/>
      <c r="J42" s="333"/>
      <c r="K42" s="333"/>
      <c r="L42" s="333"/>
      <c r="M42" s="333"/>
      <c r="N42" s="333"/>
      <c r="O42" s="333">
        <v>0.0833333333333333</v>
      </c>
      <c r="P42" s="333">
        <v>0.25</v>
      </c>
      <c r="Q42" s="333">
        <v>0.25</v>
      </c>
      <c r="R42" s="333">
        <v>0.25</v>
      </c>
      <c r="S42" s="333">
        <v>0.166666666666667</v>
      </c>
      <c r="T42" s="333">
        <v>0</v>
      </c>
      <c r="U42" s="332"/>
      <c r="V42" s="332"/>
      <c r="W42" s="332"/>
      <c r="X42" s="332"/>
      <c r="Y42" s="342">
        <f t="shared" si="21"/>
        <v>1.0000000000000002</v>
      </c>
      <c r="Z42" s="247"/>
      <c r="AA42" s="247"/>
      <c r="AB42" s="254">
        <f t="shared" si="0"/>
        <v>0</v>
      </c>
      <c r="AC42" s="244">
        <f t="shared" si="1"/>
        <v>0</v>
      </c>
      <c r="AD42" s="364">
        <f t="shared" si="2"/>
        <v>0</v>
      </c>
      <c r="AE42" s="364">
        <f t="shared" si="3"/>
        <v>0</v>
      </c>
      <c r="AF42" s="364">
        <f t="shared" si="351"/>
        <v>0</v>
      </c>
      <c r="AG42" s="364">
        <f t="shared" si="22"/>
        <v>0</v>
      </c>
      <c r="AH42" s="364">
        <f t="shared" si="23"/>
        <v>0</v>
      </c>
      <c r="AI42" s="364">
        <f t="shared" si="24"/>
        <v>0</v>
      </c>
      <c r="AJ42" s="244">
        <f t="shared" si="19"/>
        <v>0</v>
      </c>
      <c r="AK42" s="244">
        <f t="shared" si="20"/>
        <v>12249.999999999995</v>
      </c>
      <c r="AL42" s="244">
        <f t="shared" si="8"/>
        <v>36750</v>
      </c>
      <c r="AM42" s="244">
        <f t="shared" si="9"/>
        <v>36750</v>
      </c>
      <c r="AN42" s="244">
        <f t="shared" si="10"/>
        <v>36750</v>
      </c>
      <c r="AO42" s="244">
        <f t="shared" si="11"/>
        <v>24500.000000000047</v>
      </c>
      <c r="AP42" s="244">
        <f t="shared" si="12"/>
        <v>0</v>
      </c>
      <c r="AQ42" s="244">
        <f aca="true" t="shared" si="352" ref="AQ42:AQ88">U42*$D42</f>
        <v>0</v>
      </c>
      <c r="AR42" s="244">
        <f t="shared" si="14"/>
        <v>0</v>
      </c>
      <c r="AS42" s="244">
        <f t="shared" si="15"/>
        <v>0</v>
      </c>
      <c r="AT42" s="244">
        <f t="shared" si="16"/>
        <v>0</v>
      </c>
      <c r="AU42" s="244"/>
      <c r="AV42" s="244">
        <f t="shared" si="335"/>
        <v>0</v>
      </c>
      <c r="AW42" s="244">
        <f t="shared" si="335"/>
        <v>0</v>
      </c>
      <c r="AX42" s="244">
        <f t="shared" si="335"/>
        <v>0</v>
      </c>
      <c r="AY42" s="244">
        <f t="shared" si="335"/>
        <v>0</v>
      </c>
      <c r="AZ42" s="244">
        <f t="shared" si="335"/>
        <v>0</v>
      </c>
      <c r="BA42" s="244">
        <f t="shared" si="335"/>
        <v>0</v>
      </c>
      <c r="BB42" s="244">
        <f t="shared" si="335"/>
        <v>0</v>
      </c>
      <c r="BC42" s="244">
        <f t="shared" si="335"/>
        <v>0</v>
      </c>
      <c r="BD42" s="244">
        <f t="shared" si="335"/>
        <v>0</v>
      </c>
      <c r="BE42" s="244">
        <f t="shared" si="335"/>
        <v>147000</v>
      </c>
      <c r="BF42" s="244">
        <f t="shared" si="335"/>
        <v>0</v>
      </c>
      <c r="BG42" s="244">
        <f t="shared" si="335"/>
        <v>0</v>
      </c>
      <c r="BH42" s="244">
        <f t="shared" si="335"/>
        <v>0</v>
      </c>
      <c r="BI42" s="244">
        <f t="shared" si="335"/>
        <v>0</v>
      </c>
      <c r="BJ42" s="244">
        <f t="shared" si="335"/>
        <v>0</v>
      </c>
      <c r="BK42" s="244">
        <f t="shared" si="335"/>
        <v>0</v>
      </c>
      <c r="BL42" s="244">
        <f t="shared" si="278"/>
        <v>0</v>
      </c>
      <c r="BM42" s="244">
        <f t="shared" si="278"/>
        <v>0</v>
      </c>
      <c r="BN42" s="244">
        <f t="shared" si="278"/>
        <v>0</v>
      </c>
      <c r="BO42" s="244">
        <f t="shared" si="45"/>
        <v>0</v>
      </c>
    </row>
    <row r="43" spans="1:67" ht="15">
      <c r="A43" t="s">
        <v>148</v>
      </c>
      <c r="B43" s="310"/>
      <c r="C43" s="247"/>
      <c r="D43" s="366">
        <v>61250</v>
      </c>
      <c r="E43" s="332" t="s">
        <v>207</v>
      </c>
      <c r="F43" s="397"/>
      <c r="G43" s="397">
        <v>0</v>
      </c>
      <c r="H43" s="397">
        <v>0.4</v>
      </c>
      <c r="I43" s="333">
        <v>0.6</v>
      </c>
      <c r="J43" s="333">
        <v>0</v>
      </c>
      <c r="K43" s="333"/>
      <c r="L43" s="333"/>
      <c r="M43" s="333"/>
      <c r="N43" s="333"/>
      <c r="O43" s="333"/>
      <c r="P43" s="333"/>
      <c r="Q43" s="333"/>
      <c r="R43" s="332"/>
      <c r="S43" s="332"/>
      <c r="T43" s="332"/>
      <c r="U43" s="332"/>
      <c r="V43" s="332"/>
      <c r="W43" s="332"/>
      <c r="X43" s="332"/>
      <c r="Y43" s="342">
        <f t="shared" si="21"/>
        <v>1</v>
      </c>
      <c r="Z43" s="247"/>
      <c r="AA43" s="247"/>
      <c r="AB43" s="244">
        <f t="shared" si="0"/>
        <v>0</v>
      </c>
      <c r="AC43" s="244">
        <f t="shared" si="1"/>
        <v>0</v>
      </c>
      <c r="AD43" s="364">
        <f t="shared" si="2"/>
        <v>24500</v>
      </c>
      <c r="AE43" s="364">
        <f t="shared" si="3"/>
        <v>36750</v>
      </c>
      <c r="AF43" s="364">
        <f t="shared" si="351"/>
        <v>0</v>
      </c>
      <c r="AG43" s="364">
        <f t="shared" si="22"/>
        <v>0</v>
      </c>
      <c r="AH43" s="364">
        <f t="shared" si="23"/>
        <v>0</v>
      </c>
      <c r="AI43" s="364">
        <f t="shared" si="24"/>
        <v>0</v>
      </c>
      <c r="AJ43" s="244">
        <f t="shared" si="19"/>
        <v>0</v>
      </c>
      <c r="AK43" s="244">
        <f t="shared" si="20"/>
        <v>0</v>
      </c>
      <c r="AL43" s="244">
        <f t="shared" si="8"/>
        <v>0</v>
      </c>
      <c r="AM43" s="244">
        <f t="shared" si="9"/>
        <v>0</v>
      </c>
      <c r="AN43" s="244">
        <f t="shared" si="10"/>
        <v>0</v>
      </c>
      <c r="AO43" s="244">
        <f t="shared" si="11"/>
        <v>0</v>
      </c>
      <c r="AP43" s="244">
        <f t="shared" si="12"/>
        <v>0</v>
      </c>
      <c r="AQ43" s="244">
        <f t="shared" si="352"/>
        <v>0</v>
      </c>
      <c r="AR43" s="244">
        <f t="shared" si="14"/>
        <v>0</v>
      </c>
      <c r="AS43" s="244">
        <f t="shared" si="15"/>
        <v>0</v>
      </c>
      <c r="AT43" s="244">
        <f t="shared" si="16"/>
        <v>0</v>
      </c>
      <c r="AU43" s="244"/>
      <c r="AV43" s="244">
        <f t="shared" si="335"/>
        <v>0</v>
      </c>
      <c r="AW43" s="244">
        <f t="shared" si="335"/>
        <v>61250</v>
      </c>
      <c r="AX43" s="244">
        <f t="shared" si="335"/>
        <v>0</v>
      </c>
      <c r="AY43" s="244">
        <f t="shared" si="335"/>
        <v>0</v>
      </c>
      <c r="AZ43" s="244">
        <f t="shared" si="335"/>
        <v>0</v>
      </c>
      <c r="BA43" s="244">
        <f t="shared" si="335"/>
        <v>0</v>
      </c>
      <c r="BB43" s="244">
        <f t="shared" si="335"/>
        <v>0</v>
      </c>
      <c r="BC43" s="244">
        <f t="shared" si="335"/>
        <v>0</v>
      </c>
      <c r="BD43" s="244">
        <f t="shared" si="335"/>
        <v>0</v>
      </c>
      <c r="BE43" s="244">
        <f t="shared" si="335"/>
        <v>0</v>
      </c>
      <c r="BF43" s="244">
        <f t="shared" si="335"/>
        <v>0</v>
      </c>
      <c r="BG43" s="244">
        <f t="shared" si="335"/>
        <v>0</v>
      </c>
      <c r="BH43" s="244">
        <f t="shared" si="335"/>
        <v>0</v>
      </c>
      <c r="BI43" s="244">
        <f t="shared" si="335"/>
        <v>0</v>
      </c>
      <c r="BJ43" s="244">
        <f t="shared" si="335"/>
        <v>0</v>
      </c>
      <c r="BK43" s="244">
        <f t="shared" si="335"/>
        <v>0</v>
      </c>
      <c r="BL43" s="244">
        <f t="shared" si="278"/>
        <v>0</v>
      </c>
      <c r="BM43" s="244">
        <f t="shared" si="278"/>
        <v>0</v>
      </c>
      <c r="BN43" s="244">
        <f t="shared" si="278"/>
        <v>0</v>
      </c>
      <c r="BO43" s="244">
        <f t="shared" si="45"/>
        <v>0</v>
      </c>
    </row>
    <row r="44" spans="1:67" ht="15">
      <c r="A44" t="s">
        <v>149</v>
      </c>
      <c r="B44" s="310"/>
      <c r="C44" s="247"/>
      <c r="D44" s="364">
        <v>1030229</v>
      </c>
      <c r="E44" s="247" t="s">
        <v>181</v>
      </c>
      <c r="F44" s="397"/>
      <c r="G44" s="397"/>
      <c r="H44" s="397"/>
      <c r="I44" s="333"/>
      <c r="J44" s="333"/>
      <c r="K44" s="333">
        <v>0</v>
      </c>
      <c r="L44" s="401">
        <v>0.1</v>
      </c>
      <c r="M44" s="401">
        <v>0</v>
      </c>
      <c r="N44" s="401">
        <v>0</v>
      </c>
      <c r="O44" s="402">
        <v>0.5</v>
      </c>
      <c r="P44" s="402">
        <v>0.4</v>
      </c>
      <c r="Q44" s="332"/>
      <c r="R44" s="332"/>
      <c r="S44" s="332"/>
      <c r="T44" s="332"/>
      <c r="U44" s="332"/>
      <c r="V44" s="332"/>
      <c r="W44" s="332"/>
      <c r="X44" s="332"/>
      <c r="Y44" s="342">
        <f t="shared" si="21"/>
        <v>1</v>
      </c>
      <c r="Z44" s="247"/>
      <c r="AA44" s="247"/>
      <c r="AB44" s="244">
        <f t="shared" si="0"/>
        <v>0</v>
      </c>
      <c r="AC44" s="244">
        <f t="shared" si="1"/>
        <v>0</v>
      </c>
      <c r="AD44" s="364">
        <f t="shared" si="2"/>
        <v>0</v>
      </c>
      <c r="AE44" s="364">
        <f t="shared" si="3"/>
        <v>0</v>
      </c>
      <c r="AF44" s="364">
        <f t="shared" si="351"/>
        <v>0</v>
      </c>
      <c r="AG44" s="364">
        <f>K44*$D44</f>
        <v>0</v>
      </c>
      <c r="AH44" s="364">
        <f t="shared" si="23"/>
        <v>103022.90000000001</v>
      </c>
      <c r="AI44" s="364">
        <f t="shared" si="24"/>
        <v>0</v>
      </c>
      <c r="AJ44" s="364">
        <f t="shared" si="19"/>
        <v>0</v>
      </c>
      <c r="AK44" s="244">
        <f t="shared" si="20"/>
        <v>515114.5</v>
      </c>
      <c r="AL44" s="244">
        <f t="shared" si="8"/>
        <v>412091.60000000003</v>
      </c>
      <c r="AM44" s="244">
        <f t="shared" si="9"/>
        <v>0</v>
      </c>
      <c r="AN44" s="244">
        <f t="shared" si="10"/>
        <v>0</v>
      </c>
      <c r="AO44" s="244">
        <f t="shared" si="11"/>
        <v>0</v>
      </c>
      <c r="AP44" s="244">
        <f t="shared" si="12"/>
        <v>0</v>
      </c>
      <c r="AQ44" s="244">
        <f t="shared" si="352"/>
        <v>0</v>
      </c>
      <c r="AR44" s="244">
        <f t="shared" si="14"/>
        <v>0</v>
      </c>
      <c r="AS44" s="244">
        <f t="shared" si="15"/>
        <v>0</v>
      </c>
      <c r="AT44" s="244">
        <f t="shared" si="16"/>
        <v>0</v>
      </c>
      <c r="AU44" s="244"/>
      <c r="AV44" s="244">
        <f t="shared" si="335"/>
        <v>0</v>
      </c>
      <c r="AW44" s="244">
        <f t="shared" si="335"/>
        <v>0</v>
      </c>
      <c r="AX44" s="244">
        <f t="shared" si="335"/>
        <v>0</v>
      </c>
      <c r="AY44" s="244">
        <f t="shared" si="335"/>
        <v>0</v>
      </c>
      <c r="AZ44" s="244">
        <f t="shared" si="335"/>
        <v>0</v>
      </c>
      <c r="BA44" s="244">
        <f t="shared" si="335"/>
        <v>1030229</v>
      </c>
      <c r="BB44" s="244">
        <f t="shared" si="335"/>
        <v>0</v>
      </c>
      <c r="BC44" s="244">
        <f t="shared" si="335"/>
        <v>0</v>
      </c>
      <c r="BD44" s="244">
        <f t="shared" si="335"/>
        <v>0</v>
      </c>
      <c r="BE44" s="244">
        <f t="shared" si="335"/>
        <v>0</v>
      </c>
      <c r="BF44" s="244">
        <f t="shared" si="335"/>
        <v>0</v>
      </c>
      <c r="BG44" s="244">
        <f t="shared" si="335"/>
        <v>0</v>
      </c>
      <c r="BH44" s="244">
        <f t="shared" si="335"/>
        <v>0</v>
      </c>
      <c r="BI44" s="244">
        <f t="shared" si="335"/>
        <v>0</v>
      </c>
      <c r="BJ44" s="244">
        <f t="shared" si="335"/>
        <v>0</v>
      </c>
      <c r="BK44" s="244">
        <f t="shared" si="335"/>
        <v>0</v>
      </c>
      <c r="BL44" s="244">
        <f t="shared" si="278"/>
        <v>0</v>
      </c>
      <c r="BM44" s="244">
        <f t="shared" si="278"/>
        <v>0</v>
      </c>
      <c r="BN44" s="244">
        <f t="shared" si="278"/>
        <v>0</v>
      </c>
      <c r="BO44" s="244">
        <f t="shared" si="45"/>
        <v>0</v>
      </c>
    </row>
    <row r="45" spans="1:67" ht="15">
      <c r="A45" t="s">
        <v>149</v>
      </c>
      <c r="B45" s="310"/>
      <c r="C45" s="247"/>
      <c r="D45" s="364">
        <v>900000</v>
      </c>
      <c r="E45" s="247" t="s">
        <v>258</v>
      </c>
      <c r="F45" s="346"/>
      <c r="G45" s="346"/>
      <c r="H45" s="346"/>
      <c r="I45" s="332"/>
      <c r="J45" s="333"/>
      <c r="K45" s="333">
        <v>0</v>
      </c>
      <c r="L45" s="333">
        <v>0</v>
      </c>
      <c r="M45" s="333">
        <v>0</v>
      </c>
      <c r="N45" s="333">
        <v>0</v>
      </c>
      <c r="O45" s="338">
        <v>0</v>
      </c>
      <c r="P45" s="338">
        <v>0.5</v>
      </c>
      <c r="Q45" s="338">
        <v>0.5</v>
      </c>
      <c r="R45" s="332"/>
      <c r="S45" s="332"/>
      <c r="T45" s="332"/>
      <c r="U45" s="332"/>
      <c r="V45" s="332"/>
      <c r="W45" s="332"/>
      <c r="X45" s="332"/>
      <c r="Y45" s="342">
        <f t="shared" si="21"/>
        <v>1</v>
      </c>
      <c r="Z45" s="247"/>
      <c r="AA45" s="247"/>
      <c r="AB45" s="244">
        <f t="shared" si="0"/>
        <v>0</v>
      </c>
      <c r="AC45" s="244">
        <f t="shared" si="1"/>
        <v>0</v>
      </c>
      <c r="AD45" s="364">
        <f t="shared" si="2"/>
        <v>0</v>
      </c>
      <c r="AE45" s="364">
        <f t="shared" si="3"/>
        <v>0</v>
      </c>
      <c r="AF45" s="364">
        <f t="shared" si="351"/>
        <v>0</v>
      </c>
      <c r="AG45" s="364">
        <f t="shared" si="22"/>
        <v>0</v>
      </c>
      <c r="AH45" s="364">
        <f t="shared" si="23"/>
        <v>0</v>
      </c>
      <c r="AI45" s="364">
        <f t="shared" si="24"/>
        <v>0</v>
      </c>
      <c r="AJ45" s="364">
        <f t="shared" si="19"/>
        <v>0</v>
      </c>
      <c r="AK45" s="244">
        <f t="shared" si="20"/>
        <v>0</v>
      </c>
      <c r="AL45" s="244">
        <f t="shared" si="8"/>
        <v>450000</v>
      </c>
      <c r="AM45" s="244">
        <f t="shared" si="9"/>
        <v>450000</v>
      </c>
      <c r="AN45" s="244">
        <f t="shared" si="10"/>
        <v>0</v>
      </c>
      <c r="AO45" s="244">
        <f t="shared" si="11"/>
        <v>0</v>
      </c>
      <c r="AP45" s="244">
        <f t="shared" si="12"/>
        <v>0</v>
      </c>
      <c r="AQ45" s="244">
        <f t="shared" si="352"/>
        <v>0</v>
      </c>
      <c r="AR45" s="244">
        <f t="shared" si="14"/>
        <v>0</v>
      </c>
      <c r="AS45" s="244">
        <f t="shared" si="15"/>
        <v>0</v>
      </c>
      <c r="AT45" s="244">
        <f t="shared" si="16"/>
        <v>0</v>
      </c>
      <c r="AU45" s="244"/>
      <c r="AV45" s="244">
        <f aca="true" t="shared" si="353" ref="AV45:BJ76">IF(AV$3=$E45,$D45,0)</f>
        <v>0</v>
      </c>
      <c r="AW45" s="244">
        <f t="shared" si="353"/>
        <v>0</v>
      </c>
      <c r="AX45" s="244">
        <f t="shared" si="353"/>
        <v>0</v>
      </c>
      <c r="AY45" s="244">
        <f t="shared" si="353"/>
        <v>0</v>
      </c>
      <c r="AZ45" s="244">
        <f t="shared" si="353"/>
        <v>0</v>
      </c>
      <c r="BA45" s="244">
        <f t="shared" si="353"/>
        <v>0</v>
      </c>
      <c r="BB45" s="244">
        <f t="shared" si="353"/>
        <v>0</v>
      </c>
      <c r="BC45" s="244">
        <f t="shared" si="353"/>
        <v>0</v>
      </c>
      <c r="BD45" s="244">
        <f t="shared" si="353"/>
        <v>0</v>
      </c>
      <c r="BE45" s="244">
        <f t="shared" si="353"/>
        <v>900000</v>
      </c>
      <c r="BF45" s="244">
        <f t="shared" si="353"/>
        <v>0</v>
      </c>
      <c r="BG45" s="244">
        <f t="shared" si="353"/>
        <v>0</v>
      </c>
      <c r="BH45" s="244">
        <f t="shared" si="353"/>
        <v>0</v>
      </c>
      <c r="BI45" s="244">
        <f t="shared" si="353"/>
        <v>0</v>
      </c>
      <c r="BJ45" s="244">
        <f t="shared" si="353"/>
        <v>0</v>
      </c>
      <c r="BK45" s="244">
        <f t="shared" si="335"/>
        <v>0</v>
      </c>
      <c r="BL45" s="244">
        <f t="shared" si="278"/>
        <v>0</v>
      </c>
      <c r="BM45" s="244">
        <f t="shared" si="278"/>
        <v>0</v>
      </c>
      <c r="BN45" s="244">
        <f t="shared" si="278"/>
        <v>0</v>
      </c>
      <c r="BO45" s="244">
        <f t="shared" si="45"/>
        <v>0</v>
      </c>
    </row>
    <row r="46" spans="1:67" s="297" customFormat="1" ht="15">
      <c r="A46" s="297" t="s">
        <v>149</v>
      </c>
      <c r="B46" s="310"/>
      <c r="C46" s="247"/>
      <c r="D46" s="364">
        <v>770000</v>
      </c>
      <c r="E46" s="247" t="s">
        <v>281</v>
      </c>
      <c r="F46" s="346"/>
      <c r="G46" s="346"/>
      <c r="H46" s="346"/>
      <c r="I46" s="332"/>
      <c r="J46" s="333"/>
      <c r="K46" s="333">
        <v>0</v>
      </c>
      <c r="L46" s="333">
        <v>0</v>
      </c>
      <c r="M46" s="333">
        <v>0</v>
      </c>
      <c r="N46" s="333">
        <v>0</v>
      </c>
      <c r="O46" s="338">
        <v>0</v>
      </c>
      <c r="P46" s="338">
        <v>0.5</v>
      </c>
      <c r="Q46" s="338">
        <v>0.5</v>
      </c>
      <c r="R46" s="338"/>
      <c r="S46" s="338">
        <v>0</v>
      </c>
      <c r="T46" s="338">
        <v>0</v>
      </c>
      <c r="U46" s="338"/>
      <c r="V46" s="338"/>
      <c r="W46" s="338"/>
      <c r="X46" s="338"/>
      <c r="Y46" s="342">
        <f t="shared" si="21"/>
        <v>1</v>
      </c>
      <c r="Z46" s="247"/>
      <c r="AA46" s="247"/>
      <c r="AB46" s="244">
        <f aca="true" t="shared" si="354" ref="AB46">F46*$D46</f>
        <v>0</v>
      </c>
      <c r="AC46" s="244">
        <f aca="true" t="shared" si="355" ref="AC46">G46*$D46</f>
        <v>0</v>
      </c>
      <c r="AD46" s="364">
        <f aca="true" t="shared" si="356" ref="AD46">H46*$D46</f>
        <v>0</v>
      </c>
      <c r="AE46" s="364">
        <f aca="true" t="shared" si="357" ref="AE46">I46*$D46</f>
        <v>0</v>
      </c>
      <c r="AF46" s="364">
        <f aca="true" t="shared" si="358" ref="AF46">J46*$D46</f>
        <v>0</v>
      </c>
      <c r="AG46" s="364">
        <f aca="true" t="shared" si="359" ref="AG46">K46*$D46</f>
        <v>0</v>
      </c>
      <c r="AH46" s="364">
        <f aca="true" t="shared" si="360" ref="AH46">L46*$D46</f>
        <v>0</v>
      </c>
      <c r="AI46" s="364">
        <f aca="true" t="shared" si="361" ref="AI46">M46*$D46</f>
        <v>0</v>
      </c>
      <c r="AJ46" s="364">
        <f aca="true" t="shared" si="362" ref="AJ46">N46*$D46</f>
        <v>0</v>
      </c>
      <c r="AK46" s="244">
        <f aca="true" t="shared" si="363" ref="AK46">O46*$D46</f>
        <v>0</v>
      </c>
      <c r="AL46" s="244">
        <f aca="true" t="shared" si="364" ref="AL46">P46*$D46</f>
        <v>385000</v>
      </c>
      <c r="AM46" s="244">
        <f aca="true" t="shared" si="365" ref="AM46">Q46*$D46</f>
        <v>385000</v>
      </c>
      <c r="AN46" s="244">
        <f aca="true" t="shared" si="366" ref="AN46">R46*$D46</f>
        <v>0</v>
      </c>
      <c r="AO46" s="244">
        <f aca="true" t="shared" si="367" ref="AO46">S46*$D46</f>
        <v>0</v>
      </c>
      <c r="AP46" s="244">
        <f aca="true" t="shared" si="368" ref="AP46">T46*$D46</f>
        <v>0</v>
      </c>
      <c r="AQ46" s="244">
        <f aca="true" t="shared" si="369" ref="AQ46">U46*$D46</f>
        <v>0</v>
      </c>
      <c r="AR46" s="244">
        <f t="shared" si="14"/>
        <v>0</v>
      </c>
      <c r="AS46" s="244">
        <f t="shared" si="15"/>
        <v>0</v>
      </c>
      <c r="AT46" s="244">
        <f t="shared" si="16"/>
        <v>0</v>
      </c>
      <c r="AU46" s="244"/>
      <c r="AV46" s="244">
        <f t="shared" si="353"/>
        <v>0</v>
      </c>
      <c r="AW46" s="244">
        <f t="shared" si="353"/>
        <v>0</v>
      </c>
      <c r="AX46" s="244">
        <f t="shared" si="353"/>
        <v>0</v>
      </c>
      <c r="AY46" s="244">
        <f t="shared" si="353"/>
        <v>0</v>
      </c>
      <c r="AZ46" s="244">
        <f t="shared" si="353"/>
        <v>0</v>
      </c>
      <c r="BA46" s="244">
        <f aca="true" t="shared" si="370" ref="BA46:BJ46">IF(BA$3=$E46,$D46,0)</f>
        <v>0</v>
      </c>
      <c r="BB46" s="244">
        <f t="shared" si="370"/>
        <v>0</v>
      </c>
      <c r="BC46" s="244">
        <f t="shared" si="370"/>
        <v>0</v>
      </c>
      <c r="BD46" s="244">
        <f t="shared" si="370"/>
        <v>0</v>
      </c>
      <c r="BE46" s="244">
        <f t="shared" si="370"/>
        <v>0</v>
      </c>
      <c r="BF46" s="244">
        <f t="shared" si="370"/>
        <v>770000</v>
      </c>
      <c r="BG46" s="244">
        <f t="shared" si="370"/>
        <v>0</v>
      </c>
      <c r="BH46" s="244">
        <f t="shared" si="370"/>
        <v>0</v>
      </c>
      <c r="BI46" s="244">
        <f t="shared" si="370"/>
        <v>0</v>
      </c>
      <c r="BJ46" s="244">
        <f t="shared" si="370"/>
        <v>0</v>
      </c>
      <c r="BK46" s="244">
        <f t="shared" si="335"/>
        <v>0</v>
      </c>
      <c r="BL46" s="244">
        <f aca="true" t="shared" si="371" ref="BL46:BN54">IF(BL$3=$E46,$D46,0)</f>
        <v>0</v>
      </c>
      <c r="BM46" s="244">
        <f t="shared" si="371"/>
        <v>0</v>
      </c>
      <c r="BN46" s="244">
        <f t="shared" si="371"/>
        <v>0</v>
      </c>
      <c r="BO46" s="244">
        <f t="shared" si="45"/>
        <v>0</v>
      </c>
    </row>
    <row r="47" spans="1:67" s="297" customFormat="1" ht="15">
      <c r="A47" s="297" t="s">
        <v>150</v>
      </c>
      <c r="B47" s="310"/>
      <c r="C47" s="247"/>
      <c r="D47" s="364">
        <v>75000</v>
      </c>
      <c r="E47" s="247" t="s">
        <v>258</v>
      </c>
      <c r="F47" s="346"/>
      <c r="G47" s="346"/>
      <c r="H47" s="346"/>
      <c r="I47" s="333">
        <v>0</v>
      </c>
      <c r="J47" s="333">
        <v>0</v>
      </c>
      <c r="K47" s="333">
        <v>0</v>
      </c>
      <c r="L47" s="333">
        <v>0</v>
      </c>
      <c r="M47" s="333">
        <v>0</v>
      </c>
      <c r="N47" s="338">
        <v>0</v>
      </c>
      <c r="O47" s="338">
        <v>1</v>
      </c>
      <c r="P47" s="332">
        <v>0</v>
      </c>
      <c r="Q47" s="338">
        <v>0</v>
      </c>
      <c r="R47" s="338">
        <v>0</v>
      </c>
      <c r="S47" s="338">
        <v>0</v>
      </c>
      <c r="T47" s="338">
        <v>0</v>
      </c>
      <c r="U47" s="338">
        <v>0</v>
      </c>
      <c r="V47" s="338"/>
      <c r="W47" s="338"/>
      <c r="X47" s="338"/>
      <c r="Y47" s="342">
        <f t="shared" si="21"/>
        <v>1</v>
      </c>
      <c r="Z47" s="247"/>
      <c r="AA47" s="247"/>
      <c r="AB47" s="244">
        <f t="shared" si="0"/>
        <v>0</v>
      </c>
      <c r="AC47" s="244">
        <f t="shared" si="1"/>
        <v>0</v>
      </c>
      <c r="AD47" s="364">
        <f t="shared" si="2"/>
        <v>0</v>
      </c>
      <c r="AE47" s="364">
        <f t="shared" si="3"/>
        <v>0</v>
      </c>
      <c r="AF47" s="364">
        <f t="shared" si="351"/>
        <v>0</v>
      </c>
      <c r="AG47" s="364">
        <f t="shared" si="22"/>
        <v>0</v>
      </c>
      <c r="AH47" s="364">
        <f t="shared" si="23"/>
        <v>0</v>
      </c>
      <c r="AI47" s="364">
        <f t="shared" si="24"/>
        <v>0</v>
      </c>
      <c r="AJ47" s="244">
        <f t="shared" si="19"/>
        <v>0</v>
      </c>
      <c r="AK47" s="244">
        <f t="shared" si="20"/>
        <v>75000</v>
      </c>
      <c r="AL47" s="244">
        <f t="shared" si="8"/>
        <v>0</v>
      </c>
      <c r="AM47" s="244">
        <f t="shared" si="9"/>
        <v>0</v>
      </c>
      <c r="AN47" s="244">
        <f t="shared" si="10"/>
        <v>0</v>
      </c>
      <c r="AO47" s="244">
        <f t="shared" si="11"/>
        <v>0</v>
      </c>
      <c r="AP47" s="244">
        <f t="shared" si="12"/>
        <v>0</v>
      </c>
      <c r="AQ47" s="244">
        <f aca="true" t="shared" si="372" ref="AQ47">U47*$D47</f>
        <v>0</v>
      </c>
      <c r="AR47" s="244">
        <f t="shared" si="14"/>
        <v>0</v>
      </c>
      <c r="AS47" s="244">
        <f t="shared" si="15"/>
        <v>0</v>
      </c>
      <c r="AT47" s="244">
        <f t="shared" si="16"/>
        <v>0</v>
      </c>
      <c r="AU47" s="244"/>
      <c r="AV47" s="244">
        <f t="shared" si="353"/>
        <v>0</v>
      </c>
      <c r="AW47" s="244">
        <f t="shared" si="353"/>
        <v>0</v>
      </c>
      <c r="AX47" s="244">
        <f t="shared" si="353"/>
        <v>0</v>
      </c>
      <c r="AY47" s="244">
        <f t="shared" si="353"/>
        <v>0</v>
      </c>
      <c r="AZ47" s="244">
        <f t="shared" si="353"/>
        <v>0</v>
      </c>
      <c r="BA47" s="244">
        <f t="shared" si="353"/>
        <v>0</v>
      </c>
      <c r="BB47" s="244">
        <f t="shared" si="353"/>
        <v>0</v>
      </c>
      <c r="BC47" s="244">
        <f t="shared" si="353"/>
        <v>0</v>
      </c>
      <c r="BD47" s="244">
        <f t="shared" si="353"/>
        <v>0</v>
      </c>
      <c r="BE47" s="244">
        <f t="shared" si="353"/>
        <v>75000</v>
      </c>
      <c r="BF47" s="244">
        <f t="shared" si="353"/>
        <v>0</v>
      </c>
      <c r="BG47" s="244">
        <f t="shared" si="353"/>
        <v>0</v>
      </c>
      <c r="BH47" s="244">
        <f t="shared" si="353"/>
        <v>0</v>
      </c>
      <c r="BI47" s="244">
        <f t="shared" si="353"/>
        <v>0</v>
      </c>
      <c r="BJ47" s="244">
        <f t="shared" si="353"/>
        <v>0</v>
      </c>
      <c r="BK47" s="244">
        <f t="shared" si="335"/>
        <v>0</v>
      </c>
      <c r="BL47" s="244">
        <f t="shared" si="371"/>
        <v>0</v>
      </c>
      <c r="BM47" s="244">
        <f t="shared" si="371"/>
        <v>0</v>
      </c>
      <c r="BN47" s="244">
        <f t="shared" si="371"/>
        <v>0</v>
      </c>
      <c r="BO47" s="244">
        <f t="shared" si="45"/>
        <v>0</v>
      </c>
    </row>
    <row r="48" spans="1:67" s="297" customFormat="1" ht="15">
      <c r="A48" s="297" t="s">
        <v>150</v>
      </c>
      <c r="B48" s="310"/>
      <c r="C48" s="247"/>
      <c r="D48" s="364">
        <v>5000</v>
      </c>
      <c r="E48" s="247" t="s">
        <v>211</v>
      </c>
      <c r="F48" s="346"/>
      <c r="G48" s="346"/>
      <c r="H48" s="346"/>
      <c r="I48" s="333">
        <v>1</v>
      </c>
      <c r="J48" s="333"/>
      <c r="K48" s="333"/>
      <c r="L48" s="333"/>
      <c r="M48" s="333"/>
      <c r="N48" s="332"/>
      <c r="O48" s="332"/>
      <c r="P48" s="332"/>
      <c r="Q48" s="332"/>
      <c r="R48" s="332"/>
      <c r="S48" s="332"/>
      <c r="T48" s="332"/>
      <c r="U48" s="332"/>
      <c r="V48" s="332"/>
      <c r="W48" s="332"/>
      <c r="X48" s="332"/>
      <c r="Y48" s="342">
        <f t="shared" si="21"/>
        <v>1</v>
      </c>
      <c r="Z48" s="247"/>
      <c r="AA48" s="247"/>
      <c r="AB48" s="244">
        <f aca="true" t="shared" si="373" ref="AB48">F48*$D48</f>
        <v>0</v>
      </c>
      <c r="AC48" s="244">
        <f aca="true" t="shared" si="374" ref="AC48">G48*$D48</f>
        <v>0</v>
      </c>
      <c r="AD48" s="364">
        <f aca="true" t="shared" si="375" ref="AD48">H48*$D48</f>
        <v>0</v>
      </c>
      <c r="AE48" s="364">
        <f aca="true" t="shared" si="376" ref="AE48">I48*$D48</f>
        <v>5000</v>
      </c>
      <c r="AF48" s="364">
        <f aca="true" t="shared" si="377" ref="AF48">J48*$D48</f>
        <v>0</v>
      </c>
      <c r="AG48" s="364">
        <f aca="true" t="shared" si="378" ref="AG48">K48*$D48</f>
        <v>0</v>
      </c>
      <c r="AH48" s="364">
        <f aca="true" t="shared" si="379" ref="AH48">L48*$D48</f>
        <v>0</v>
      </c>
      <c r="AI48" s="364">
        <f aca="true" t="shared" si="380" ref="AI48">M48*$D48</f>
        <v>0</v>
      </c>
      <c r="AJ48" s="244">
        <f aca="true" t="shared" si="381" ref="AJ48">N48*$D48</f>
        <v>0</v>
      </c>
      <c r="AK48" s="244">
        <f aca="true" t="shared" si="382" ref="AK48">O48*$D48</f>
        <v>0</v>
      </c>
      <c r="AL48" s="244">
        <f aca="true" t="shared" si="383" ref="AL48">P48*$D48</f>
        <v>0</v>
      </c>
      <c r="AM48" s="244">
        <f aca="true" t="shared" si="384" ref="AM48">Q48*$D48</f>
        <v>0</v>
      </c>
      <c r="AN48" s="244">
        <f aca="true" t="shared" si="385" ref="AN48">R48*$D48</f>
        <v>0</v>
      </c>
      <c r="AO48" s="244">
        <f aca="true" t="shared" si="386" ref="AO48">S48*$D48</f>
        <v>0</v>
      </c>
      <c r="AP48" s="244">
        <f aca="true" t="shared" si="387" ref="AP48">T48*$D48</f>
        <v>0</v>
      </c>
      <c r="AQ48" s="244">
        <f t="shared" si="352"/>
        <v>0</v>
      </c>
      <c r="AR48" s="244">
        <f t="shared" si="14"/>
        <v>0</v>
      </c>
      <c r="AS48" s="244">
        <f t="shared" si="15"/>
        <v>0</v>
      </c>
      <c r="AT48" s="244">
        <f t="shared" si="16"/>
        <v>0</v>
      </c>
      <c r="AU48" s="244"/>
      <c r="AV48" s="244">
        <f t="shared" si="353"/>
        <v>0</v>
      </c>
      <c r="AW48" s="244">
        <f t="shared" si="353"/>
        <v>0</v>
      </c>
      <c r="AX48" s="244">
        <f t="shared" si="353"/>
        <v>0</v>
      </c>
      <c r="AY48" s="244">
        <f t="shared" si="353"/>
        <v>5000</v>
      </c>
      <c r="AZ48" s="244">
        <f t="shared" si="353"/>
        <v>0</v>
      </c>
      <c r="BA48" s="244">
        <f t="shared" si="353"/>
        <v>0</v>
      </c>
      <c r="BB48" s="244">
        <f t="shared" si="353"/>
        <v>0</v>
      </c>
      <c r="BC48" s="244">
        <f t="shared" si="353"/>
        <v>0</v>
      </c>
      <c r="BD48" s="244">
        <f t="shared" si="353"/>
        <v>0</v>
      </c>
      <c r="BE48" s="244">
        <f t="shared" si="353"/>
        <v>0</v>
      </c>
      <c r="BF48" s="244">
        <f t="shared" si="353"/>
        <v>0</v>
      </c>
      <c r="BG48" s="244">
        <f t="shared" si="353"/>
        <v>0</v>
      </c>
      <c r="BH48" s="244">
        <f t="shared" si="353"/>
        <v>0</v>
      </c>
      <c r="BI48" s="244">
        <f t="shared" si="353"/>
        <v>0</v>
      </c>
      <c r="BJ48" s="244">
        <f t="shared" si="353"/>
        <v>0</v>
      </c>
      <c r="BK48" s="244">
        <f t="shared" si="335"/>
        <v>0</v>
      </c>
      <c r="BL48" s="244">
        <f t="shared" si="371"/>
        <v>0</v>
      </c>
      <c r="BM48" s="244">
        <f t="shared" si="371"/>
        <v>0</v>
      </c>
      <c r="BN48" s="244">
        <f t="shared" si="371"/>
        <v>0</v>
      </c>
      <c r="BO48" s="244">
        <f t="shared" si="45"/>
        <v>0</v>
      </c>
    </row>
    <row r="49" spans="1:67" s="297" customFormat="1" ht="15">
      <c r="A49" s="297" t="s">
        <v>150</v>
      </c>
      <c r="B49" s="310"/>
      <c r="C49" s="247"/>
      <c r="D49" s="364">
        <v>961.64</v>
      </c>
      <c r="E49" s="247" t="s">
        <v>208</v>
      </c>
      <c r="F49" s="346"/>
      <c r="G49" s="346"/>
      <c r="H49" s="346"/>
      <c r="I49" s="333"/>
      <c r="J49" s="333">
        <v>1</v>
      </c>
      <c r="K49" s="333"/>
      <c r="L49" s="333"/>
      <c r="M49" s="333"/>
      <c r="N49" s="332"/>
      <c r="O49" s="332"/>
      <c r="P49" s="332"/>
      <c r="Q49" s="332"/>
      <c r="R49" s="332"/>
      <c r="S49" s="332"/>
      <c r="T49" s="332"/>
      <c r="U49" s="332"/>
      <c r="V49" s="332"/>
      <c r="W49" s="332"/>
      <c r="X49" s="332"/>
      <c r="Y49" s="342">
        <f t="shared" si="21"/>
        <v>1</v>
      </c>
      <c r="Z49" s="247"/>
      <c r="AA49" s="247"/>
      <c r="AB49" s="244">
        <f aca="true" t="shared" si="388" ref="AB49">F49*$D49</f>
        <v>0</v>
      </c>
      <c r="AC49" s="244">
        <f aca="true" t="shared" si="389" ref="AC49">G49*$D49</f>
        <v>0</v>
      </c>
      <c r="AD49" s="364">
        <f aca="true" t="shared" si="390" ref="AD49">H49*$D49</f>
        <v>0</v>
      </c>
      <c r="AE49" s="364">
        <f aca="true" t="shared" si="391" ref="AE49">I49*$D49</f>
        <v>0</v>
      </c>
      <c r="AF49" s="364">
        <f aca="true" t="shared" si="392" ref="AF49">J49*$D49</f>
        <v>961.64</v>
      </c>
      <c r="AG49" s="364">
        <f aca="true" t="shared" si="393" ref="AG49">K49*$D49</f>
        <v>0</v>
      </c>
      <c r="AH49" s="364">
        <f aca="true" t="shared" si="394" ref="AH49">L49*$D49</f>
        <v>0</v>
      </c>
      <c r="AI49" s="364">
        <f aca="true" t="shared" si="395" ref="AI49">M49*$D49</f>
        <v>0</v>
      </c>
      <c r="AJ49" s="244">
        <f aca="true" t="shared" si="396" ref="AJ49">N49*$D49</f>
        <v>0</v>
      </c>
      <c r="AK49" s="244">
        <f aca="true" t="shared" si="397" ref="AK49">O49*$D49</f>
        <v>0</v>
      </c>
      <c r="AL49" s="244">
        <f aca="true" t="shared" si="398" ref="AL49">P49*$D49</f>
        <v>0</v>
      </c>
      <c r="AM49" s="244">
        <f aca="true" t="shared" si="399" ref="AM49">Q49*$D49</f>
        <v>0</v>
      </c>
      <c r="AN49" s="244">
        <f aca="true" t="shared" si="400" ref="AN49">R49*$D49</f>
        <v>0</v>
      </c>
      <c r="AO49" s="244">
        <f aca="true" t="shared" si="401" ref="AO49">S49*$D49</f>
        <v>0</v>
      </c>
      <c r="AP49" s="244">
        <f aca="true" t="shared" si="402" ref="AP49">T49*$D49</f>
        <v>0</v>
      </c>
      <c r="AQ49" s="244">
        <f t="shared" si="352"/>
        <v>0</v>
      </c>
      <c r="AR49" s="244">
        <f t="shared" si="14"/>
        <v>0</v>
      </c>
      <c r="AS49" s="244">
        <f t="shared" si="15"/>
        <v>0</v>
      </c>
      <c r="AT49" s="244">
        <f t="shared" si="16"/>
        <v>0</v>
      </c>
      <c r="AU49" s="244"/>
      <c r="AV49" s="244">
        <f t="shared" si="353"/>
        <v>0</v>
      </c>
      <c r="AW49" s="244">
        <f t="shared" si="353"/>
        <v>0</v>
      </c>
      <c r="AX49" s="244">
        <f t="shared" si="353"/>
        <v>0</v>
      </c>
      <c r="AY49" s="244">
        <f t="shared" si="353"/>
        <v>0</v>
      </c>
      <c r="AZ49" s="244">
        <f t="shared" si="353"/>
        <v>961.64</v>
      </c>
      <c r="BA49" s="244">
        <f t="shared" si="353"/>
        <v>0</v>
      </c>
      <c r="BB49" s="244">
        <f t="shared" si="353"/>
        <v>0</v>
      </c>
      <c r="BC49" s="244">
        <f t="shared" si="353"/>
        <v>0</v>
      </c>
      <c r="BD49" s="244">
        <f t="shared" si="353"/>
        <v>0</v>
      </c>
      <c r="BE49" s="244">
        <f t="shared" si="353"/>
        <v>0</v>
      </c>
      <c r="BF49" s="244">
        <f t="shared" si="353"/>
        <v>0</v>
      </c>
      <c r="BG49" s="244">
        <f t="shared" si="353"/>
        <v>0</v>
      </c>
      <c r="BH49" s="244">
        <f t="shared" si="353"/>
        <v>0</v>
      </c>
      <c r="BI49" s="244">
        <f t="shared" si="353"/>
        <v>0</v>
      </c>
      <c r="BJ49" s="244">
        <f t="shared" si="353"/>
        <v>0</v>
      </c>
      <c r="BK49" s="244">
        <f t="shared" si="335"/>
        <v>0</v>
      </c>
      <c r="BL49" s="244">
        <f t="shared" si="371"/>
        <v>0</v>
      </c>
      <c r="BM49" s="244">
        <f t="shared" si="371"/>
        <v>0</v>
      </c>
      <c r="BN49" s="244">
        <f t="shared" si="371"/>
        <v>0</v>
      </c>
      <c r="BO49" s="244">
        <f t="shared" si="45"/>
        <v>0</v>
      </c>
    </row>
    <row r="50" spans="1:67" ht="15">
      <c r="A50" t="s">
        <v>151</v>
      </c>
      <c r="B50" s="256"/>
      <c r="C50" s="247"/>
      <c r="D50" s="374">
        <v>13200</v>
      </c>
      <c r="E50" s="247" t="s">
        <v>208</v>
      </c>
      <c r="F50" s="397"/>
      <c r="G50" s="397"/>
      <c r="H50" s="397"/>
      <c r="I50" s="333"/>
      <c r="J50" s="333"/>
      <c r="K50" s="333">
        <v>1</v>
      </c>
      <c r="L50" s="333"/>
      <c r="M50" s="333"/>
      <c r="N50" s="333"/>
      <c r="O50" s="332"/>
      <c r="P50" s="332"/>
      <c r="Q50" s="332"/>
      <c r="R50" s="332"/>
      <c r="S50" s="332"/>
      <c r="T50" s="332"/>
      <c r="U50" s="332"/>
      <c r="V50" s="332"/>
      <c r="W50" s="332"/>
      <c r="X50" s="332"/>
      <c r="Y50" s="342">
        <f t="shared" si="21"/>
        <v>1</v>
      </c>
      <c r="Z50" s="247"/>
      <c r="AA50" s="247"/>
      <c r="AB50" s="244">
        <f t="shared" si="0"/>
        <v>0</v>
      </c>
      <c r="AC50" s="244">
        <f t="shared" si="1"/>
        <v>0</v>
      </c>
      <c r="AD50" s="244">
        <f t="shared" si="2"/>
        <v>0</v>
      </c>
      <c r="AE50" s="244">
        <f t="shared" si="3"/>
        <v>0</v>
      </c>
      <c r="AF50" s="244">
        <f>J50*$D50</f>
        <v>0</v>
      </c>
      <c r="AG50" s="244">
        <f t="shared" si="22"/>
        <v>13200</v>
      </c>
      <c r="AH50" s="244">
        <f t="shared" si="23"/>
        <v>0</v>
      </c>
      <c r="AI50" s="364">
        <f t="shared" si="24"/>
        <v>0</v>
      </c>
      <c r="AJ50" s="244">
        <f t="shared" si="19"/>
        <v>0</v>
      </c>
      <c r="AK50" s="244">
        <f t="shared" si="20"/>
        <v>0</v>
      </c>
      <c r="AL50" s="244">
        <f t="shared" si="8"/>
        <v>0</v>
      </c>
      <c r="AM50" s="244">
        <f t="shared" si="9"/>
        <v>0</v>
      </c>
      <c r="AN50" s="244">
        <f t="shared" si="10"/>
        <v>0</v>
      </c>
      <c r="AO50" s="244">
        <f t="shared" si="11"/>
        <v>0</v>
      </c>
      <c r="AP50" s="244">
        <f t="shared" si="12"/>
        <v>0</v>
      </c>
      <c r="AQ50" s="244">
        <f t="shared" si="352"/>
        <v>0</v>
      </c>
      <c r="AR50" s="244">
        <f t="shared" si="14"/>
        <v>0</v>
      </c>
      <c r="AS50" s="244">
        <f t="shared" si="15"/>
        <v>0</v>
      </c>
      <c r="AT50" s="244">
        <f t="shared" si="16"/>
        <v>0</v>
      </c>
      <c r="AU50" s="244"/>
      <c r="AV50" s="244">
        <f t="shared" si="353"/>
        <v>0</v>
      </c>
      <c r="AW50" s="244">
        <f t="shared" si="353"/>
        <v>0</v>
      </c>
      <c r="AX50" s="244">
        <f t="shared" si="353"/>
        <v>0</v>
      </c>
      <c r="AY50" s="244">
        <f t="shared" si="353"/>
        <v>0</v>
      </c>
      <c r="AZ50" s="244">
        <f t="shared" si="353"/>
        <v>13200</v>
      </c>
      <c r="BA50" s="244">
        <f t="shared" si="353"/>
        <v>0</v>
      </c>
      <c r="BB50" s="244">
        <f t="shared" si="353"/>
        <v>0</v>
      </c>
      <c r="BC50" s="244">
        <f t="shared" si="353"/>
        <v>0</v>
      </c>
      <c r="BD50" s="244">
        <f t="shared" si="353"/>
        <v>0</v>
      </c>
      <c r="BE50" s="244">
        <f t="shared" si="353"/>
        <v>0</v>
      </c>
      <c r="BF50" s="244">
        <f t="shared" si="353"/>
        <v>0</v>
      </c>
      <c r="BG50" s="244">
        <f t="shared" si="353"/>
        <v>0</v>
      </c>
      <c r="BH50" s="244">
        <f t="shared" si="353"/>
        <v>0</v>
      </c>
      <c r="BI50" s="244">
        <f t="shared" si="353"/>
        <v>0</v>
      </c>
      <c r="BJ50" s="244">
        <f t="shared" si="353"/>
        <v>0</v>
      </c>
      <c r="BK50" s="244">
        <f t="shared" si="335"/>
        <v>0</v>
      </c>
      <c r="BL50" s="244">
        <f t="shared" si="371"/>
        <v>0</v>
      </c>
      <c r="BM50" s="244">
        <f t="shared" si="371"/>
        <v>0</v>
      </c>
      <c r="BN50" s="244">
        <f t="shared" si="371"/>
        <v>0</v>
      </c>
      <c r="BO50" s="244">
        <f t="shared" si="45"/>
        <v>0</v>
      </c>
    </row>
    <row r="51" spans="1:67" ht="15">
      <c r="A51" t="s">
        <v>151</v>
      </c>
      <c r="B51" s="256"/>
      <c r="C51" s="247"/>
      <c r="D51" s="374">
        <v>50000</v>
      </c>
      <c r="E51" s="247" t="s">
        <v>193</v>
      </c>
      <c r="F51" s="346"/>
      <c r="G51" s="346"/>
      <c r="H51" s="346"/>
      <c r="I51" s="332"/>
      <c r="J51" s="332"/>
      <c r="K51" s="332"/>
      <c r="L51" s="338">
        <v>0</v>
      </c>
      <c r="M51" s="333">
        <v>0.8673278000000001</v>
      </c>
      <c r="N51" s="338">
        <v>0</v>
      </c>
      <c r="O51" s="400">
        <v>0.1326721999999999</v>
      </c>
      <c r="P51" s="338">
        <v>0</v>
      </c>
      <c r="Q51" s="333"/>
      <c r="R51" s="333"/>
      <c r="S51" s="333"/>
      <c r="T51" s="333"/>
      <c r="U51" s="333"/>
      <c r="V51" s="333"/>
      <c r="W51" s="333"/>
      <c r="X51" s="333"/>
      <c r="Y51" s="342">
        <f t="shared" si="21"/>
        <v>1</v>
      </c>
      <c r="Z51" s="247"/>
      <c r="AA51" s="247"/>
      <c r="AB51" s="244">
        <f t="shared" si="0"/>
        <v>0</v>
      </c>
      <c r="AC51" s="244">
        <f t="shared" si="1"/>
        <v>0</v>
      </c>
      <c r="AD51" s="244">
        <f t="shared" si="2"/>
        <v>0</v>
      </c>
      <c r="AE51" s="244">
        <f t="shared" si="3"/>
        <v>0</v>
      </c>
      <c r="AF51" s="244">
        <f>J51*$D51</f>
        <v>0</v>
      </c>
      <c r="AG51" s="244">
        <f t="shared" si="22"/>
        <v>0</v>
      </c>
      <c r="AH51" s="244">
        <f t="shared" si="23"/>
        <v>0</v>
      </c>
      <c r="AI51" s="364">
        <f t="shared" si="24"/>
        <v>43366.39000000001</v>
      </c>
      <c r="AJ51" s="364">
        <f t="shared" si="19"/>
        <v>0</v>
      </c>
      <c r="AK51" s="364">
        <f t="shared" si="20"/>
        <v>6633.609999999995</v>
      </c>
      <c r="AL51" s="244">
        <f t="shared" si="8"/>
        <v>0</v>
      </c>
      <c r="AM51" s="244">
        <f t="shared" si="9"/>
        <v>0</v>
      </c>
      <c r="AN51" s="244">
        <f t="shared" si="10"/>
        <v>0</v>
      </c>
      <c r="AO51" s="244">
        <f t="shared" si="11"/>
        <v>0</v>
      </c>
      <c r="AP51" s="244">
        <f t="shared" si="12"/>
        <v>0</v>
      </c>
      <c r="AQ51" s="244">
        <f t="shared" si="352"/>
        <v>0</v>
      </c>
      <c r="AR51" s="244">
        <f t="shared" si="14"/>
        <v>0</v>
      </c>
      <c r="AS51" s="244">
        <f t="shared" si="15"/>
        <v>0</v>
      </c>
      <c r="AT51" s="244">
        <f t="shared" si="16"/>
        <v>0</v>
      </c>
      <c r="AU51" s="244"/>
      <c r="AV51" s="244">
        <f t="shared" si="353"/>
        <v>0</v>
      </c>
      <c r="AW51" s="244">
        <f t="shared" si="353"/>
        <v>0</v>
      </c>
      <c r="AX51" s="244">
        <f t="shared" si="353"/>
        <v>0</v>
      </c>
      <c r="AY51" s="244">
        <f t="shared" si="353"/>
        <v>0</v>
      </c>
      <c r="AZ51" s="244">
        <f t="shared" si="353"/>
        <v>0</v>
      </c>
      <c r="BA51" s="244">
        <f t="shared" si="353"/>
        <v>0</v>
      </c>
      <c r="BB51" s="244">
        <f t="shared" si="353"/>
        <v>50000</v>
      </c>
      <c r="BC51" s="244">
        <f t="shared" si="353"/>
        <v>0</v>
      </c>
      <c r="BD51" s="244">
        <f t="shared" si="353"/>
        <v>0</v>
      </c>
      <c r="BE51" s="244">
        <f t="shared" si="353"/>
        <v>0</v>
      </c>
      <c r="BF51" s="244">
        <f t="shared" si="353"/>
        <v>0</v>
      </c>
      <c r="BG51" s="244">
        <f t="shared" si="353"/>
        <v>0</v>
      </c>
      <c r="BH51" s="244">
        <f t="shared" si="353"/>
        <v>0</v>
      </c>
      <c r="BI51" s="244">
        <f t="shared" si="353"/>
        <v>0</v>
      </c>
      <c r="BJ51" s="244">
        <f t="shared" si="353"/>
        <v>0</v>
      </c>
      <c r="BK51" s="244">
        <f t="shared" si="335"/>
        <v>0</v>
      </c>
      <c r="BL51" s="244">
        <f t="shared" si="371"/>
        <v>0</v>
      </c>
      <c r="BM51" s="244">
        <f t="shared" si="371"/>
        <v>0</v>
      </c>
      <c r="BN51" s="244">
        <f t="shared" si="371"/>
        <v>0</v>
      </c>
      <c r="BO51" s="244">
        <f t="shared" si="45"/>
        <v>0</v>
      </c>
    </row>
    <row r="52" spans="1:67" s="297" customFormat="1" ht="15">
      <c r="A52" s="297" t="s">
        <v>151</v>
      </c>
      <c r="B52" s="256"/>
      <c r="C52" s="247"/>
      <c r="D52" s="374">
        <v>45000</v>
      </c>
      <c r="E52" s="247" t="s">
        <v>193</v>
      </c>
      <c r="F52" s="346"/>
      <c r="G52" s="346"/>
      <c r="H52" s="346"/>
      <c r="I52" s="332"/>
      <c r="J52" s="332"/>
      <c r="K52" s="332"/>
      <c r="L52" s="338">
        <v>0</v>
      </c>
      <c r="M52" s="333">
        <v>0.09368888888888889</v>
      </c>
      <c r="N52" s="338">
        <v>0.7453777777777778</v>
      </c>
      <c r="O52" s="338">
        <f>1-(N52+M52)</f>
        <v>0.16093333333333326</v>
      </c>
      <c r="P52" s="338">
        <v>0</v>
      </c>
      <c r="Q52" s="333"/>
      <c r="R52" s="333"/>
      <c r="S52" s="333"/>
      <c r="T52" s="333"/>
      <c r="U52" s="333"/>
      <c r="V52" s="333"/>
      <c r="W52" s="333"/>
      <c r="X52" s="333"/>
      <c r="Y52" s="342">
        <f t="shared" si="21"/>
        <v>1</v>
      </c>
      <c r="Z52" s="247"/>
      <c r="AA52" s="247"/>
      <c r="AB52" s="244">
        <f aca="true" t="shared" si="403" ref="AB52:AB54">F52*$D52</f>
        <v>0</v>
      </c>
      <c r="AC52" s="244">
        <f aca="true" t="shared" si="404" ref="AC52:AC54">G52*$D52</f>
        <v>0</v>
      </c>
      <c r="AD52" s="244">
        <f aca="true" t="shared" si="405" ref="AD52:AD54">H52*$D52</f>
        <v>0</v>
      </c>
      <c r="AE52" s="244">
        <f aca="true" t="shared" si="406" ref="AE52:AE54">I52*$D52</f>
        <v>0</v>
      </c>
      <c r="AF52" s="244">
        <f aca="true" t="shared" si="407" ref="AF52:AF54">J52*$D52</f>
        <v>0</v>
      </c>
      <c r="AG52" s="244">
        <f aca="true" t="shared" si="408" ref="AG52:AG54">K52*$D52</f>
        <v>0</v>
      </c>
      <c r="AH52" s="244">
        <f aca="true" t="shared" si="409" ref="AH52:AH54">L52*$D52</f>
        <v>0</v>
      </c>
      <c r="AI52" s="364">
        <f aca="true" t="shared" si="410" ref="AI52:AI54">M52*$D52</f>
        <v>4216</v>
      </c>
      <c r="AJ52" s="364">
        <f aca="true" t="shared" si="411" ref="AJ52:AJ54">N52*$D52</f>
        <v>33542</v>
      </c>
      <c r="AK52" s="244">
        <f aca="true" t="shared" si="412" ref="AK52:AK54">O52*$D52</f>
        <v>7241.999999999996</v>
      </c>
      <c r="AL52" s="244">
        <f aca="true" t="shared" si="413" ref="AL52:AL54">P52*$D52</f>
        <v>0</v>
      </c>
      <c r="AM52" s="244">
        <f aca="true" t="shared" si="414" ref="AM52:AM54">Q52*$D52</f>
        <v>0</v>
      </c>
      <c r="AN52" s="244">
        <f aca="true" t="shared" si="415" ref="AN52:AN54">R52*$D52</f>
        <v>0</v>
      </c>
      <c r="AO52" s="244">
        <f aca="true" t="shared" si="416" ref="AO52:AO54">S52*$D52</f>
        <v>0</v>
      </c>
      <c r="AP52" s="244">
        <f aca="true" t="shared" si="417" ref="AP52:AP54">T52*$D52</f>
        <v>0</v>
      </c>
      <c r="AQ52" s="244">
        <f t="shared" si="352"/>
        <v>0</v>
      </c>
      <c r="AR52" s="244">
        <f t="shared" si="14"/>
        <v>0</v>
      </c>
      <c r="AS52" s="244">
        <f t="shared" si="15"/>
        <v>0</v>
      </c>
      <c r="AT52" s="244">
        <f t="shared" si="16"/>
        <v>0</v>
      </c>
      <c r="AU52" s="244"/>
      <c r="AV52" s="244">
        <f t="shared" si="353"/>
        <v>0</v>
      </c>
      <c r="AW52" s="244">
        <f t="shared" si="353"/>
        <v>0</v>
      </c>
      <c r="AX52" s="244">
        <f t="shared" si="353"/>
        <v>0</v>
      </c>
      <c r="AY52" s="244">
        <f t="shared" si="353"/>
        <v>0</v>
      </c>
      <c r="AZ52" s="244">
        <f t="shared" si="353"/>
        <v>0</v>
      </c>
      <c r="BA52" s="244">
        <f t="shared" si="353"/>
        <v>0</v>
      </c>
      <c r="BB52" s="244">
        <f t="shared" si="353"/>
        <v>45000</v>
      </c>
      <c r="BC52" s="244">
        <f t="shared" si="353"/>
        <v>0</v>
      </c>
      <c r="BD52" s="244">
        <f t="shared" si="353"/>
        <v>0</v>
      </c>
      <c r="BE52" s="244">
        <f t="shared" si="353"/>
        <v>0</v>
      </c>
      <c r="BF52" s="244">
        <f t="shared" si="353"/>
        <v>0</v>
      </c>
      <c r="BG52" s="244">
        <f t="shared" si="353"/>
        <v>0</v>
      </c>
      <c r="BH52" s="244">
        <f t="shared" si="353"/>
        <v>0</v>
      </c>
      <c r="BI52" s="244">
        <f t="shared" si="353"/>
        <v>0</v>
      </c>
      <c r="BJ52" s="244">
        <f t="shared" si="353"/>
        <v>0</v>
      </c>
      <c r="BK52" s="244">
        <f t="shared" si="335"/>
        <v>0</v>
      </c>
      <c r="BL52" s="244">
        <f t="shared" si="371"/>
        <v>0</v>
      </c>
      <c r="BM52" s="244">
        <f t="shared" si="371"/>
        <v>0</v>
      </c>
      <c r="BN52" s="244">
        <f t="shared" si="371"/>
        <v>0</v>
      </c>
      <c r="BO52" s="244">
        <f t="shared" si="45"/>
        <v>0</v>
      </c>
    </row>
    <row r="53" spans="1:67" s="297" customFormat="1" ht="15">
      <c r="A53" s="297" t="s">
        <v>151</v>
      </c>
      <c r="B53" s="256"/>
      <c r="C53" s="247"/>
      <c r="D53" s="374">
        <v>68334.49</v>
      </c>
      <c r="E53" s="247" t="s">
        <v>259</v>
      </c>
      <c r="F53" s="346"/>
      <c r="G53" s="346"/>
      <c r="H53" s="346"/>
      <c r="I53" s="332"/>
      <c r="J53" s="332"/>
      <c r="K53" s="332"/>
      <c r="L53" s="338">
        <v>0</v>
      </c>
      <c r="M53" s="333">
        <v>0</v>
      </c>
      <c r="N53" s="338">
        <v>1</v>
      </c>
      <c r="O53" s="338">
        <v>0</v>
      </c>
      <c r="P53" s="338">
        <v>0</v>
      </c>
      <c r="Q53" s="333"/>
      <c r="R53" s="333"/>
      <c r="S53" s="333"/>
      <c r="T53" s="333"/>
      <c r="U53" s="333"/>
      <c r="V53" s="333"/>
      <c r="W53" s="333"/>
      <c r="X53" s="333"/>
      <c r="Y53" s="342">
        <f t="shared" si="21"/>
        <v>1</v>
      </c>
      <c r="Z53" s="247"/>
      <c r="AA53" s="247"/>
      <c r="AB53" s="244">
        <f t="shared" si="403"/>
        <v>0</v>
      </c>
      <c r="AC53" s="244">
        <f t="shared" si="404"/>
        <v>0</v>
      </c>
      <c r="AD53" s="244">
        <f t="shared" si="405"/>
        <v>0</v>
      </c>
      <c r="AE53" s="244">
        <f t="shared" si="406"/>
        <v>0</v>
      </c>
      <c r="AF53" s="244">
        <f t="shared" si="407"/>
        <v>0</v>
      </c>
      <c r="AG53" s="244">
        <f t="shared" si="408"/>
        <v>0</v>
      </c>
      <c r="AH53" s="244">
        <f t="shared" si="409"/>
        <v>0</v>
      </c>
      <c r="AI53" s="364">
        <f t="shared" si="410"/>
        <v>0</v>
      </c>
      <c r="AJ53" s="364">
        <f t="shared" si="411"/>
        <v>68334.49</v>
      </c>
      <c r="AK53" s="244">
        <f t="shared" si="412"/>
        <v>0</v>
      </c>
      <c r="AL53" s="244">
        <f t="shared" si="413"/>
        <v>0</v>
      </c>
      <c r="AM53" s="244">
        <f t="shared" si="414"/>
        <v>0</v>
      </c>
      <c r="AN53" s="244">
        <f t="shared" si="415"/>
        <v>0</v>
      </c>
      <c r="AO53" s="244">
        <f t="shared" si="416"/>
        <v>0</v>
      </c>
      <c r="AP53" s="244">
        <f t="shared" si="417"/>
        <v>0</v>
      </c>
      <c r="AQ53" s="244">
        <f t="shared" si="352"/>
        <v>0</v>
      </c>
      <c r="AR53" s="244">
        <f t="shared" si="14"/>
        <v>0</v>
      </c>
      <c r="AS53" s="244">
        <f t="shared" si="15"/>
        <v>0</v>
      </c>
      <c r="AT53" s="244">
        <f t="shared" si="16"/>
        <v>0</v>
      </c>
      <c r="AU53" s="244"/>
      <c r="AV53" s="244">
        <f aca="true" t="shared" si="418" ref="AV53:BL54">IF(AV$3=$E53,$D53,0)</f>
        <v>0</v>
      </c>
      <c r="AW53" s="244">
        <f t="shared" si="418"/>
        <v>0</v>
      </c>
      <c r="AX53" s="244">
        <f t="shared" si="418"/>
        <v>0</v>
      </c>
      <c r="AY53" s="244">
        <f t="shared" si="418"/>
        <v>0</v>
      </c>
      <c r="AZ53" s="244">
        <f t="shared" si="418"/>
        <v>0</v>
      </c>
      <c r="BA53" s="244">
        <f t="shared" si="418"/>
        <v>0</v>
      </c>
      <c r="BB53" s="244">
        <f t="shared" si="418"/>
        <v>0</v>
      </c>
      <c r="BC53" s="244">
        <f t="shared" si="418"/>
        <v>0</v>
      </c>
      <c r="BD53" s="364">
        <f t="shared" si="418"/>
        <v>68334.49</v>
      </c>
      <c r="BE53" s="244">
        <f t="shared" si="418"/>
        <v>0</v>
      </c>
      <c r="BF53" s="244">
        <f t="shared" si="418"/>
        <v>0</v>
      </c>
      <c r="BG53" s="244">
        <f t="shared" si="418"/>
        <v>0</v>
      </c>
      <c r="BH53" s="244">
        <f t="shared" si="418"/>
        <v>0</v>
      </c>
      <c r="BI53" s="244">
        <f t="shared" si="418"/>
        <v>0</v>
      </c>
      <c r="BJ53" s="244">
        <f t="shared" si="418"/>
        <v>0</v>
      </c>
      <c r="BK53" s="244">
        <f t="shared" si="418"/>
        <v>0</v>
      </c>
      <c r="BL53" s="244">
        <f t="shared" si="418"/>
        <v>0</v>
      </c>
      <c r="BM53" s="244">
        <f t="shared" si="371"/>
        <v>0</v>
      </c>
      <c r="BN53" s="244">
        <f t="shared" si="371"/>
        <v>0</v>
      </c>
      <c r="BO53" s="244">
        <f t="shared" si="45"/>
        <v>0</v>
      </c>
    </row>
    <row r="54" spans="1:67" s="297" customFormat="1" ht="15">
      <c r="A54" s="297" t="s">
        <v>151</v>
      </c>
      <c r="B54" s="256"/>
      <c r="C54" s="247"/>
      <c r="D54" s="374">
        <v>7848.12</v>
      </c>
      <c r="E54" s="247" t="s">
        <v>233</v>
      </c>
      <c r="F54" s="346"/>
      <c r="G54" s="346"/>
      <c r="H54" s="346"/>
      <c r="I54" s="332"/>
      <c r="J54" s="332"/>
      <c r="K54" s="332"/>
      <c r="L54" s="338">
        <v>0</v>
      </c>
      <c r="M54" s="333">
        <v>1</v>
      </c>
      <c r="N54" s="338">
        <v>0</v>
      </c>
      <c r="O54" s="338">
        <v>0</v>
      </c>
      <c r="P54" s="338">
        <v>0</v>
      </c>
      <c r="Q54" s="333"/>
      <c r="R54" s="333"/>
      <c r="S54" s="333"/>
      <c r="T54" s="333"/>
      <c r="U54" s="333"/>
      <c r="V54" s="333"/>
      <c r="W54" s="333"/>
      <c r="X54" s="333"/>
      <c r="Y54" s="342">
        <f t="shared" si="21"/>
        <v>1</v>
      </c>
      <c r="Z54" s="247"/>
      <c r="AA54" s="247"/>
      <c r="AB54" s="244">
        <f t="shared" si="403"/>
        <v>0</v>
      </c>
      <c r="AC54" s="244">
        <f t="shared" si="404"/>
        <v>0</v>
      </c>
      <c r="AD54" s="244">
        <f t="shared" si="405"/>
        <v>0</v>
      </c>
      <c r="AE54" s="244">
        <f t="shared" si="406"/>
        <v>0</v>
      </c>
      <c r="AF54" s="244">
        <f t="shared" si="407"/>
        <v>0</v>
      </c>
      <c r="AG54" s="244">
        <f t="shared" si="408"/>
        <v>0</v>
      </c>
      <c r="AH54" s="244">
        <f t="shared" si="409"/>
        <v>0</v>
      </c>
      <c r="AI54" s="364">
        <f t="shared" si="410"/>
        <v>7848.12</v>
      </c>
      <c r="AJ54" s="364">
        <f t="shared" si="411"/>
        <v>0</v>
      </c>
      <c r="AK54" s="244">
        <f t="shared" si="412"/>
        <v>0</v>
      </c>
      <c r="AL54" s="244">
        <f t="shared" si="413"/>
        <v>0</v>
      </c>
      <c r="AM54" s="244">
        <f t="shared" si="414"/>
        <v>0</v>
      </c>
      <c r="AN54" s="244">
        <f t="shared" si="415"/>
        <v>0</v>
      </c>
      <c r="AO54" s="244">
        <f t="shared" si="416"/>
        <v>0</v>
      </c>
      <c r="AP54" s="244">
        <f t="shared" si="417"/>
        <v>0</v>
      </c>
      <c r="AQ54" s="244">
        <f t="shared" si="352"/>
        <v>0</v>
      </c>
      <c r="AR54" s="244">
        <f t="shared" si="14"/>
        <v>0</v>
      </c>
      <c r="AS54" s="244">
        <f t="shared" si="15"/>
        <v>0</v>
      </c>
      <c r="AT54" s="244">
        <f t="shared" si="16"/>
        <v>0</v>
      </c>
      <c r="AU54" s="244"/>
      <c r="AV54" s="244">
        <f t="shared" si="418"/>
        <v>0</v>
      </c>
      <c r="AW54" s="244">
        <f t="shared" si="418"/>
        <v>0</v>
      </c>
      <c r="AX54" s="244">
        <f t="shared" si="418"/>
        <v>0</v>
      </c>
      <c r="AY54" s="244">
        <f t="shared" si="418"/>
        <v>0</v>
      </c>
      <c r="AZ54" s="244">
        <f t="shared" si="418"/>
        <v>0</v>
      </c>
      <c r="BA54" s="244">
        <f t="shared" si="418"/>
        <v>0</v>
      </c>
      <c r="BB54" s="244">
        <f t="shared" si="418"/>
        <v>0</v>
      </c>
      <c r="BC54" s="364">
        <f t="shared" si="418"/>
        <v>7848.12</v>
      </c>
      <c r="BD54" s="364">
        <f t="shared" si="418"/>
        <v>0</v>
      </c>
      <c r="BE54" s="244">
        <f t="shared" si="418"/>
        <v>0</v>
      </c>
      <c r="BF54" s="244">
        <f t="shared" si="418"/>
        <v>0</v>
      </c>
      <c r="BG54" s="244">
        <f t="shared" si="418"/>
        <v>0</v>
      </c>
      <c r="BH54" s="244">
        <f t="shared" si="418"/>
        <v>0</v>
      </c>
      <c r="BI54" s="244">
        <f t="shared" si="418"/>
        <v>0</v>
      </c>
      <c r="BJ54" s="244">
        <f t="shared" si="418"/>
        <v>0</v>
      </c>
      <c r="BK54" s="244">
        <f t="shared" si="418"/>
        <v>0</v>
      </c>
      <c r="BL54" s="244">
        <f t="shared" si="371"/>
        <v>0</v>
      </c>
      <c r="BM54" s="244">
        <f t="shared" si="371"/>
        <v>0</v>
      </c>
      <c r="BN54" s="244">
        <f t="shared" si="371"/>
        <v>0</v>
      </c>
      <c r="BO54" s="244">
        <f t="shared" si="45"/>
        <v>0</v>
      </c>
    </row>
    <row r="55" spans="1:67" ht="15">
      <c r="A55" t="s">
        <v>151</v>
      </c>
      <c r="B55" s="256"/>
      <c r="C55" s="247"/>
      <c r="D55" s="364">
        <v>8100</v>
      </c>
      <c r="E55" s="247" t="s">
        <v>211</v>
      </c>
      <c r="F55" s="397"/>
      <c r="G55" s="397"/>
      <c r="H55" s="397"/>
      <c r="I55" s="333">
        <v>0</v>
      </c>
      <c r="J55" s="333">
        <v>0.41666666667</v>
      </c>
      <c r="K55" s="333">
        <v>0.5833333333299999</v>
      </c>
      <c r="L55" s="332"/>
      <c r="M55" s="332"/>
      <c r="N55" s="332"/>
      <c r="O55" s="332"/>
      <c r="P55" s="332"/>
      <c r="Q55" s="333"/>
      <c r="R55" s="333"/>
      <c r="S55" s="333"/>
      <c r="T55" s="333"/>
      <c r="U55" s="333"/>
      <c r="V55" s="333"/>
      <c r="W55" s="333"/>
      <c r="X55" s="333"/>
      <c r="Y55" s="342">
        <f t="shared" si="21"/>
        <v>1</v>
      </c>
      <c r="Z55" s="247"/>
      <c r="AA55" s="247"/>
      <c r="AB55" s="244">
        <f t="shared" si="0"/>
        <v>0</v>
      </c>
      <c r="AC55" s="244">
        <f t="shared" si="1"/>
        <v>0</v>
      </c>
      <c r="AD55" s="244">
        <f t="shared" si="2"/>
        <v>0</v>
      </c>
      <c r="AE55" s="244">
        <f t="shared" si="3"/>
        <v>0</v>
      </c>
      <c r="AF55" s="244">
        <f aca="true" t="shared" si="419" ref="AF55:AF64">J55*$D55</f>
        <v>3375.000000027</v>
      </c>
      <c r="AG55" s="244">
        <f t="shared" si="22"/>
        <v>4724.999999973</v>
      </c>
      <c r="AH55" s="244">
        <f t="shared" si="23"/>
        <v>0</v>
      </c>
      <c r="AI55" s="364">
        <f t="shared" si="24"/>
        <v>0</v>
      </c>
      <c r="AJ55" s="364">
        <f t="shared" si="19"/>
        <v>0</v>
      </c>
      <c r="AK55" s="244">
        <f t="shared" si="20"/>
        <v>0</v>
      </c>
      <c r="AL55" s="244">
        <f t="shared" si="8"/>
        <v>0</v>
      </c>
      <c r="AM55" s="244">
        <f t="shared" si="9"/>
        <v>0</v>
      </c>
      <c r="AN55" s="244">
        <f t="shared" si="10"/>
        <v>0</v>
      </c>
      <c r="AO55" s="244">
        <f t="shared" si="11"/>
        <v>0</v>
      </c>
      <c r="AP55" s="244">
        <f t="shared" si="12"/>
        <v>0</v>
      </c>
      <c r="AQ55" s="244">
        <f t="shared" si="352"/>
        <v>0</v>
      </c>
      <c r="AR55" s="244">
        <f t="shared" si="14"/>
        <v>0</v>
      </c>
      <c r="AS55" s="244">
        <f t="shared" si="15"/>
        <v>0</v>
      </c>
      <c r="AT55" s="244">
        <f t="shared" si="16"/>
        <v>0</v>
      </c>
      <c r="AU55" s="244"/>
      <c r="AV55" s="244">
        <f t="shared" si="353"/>
        <v>0</v>
      </c>
      <c r="AW55" s="244">
        <f t="shared" si="353"/>
        <v>0</v>
      </c>
      <c r="AX55" s="244">
        <f t="shared" si="353"/>
        <v>0</v>
      </c>
      <c r="AY55" s="244">
        <f t="shared" si="353"/>
        <v>8100</v>
      </c>
      <c r="AZ55" s="244">
        <f t="shared" si="353"/>
        <v>0</v>
      </c>
      <c r="BA55" s="244">
        <f t="shared" si="353"/>
        <v>0</v>
      </c>
      <c r="BB55" s="244">
        <f t="shared" si="353"/>
        <v>0</v>
      </c>
      <c r="BC55" s="244">
        <f t="shared" si="353"/>
        <v>0</v>
      </c>
      <c r="BD55" s="364">
        <f t="shared" si="353"/>
        <v>0</v>
      </c>
      <c r="BE55" s="244">
        <f t="shared" si="353"/>
        <v>0</v>
      </c>
      <c r="BF55" s="244">
        <f t="shared" si="353"/>
        <v>0</v>
      </c>
      <c r="BG55" s="244">
        <f t="shared" si="353"/>
        <v>0</v>
      </c>
      <c r="BH55" s="244">
        <f t="shared" si="353"/>
        <v>0</v>
      </c>
      <c r="BI55" s="244">
        <f t="shared" si="353"/>
        <v>0</v>
      </c>
      <c r="BJ55" s="244">
        <f aca="true" t="shared" si="420" ref="BJ55:BN87">IF(BJ$3=$E55,$D55,0)</f>
        <v>0</v>
      </c>
      <c r="BK55" s="244">
        <f t="shared" si="420"/>
        <v>0</v>
      </c>
      <c r="BL55" s="244">
        <f t="shared" si="420"/>
        <v>0</v>
      </c>
      <c r="BM55" s="244">
        <f t="shared" si="420"/>
        <v>0</v>
      </c>
      <c r="BN55" s="244">
        <f t="shared" si="420"/>
        <v>0</v>
      </c>
      <c r="BO55" s="244">
        <f t="shared" si="45"/>
        <v>0</v>
      </c>
    </row>
    <row r="56" spans="1:67" ht="15">
      <c r="A56" t="s">
        <v>151</v>
      </c>
      <c r="B56" s="256"/>
      <c r="C56" s="247"/>
      <c r="D56" s="364">
        <v>18700</v>
      </c>
      <c r="E56" s="247" t="s">
        <v>211</v>
      </c>
      <c r="F56" s="397"/>
      <c r="G56" s="397"/>
      <c r="H56" s="397"/>
      <c r="I56" s="333">
        <v>0</v>
      </c>
      <c r="J56" s="333">
        <v>0.363636363636</v>
      </c>
      <c r="K56" s="333">
        <v>0.636363636364</v>
      </c>
      <c r="L56" s="332"/>
      <c r="M56" s="332"/>
      <c r="N56" s="332"/>
      <c r="O56" s="332"/>
      <c r="P56" s="332"/>
      <c r="Q56" s="333"/>
      <c r="R56" s="333"/>
      <c r="S56" s="333"/>
      <c r="T56" s="333"/>
      <c r="U56" s="333"/>
      <c r="V56" s="333"/>
      <c r="W56" s="333"/>
      <c r="X56" s="333"/>
      <c r="Y56" s="342">
        <f t="shared" si="21"/>
        <v>1</v>
      </c>
      <c r="Z56" s="247"/>
      <c r="AA56" s="247"/>
      <c r="AB56" s="244">
        <f t="shared" si="0"/>
        <v>0</v>
      </c>
      <c r="AC56" s="244">
        <f t="shared" si="1"/>
        <v>0</v>
      </c>
      <c r="AD56" s="244">
        <f t="shared" si="2"/>
        <v>0</v>
      </c>
      <c r="AE56" s="244">
        <f t="shared" si="3"/>
        <v>0</v>
      </c>
      <c r="AF56" s="244">
        <f t="shared" si="419"/>
        <v>6799.9999999932</v>
      </c>
      <c r="AG56" s="364">
        <f t="shared" si="22"/>
        <v>11900.0000000068</v>
      </c>
      <c r="AH56" s="244">
        <f t="shared" si="23"/>
        <v>0</v>
      </c>
      <c r="AI56" s="364">
        <f t="shared" si="24"/>
        <v>0</v>
      </c>
      <c r="AJ56" s="364">
        <f t="shared" si="19"/>
        <v>0</v>
      </c>
      <c r="AK56" s="244">
        <f t="shared" si="20"/>
        <v>0</v>
      </c>
      <c r="AL56" s="244">
        <f t="shared" si="8"/>
        <v>0</v>
      </c>
      <c r="AM56" s="244">
        <f t="shared" si="9"/>
        <v>0</v>
      </c>
      <c r="AN56" s="244">
        <f t="shared" si="10"/>
        <v>0</v>
      </c>
      <c r="AO56" s="244">
        <f t="shared" si="11"/>
        <v>0</v>
      </c>
      <c r="AP56" s="244">
        <f t="shared" si="12"/>
        <v>0</v>
      </c>
      <c r="AQ56" s="244">
        <f t="shared" si="352"/>
        <v>0</v>
      </c>
      <c r="AR56" s="244">
        <f t="shared" si="14"/>
        <v>0</v>
      </c>
      <c r="AS56" s="244">
        <f t="shared" si="15"/>
        <v>0</v>
      </c>
      <c r="AT56" s="244">
        <f t="shared" si="16"/>
        <v>0</v>
      </c>
      <c r="AU56" s="244"/>
      <c r="AV56" s="244">
        <f t="shared" si="353"/>
        <v>0</v>
      </c>
      <c r="AW56" s="244">
        <f t="shared" si="353"/>
        <v>0</v>
      </c>
      <c r="AX56" s="244">
        <f t="shared" si="353"/>
        <v>0</v>
      </c>
      <c r="AY56" s="244">
        <f t="shared" si="353"/>
        <v>18700</v>
      </c>
      <c r="AZ56" s="244">
        <f t="shared" si="353"/>
        <v>0</v>
      </c>
      <c r="BA56" s="244">
        <f t="shared" si="353"/>
        <v>0</v>
      </c>
      <c r="BB56" s="244">
        <f t="shared" si="353"/>
        <v>0</v>
      </c>
      <c r="BC56" s="244">
        <f t="shared" si="353"/>
        <v>0</v>
      </c>
      <c r="BD56" s="364">
        <f t="shared" si="353"/>
        <v>0</v>
      </c>
      <c r="BE56" s="244">
        <f t="shared" si="353"/>
        <v>0</v>
      </c>
      <c r="BF56" s="244">
        <f t="shared" si="353"/>
        <v>0</v>
      </c>
      <c r="BG56" s="244">
        <f t="shared" si="353"/>
        <v>0</v>
      </c>
      <c r="BH56" s="244">
        <f t="shared" si="353"/>
        <v>0</v>
      </c>
      <c r="BI56" s="244">
        <f t="shared" si="353"/>
        <v>0</v>
      </c>
      <c r="BJ56" s="244">
        <f t="shared" si="420"/>
        <v>0</v>
      </c>
      <c r="BK56" s="244">
        <f t="shared" si="420"/>
        <v>0</v>
      </c>
      <c r="BL56" s="244">
        <f t="shared" si="420"/>
        <v>0</v>
      </c>
      <c r="BM56" s="244">
        <f t="shared" si="420"/>
        <v>0</v>
      </c>
      <c r="BN56" s="244">
        <f t="shared" si="420"/>
        <v>0</v>
      </c>
      <c r="BO56" s="244">
        <f t="shared" si="45"/>
        <v>0</v>
      </c>
    </row>
    <row r="57" spans="1:67" ht="14.45" customHeight="1">
      <c r="A57" t="s">
        <v>151</v>
      </c>
      <c r="B57" s="256"/>
      <c r="C57" s="247"/>
      <c r="D57" s="364">
        <v>8000</v>
      </c>
      <c r="E57" s="247" t="s">
        <v>179</v>
      </c>
      <c r="F57" s="397"/>
      <c r="G57" s="397"/>
      <c r="H57" s="397"/>
      <c r="I57" s="333">
        <v>0.5</v>
      </c>
      <c r="J57" s="333">
        <v>0.5</v>
      </c>
      <c r="K57" s="332"/>
      <c r="L57" s="332"/>
      <c r="M57" s="332"/>
      <c r="N57" s="332"/>
      <c r="O57" s="332"/>
      <c r="P57" s="332"/>
      <c r="Q57" s="333"/>
      <c r="R57" s="333"/>
      <c r="S57" s="333"/>
      <c r="T57" s="333"/>
      <c r="U57" s="333"/>
      <c r="V57" s="333"/>
      <c r="W57" s="333"/>
      <c r="X57" s="333"/>
      <c r="Y57" s="342">
        <f t="shared" si="21"/>
        <v>1</v>
      </c>
      <c r="Z57" s="247"/>
      <c r="AA57" s="247"/>
      <c r="AB57" s="244">
        <f t="shared" si="0"/>
        <v>0</v>
      </c>
      <c r="AC57" s="244">
        <f t="shared" si="1"/>
        <v>0</v>
      </c>
      <c r="AD57" s="244">
        <f t="shared" si="2"/>
        <v>0</v>
      </c>
      <c r="AE57" s="244">
        <f t="shared" si="3"/>
        <v>4000</v>
      </c>
      <c r="AF57" s="244">
        <f t="shared" si="419"/>
        <v>4000</v>
      </c>
      <c r="AG57" s="364">
        <f t="shared" si="22"/>
        <v>0</v>
      </c>
      <c r="AH57" s="244">
        <f t="shared" si="23"/>
        <v>0</v>
      </c>
      <c r="AI57" s="364">
        <f t="shared" si="24"/>
        <v>0</v>
      </c>
      <c r="AJ57" s="364">
        <f t="shared" si="19"/>
        <v>0</v>
      </c>
      <c r="AK57" s="244">
        <f t="shared" si="20"/>
        <v>0</v>
      </c>
      <c r="AL57" s="244">
        <f t="shared" si="8"/>
        <v>0</v>
      </c>
      <c r="AM57" s="244">
        <f t="shared" si="9"/>
        <v>0</v>
      </c>
      <c r="AN57" s="244">
        <f t="shared" si="10"/>
        <v>0</v>
      </c>
      <c r="AO57" s="244">
        <f t="shared" si="11"/>
        <v>0</v>
      </c>
      <c r="AP57" s="244">
        <f t="shared" si="12"/>
        <v>0</v>
      </c>
      <c r="AQ57" s="244">
        <f t="shared" si="352"/>
        <v>0</v>
      </c>
      <c r="AR57" s="244">
        <f t="shared" si="14"/>
        <v>0</v>
      </c>
      <c r="AS57" s="244">
        <f t="shared" si="15"/>
        <v>0</v>
      </c>
      <c r="AT57" s="244">
        <f t="shared" si="16"/>
        <v>0</v>
      </c>
      <c r="AU57" s="244"/>
      <c r="AV57" s="244">
        <f t="shared" si="353"/>
        <v>0</v>
      </c>
      <c r="AW57" s="244">
        <f t="shared" si="353"/>
        <v>0</v>
      </c>
      <c r="AX57" s="244">
        <f t="shared" si="353"/>
        <v>8000</v>
      </c>
      <c r="AY57" s="244">
        <f t="shared" si="353"/>
        <v>0</v>
      </c>
      <c r="AZ57" s="244">
        <f t="shared" si="353"/>
        <v>0</v>
      </c>
      <c r="BA57" s="244">
        <f t="shared" si="353"/>
        <v>0</v>
      </c>
      <c r="BB57" s="244">
        <f t="shared" si="353"/>
        <v>0</v>
      </c>
      <c r="BC57" s="244">
        <f t="shared" si="353"/>
        <v>0</v>
      </c>
      <c r="BD57" s="364">
        <f t="shared" si="353"/>
        <v>0</v>
      </c>
      <c r="BE57" s="244">
        <f t="shared" si="353"/>
        <v>0</v>
      </c>
      <c r="BF57" s="244">
        <f t="shared" si="353"/>
        <v>0</v>
      </c>
      <c r="BG57" s="244">
        <f t="shared" si="353"/>
        <v>0</v>
      </c>
      <c r="BH57" s="244">
        <f t="shared" si="353"/>
        <v>0</v>
      </c>
      <c r="BI57" s="244">
        <f t="shared" si="353"/>
        <v>0</v>
      </c>
      <c r="BJ57" s="244">
        <f t="shared" si="420"/>
        <v>0</v>
      </c>
      <c r="BK57" s="244">
        <f t="shared" si="420"/>
        <v>0</v>
      </c>
      <c r="BL57" s="244">
        <f t="shared" si="420"/>
        <v>0</v>
      </c>
      <c r="BM57" s="244">
        <f t="shared" si="420"/>
        <v>0</v>
      </c>
      <c r="BN57" s="244">
        <f t="shared" si="420"/>
        <v>0</v>
      </c>
      <c r="BO57" s="244">
        <f t="shared" si="45"/>
        <v>0</v>
      </c>
    </row>
    <row r="58" spans="1:67" ht="14.45" customHeight="1">
      <c r="A58" t="s">
        <v>151</v>
      </c>
      <c r="B58" s="256"/>
      <c r="C58" s="247"/>
      <c r="D58" s="364">
        <v>52000</v>
      </c>
      <c r="E58" s="247" t="s">
        <v>179</v>
      </c>
      <c r="F58" s="403"/>
      <c r="G58" s="403"/>
      <c r="H58" s="403"/>
      <c r="I58" s="404">
        <v>0.115384615384615</v>
      </c>
      <c r="J58" s="404">
        <v>0.115384615384615</v>
      </c>
      <c r="K58" s="404">
        <v>0.115384615384615</v>
      </c>
      <c r="L58" s="404">
        <v>0.115384615384615</v>
      </c>
      <c r="M58" s="404">
        <v>0.115384615384615</v>
      </c>
      <c r="N58" s="404">
        <v>0.115384615384615</v>
      </c>
      <c r="O58" s="404">
        <v>0.115384615384615</v>
      </c>
      <c r="P58" s="404">
        <v>0.115384615384615</v>
      </c>
      <c r="Q58" s="404">
        <f>1-(I58+J58+K58+L58+M58+N58+O58+P58)</f>
        <v>0.07692307692308009</v>
      </c>
      <c r="R58" s="404">
        <v>0</v>
      </c>
      <c r="S58" s="404">
        <v>0</v>
      </c>
      <c r="T58" s="404">
        <v>0</v>
      </c>
      <c r="U58" s="404"/>
      <c r="V58" s="404"/>
      <c r="W58" s="404"/>
      <c r="X58" s="404"/>
      <c r="Y58" s="342">
        <f t="shared" si="21"/>
        <v>1</v>
      </c>
      <c r="Z58" s="247"/>
      <c r="AA58" s="247"/>
      <c r="AB58" s="244">
        <f t="shared" si="0"/>
        <v>0</v>
      </c>
      <c r="AC58" s="244">
        <f t="shared" si="1"/>
        <v>0</v>
      </c>
      <c r="AD58" s="244">
        <f t="shared" si="2"/>
        <v>0</v>
      </c>
      <c r="AE58" s="244">
        <f t="shared" si="3"/>
        <v>5999.99999999998</v>
      </c>
      <c r="AF58" s="244">
        <f t="shared" si="419"/>
        <v>5999.99999999998</v>
      </c>
      <c r="AG58" s="364">
        <f t="shared" si="22"/>
        <v>5999.99999999998</v>
      </c>
      <c r="AH58" s="244">
        <f t="shared" si="23"/>
        <v>5999.99999999998</v>
      </c>
      <c r="AI58" s="364">
        <f t="shared" si="24"/>
        <v>5999.99999999998</v>
      </c>
      <c r="AJ58" s="364">
        <f t="shared" si="19"/>
        <v>5999.99999999998</v>
      </c>
      <c r="AK58" s="244">
        <f t="shared" si="20"/>
        <v>5999.99999999998</v>
      </c>
      <c r="AL58" s="244">
        <f t="shared" si="8"/>
        <v>5999.99999999998</v>
      </c>
      <c r="AM58" s="244">
        <f t="shared" si="9"/>
        <v>4000.0000000001646</v>
      </c>
      <c r="AN58" s="244">
        <f t="shared" si="10"/>
        <v>0</v>
      </c>
      <c r="AO58" s="244">
        <f t="shared" si="11"/>
        <v>0</v>
      </c>
      <c r="AP58" s="244">
        <f t="shared" si="12"/>
        <v>0</v>
      </c>
      <c r="AQ58" s="244">
        <f t="shared" si="352"/>
        <v>0</v>
      </c>
      <c r="AR58" s="244">
        <f t="shared" si="14"/>
        <v>0</v>
      </c>
      <c r="AS58" s="244">
        <f t="shared" si="15"/>
        <v>0</v>
      </c>
      <c r="AT58" s="244">
        <f t="shared" si="16"/>
        <v>0</v>
      </c>
      <c r="AU58" s="244"/>
      <c r="AV58" s="244">
        <f t="shared" si="353"/>
        <v>0</v>
      </c>
      <c r="AW58" s="244">
        <f t="shared" si="353"/>
        <v>0</v>
      </c>
      <c r="AX58" s="244">
        <f t="shared" si="353"/>
        <v>52000</v>
      </c>
      <c r="AY58" s="244">
        <f t="shared" si="353"/>
        <v>0</v>
      </c>
      <c r="AZ58" s="244">
        <f t="shared" si="353"/>
        <v>0</v>
      </c>
      <c r="BA58" s="244">
        <f t="shared" si="353"/>
        <v>0</v>
      </c>
      <c r="BB58" s="244">
        <f t="shared" si="353"/>
        <v>0</v>
      </c>
      <c r="BC58" s="244">
        <f t="shared" si="353"/>
        <v>0</v>
      </c>
      <c r="BD58" s="364">
        <f t="shared" si="353"/>
        <v>0</v>
      </c>
      <c r="BE58" s="244">
        <f t="shared" si="353"/>
        <v>0</v>
      </c>
      <c r="BF58" s="244">
        <f t="shared" si="353"/>
        <v>0</v>
      </c>
      <c r="BG58" s="244">
        <f t="shared" si="353"/>
        <v>0</v>
      </c>
      <c r="BH58" s="244">
        <f t="shared" si="353"/>
        <v>0</v>
      </c>
      <c r="BI58" s="244">
        <f t="shared" si="353"/>
        <v>0</v>
      </c>
      <c r="BJ58" s="244">
        <f t="shared" si="420"/>
        <v>0</v>
      </c>
      <c r="BK58" s="244">
        <f t="shared" si="420"/>
        <v>0</v>
      </c>
      <c r="BL58" s="244">
        <f t="shared" si="420"/>
        <v>0</v>
      </c>
      <c r="BM58" s="244">
        <f t="shared" si="420"/>
        <v>0</v>
      </c>
      <c r="BN58" s="244">
        <f t="shared" si="420"/>
        <v>0</v>
      </c>
      <c r="BO58" s="244">
        <f t="shared" si="45"/>
        <v>0</v>
      </c>
    </row>
    <row r="59" spans="1:67" s="297" customFormat="1" ht="14.45" customHeight="1">
      <c r="A59" s="297" t="s">
        <v>151</v>
      </c>
      <c r="B59" s="256"/>
      <c r="C59" s="247"/>
      <c r="D59" s="364">
        <v>40000</v>
      </c>
      <c r="E59" s="247" t="s">
        <v>281</v>
      </c>
      <c r="F59" s="403"/>
      <c r="G59" s="403"/>
      <c r="H59" s="403"/>
      <c r="I59" s="404">
        <v>0</v>
      </c>
      <c r="J59" s="404">
        <v>0</v>
      </c>
      <c r="K59" s="404">
        <v>0</v>
      </c>
      <c r="L59" s="404">
        <v>0</v>
      </c>
      <c r="M59" s="404">
        <v>0</v>
      </c>
      <c r="N59" s="404">
        <v>0</v>
      </c>
      <c r="O59" s="404">
        <v>0</v>
      </c>
      <c r="P59" s="404">
        <v>0</v>
      </c>
      <c r="Q59" s="404">
        <v>0.25</v>
      </c>
      <c r="R59" s="404">
        <v>0.25</v>
      </c>
      <c r="S59" s="404">
        <v>0.25</v>
      </c>
      <c r="T59" s="404">
        <v>0.25</v>
      </c>
      <c r="U59" s="404"/>
      <c r="V59" s="404"/>
      <c r="W59" s="404"/>
      <c r="X59" s="404"/>
      <c r="Y59" s="342">
        <f aca="true" t="shared" si="421" ref="Y59">SUM(F59:X59)</f>
        <v>1</v>
      </c>
      <c r="Z59" s="247"/>
      <c r="AA59" s="247"/>
      <c r="AB59" s="244">
        <f aca="true" t="shared" si="422" ref="AB59">F59*$D59</f>
        <v>0</v>
      </c>
      <c r="AC59" s="244">
        <f aca="true" t="shared" si="423" ref="AC59">G59*$D59</f>
        <v>0</v>
      </c>
      <c r="AD59" s="244">
        <f aca="true" t="shared" si="424" ref="AD59">H59*$D59</f>
        <v>0</v>
      </c>
      <c r="AE59" s="244">
        <f aca="true" t="shared" si="425" ref="AE59">I59*$D59</f>
        <v>0</v>
      </c>
      <c r="AF59" s="244">
        <f aca="true" t="shared" si="426" ref="AF59">J59*$D59</f>
        <v>0</v>
      </c>
      <c r="AG59" s="364">
        <f aca="true" t="shared" si="427" ref="AG59">K59*$D59</f>
        <v>0</v>
      </c>
      <c r="AH59" s="244">
        <f aca="true" t="shared" si="428" ref="AH59">L59*$D59</f>
        <v>0</v>
      </c>
      <c r="AI59" s="364">
        <f aca="true" t="shared" si="429" ref="AI59">M59*$D59</f>
        <v>0</v>
      </c>
      <c r="AJ59" s="364">
        <f aca="true" t="shared" si="430" ref="AJ59">N59*$D59</f>
        <v>0</v>
      </c>
      <c r="AK59" s="244">
        <f aca="true" t="shared" si="431" ref="AK59">O59*$D59</f>
        <v>0</v>
      </c>
      <c r="AL59" s="244">
        <f aca="true" t="shared" si="432" ref="AL59">P59*$D59</f>
        <v>0</v>
      </c>
      <c r="AM59" s="244">
        <f aca="true" t="shared" si="433" ref="AM59">Q59*$D59</f>
        <v>10000</v>
      </c>
      <c r="AN59" s="244">
        <f aca="true" t="shared" si="434" ref="AN59">R59*$D59</f>
        <v>10000</v>
      </c>
      <c r="AO59" s="244">
        <f aca="true" t="shared" si="435" ref="AO59">S59*$D59</f>
        <v>10000</v>
      </c>
      <c r="AP59" s="244">
        <f aca="true" t="shared" si="436" ref="AP59">T59*$D59</f>
        <v>10000</v>
      </c>
      <c r="AQ59" s="244">
        <f aca="true" t="shared" si="437" ref="AQ59">U59*$D59</f>
        <v>0</v>
      </c>
      <c r="AR59" s="244">
        <f aca="true" t="shared" si="438" ref="AR59">V59*$D59</f>
        <v>0</v>
      </c>
      <c r="AS59" s="244">
        <f aca="true" t="shared" si="439" ref="AS59">W59*$D59</f>
        <v>0</v>
      </c>
      <c r="AT59" s="244">
        <f aca="true" t="shared" si="440" ref="AT59">X59*$D59</f>
        <v>0</v>
      </c>
      <c r="AU59" s="244"/>
      <c r="AV59" s="244">
        <f aca="true" t="shared" si="441" ref="AV59:BI59">IF(AV$3=$E59,$D59,0)</f>
        <v>0</v>
      </c>
      <c r="AW59" s="244">
        <f t="shared" si="441"/>
        <v>0</v>
      </c>
      <c r="AX59" s="244">
        <f t="shared" si="441"/>
        <v>0</v>
      </c>
      <c r="AY59" s="244">
        <f t="shared" si="441"/>
        <v>0</v>
      </c>
      <c r="AZ59" s="244">
        <f t="shared" si="441"/>
        <v>0</v>
      </c>
      <c r="BA59" s="244">
        <f t="shared" si="441"/>
        <v>0</v>
      </c>
      <c r="BB59" s="244">
        <f t="shared" si="441"/>
        <v>0</v>
      </c>
      <c r="BC59" s="244">
        <f t="shared" si="441"/>
        <v>0</v>
      </c>
      <c r="BD59" s="364">
        <f t="shared" si="441"/>
        <v>0</v>
      </c>
      <c r="BE59" s="244">
        <f t="shared" si="441"/>
        <v>0</v>
      </c>
      <c r="BF59" s="244">
        <f t="shared" si="441"/>
        <v>40000</v>
      </c>
      <c r="BG59" s="244">
        <f t="shared" si="441"/>
        <v>0</v>
      </c>
      <c r="BH59" s="244">
        <f t="shared" si="441"/>
        <v>0</v>
      </c>
      <c r="BI59" s="244">
        <f t="shared" si="441"/>
        <v>0</v>
      </c>
      <c r="BJ59" s="244">
        <f t="shared" si="420"/>
        <v>0</v>
      </c>
      <c r="BK59" s="244">
        <f t="shared" si="420"/>
        <v>0</v>
      </c>
      <c r="BL59" s="244">
        <f t="shared" si="420"/>
        <v>0</v>
      </c>
      <c r="BM59" s="244">
        <f t="shared" si="420"/>
        <v>0</v>
      </c>
      <c r="BN59" s="244">
        <f t="shared" si="420"/>
        <v>0</v>
      </c>
      <c r="BO59" s="244">
        <f aca="true" t="shared" si="442" ref="BO59">SUM(AB59:AT59)-SUM(AV59:BN59)</f>
        <v>0</v>
      </c>
    </row>
    <row r="60" spans="1:67" ht="14.45" customHeight="1">
      <c r="A60" t="s">
        <v>151</v>
      </c>
      <c r="B60" s="256"/>
      <c r="C60" s="247"/>
      <c r="D60" s="364">
        <v>28000</v>
      </c>
      <c r="E60" s="247" t="s">
        <v>259</v>
      </c>
      <c r="F60" s="346"/>
      <c r="G60" s="346"/>
      <c r="H60" s="346"/>
      <c r="I60" s="332"/>
      <c r="J60" s="332"/>
      <c r="K60" s="332"/>
      <c r="L60" s="333">
        <v>0</v>
      </c>
      <c r="M60" s="333">
        <v>0</v>
      </c>
      <c r="N60" s="333">
        <v>0</v>
      </c>
      <c r="O60" s="333">
        <v>0.35</v>
      </c>
      <c r="P60" s="333">
        <v>0.65</v>
      </c>
      <c r="Q60" s="332"/>
      <c r="R60" s="332"/>
      <c r="S60" s="332"/>
      <c r="T60" s="332"/>
      <c r="U60" s="332"/>
      <c r="V60" s="332"/>
      <c r="W60" s="332"/>
      <c r="X60" s="332"/>
      <c r="Y60" s="342">
        <f t="shared" si="21"/>
        <v>1</v>
      </c>
      <c r="Z60" s="247"/>
      <c r="AA60" s="247"/>
      <c r="AB60" s="244">
        <f t="shared" si="0"/>
        <v>0</v>
      </c>
      <c r="AC60" s="244">
        <f t="shared" si="1"/>
        <v>0</v>
      </c>
      <c r="AD60" s="244">
        <f t="shared" si="2"/>
        <v>0</v>
      </c>
      <c r="AE60" s="244">
        <f t="shared" si="3"/>
        <v>0</v>
      </c>
      <c r="AF60" s="244">
        <f t="shared" si="419"/>
        <v>0</v>
      </c>
      <c r="AG60" s="364">
        <f t="shared" si="22"/>
        <v>0</v>
      </c>
      <c r="AH60" s="244">
        <f t="shared" si="23"/>
        <v>0</v>
      </c>
      <c r="AI60" s="364">
        <f t="shared" si="24"/>
        <v>0</v>
      </c>
      <c r="AJ60" s="364">
        <f t="shared" si="19"/>
        <v>0</v>
      </c>
      <c r="AK60" s="244">
        <f t="shared" si="20"/>
        <v>9800</v>
      </c>
      <c r="AL60" s="244">
        <f t="shared" si="8"/>
        <v>18200</v>
      </c>
      <c r="AM60" s="244">
        <f t="shared" si="9"/>
        <v>0</v>
      </c>
      <c r="AN60" s="244">
        <f t="shared" si="10"/>
        <v>0</v>
      </c>
      <c r="AO60" s="244">
        <f t="shared" si="11"/>
        <v>0</v>
      </c>
      <c r="AP60" s="244">
        <f t="shared" si="12"/>
        <v>0</v>
      </c>
      <c r="AQ60" s="244">
        <f t="shared" si="352"/>
        <v>0</v>
      </c>
      <c r="AR60" s="244">
        <f t="shared" si="14"/>
        <v>0</v>
      </c>
      <c r="AS60" s="244">
        <f t="shared" si="15"/>
        <v>0</v>
      </c>
      <c r="AT60" s="244">
        <f t="shared" si="16"/>
        <v>0</v>
      </c>
      <c r="AU60" s="244"/>
      <c r="AV60" s="244">
        <f t="shared" si="353"/>
        <v>0</v>
      </c>
      <c r="AW60" s="244">
        <f t="shared" si="353"/>
        <v>0</v>
      </c>
      <c r="AX60" s="244">
        <f t="shared" si="353"/>
        <v>0</v>
      </c>
      <c r="AY60" s="244">
        <f t="shared" si="353"/>
        <v>0</v>
      </c>
      <c r="AZ60" s="244">
        <f t="shared" si="353"/>
        <v>0</v>
      </c>
      <c r="BA60" s="244">
        <f t="shared" si="353"/>
        <v>0</v>
      </c>
      <c r="BB60" s="244">
        <f t="shared" si="353"/>
        <v>0</v>
      </c>
      <c r="BC60" s="244">
        <f t="shared" si="353"/>
        <v>0</v>
      </c>
      <c r="BD60" s="364">
        <f t="shared" si="353"/>
        <v>28000</v>
      </c>
      <c r="BE60" s="244">
        <f t="shared" si="353"/>
        <v>0</v>
      </c>
      <c r="BF60" s="244">
        <f t="shared" si="353"/>
        <v>0</v>
      </c>
      <c r="BG60" s="244">
        <f t="shared" si="353"/>
        <v>0</v>
      </c>
      <c r="BH60" s="244">
        <f t="shared" si="353"/>
        <v>0</v>
      </c>
      <c r="BI60" s="244">
        <f t="shared" si="353"/>
        <v>0</v>
      </c>
      <c r="BJ60" s="244">
        <f t="shared" si="420"/>
        <v>0</v>
      </c>
      <c r="BK60" s="244">
        <f t="shared" si="420"/>
        <v>0</v>
      </c>
      <c r="BL60" s="244">
        <f t="shared" si="420"/>
        <v>0</v>
      </c>
      <c r="BM60" s="244">
        <f t="shared" si="420"/>
        <v>0</v>
      </c>
      <c r="BN60" s="244">
        <f t="shared" si="420"/>
        <v>0</v>
      </c>
      <c r="BO60" s="244">
        <f t="shared" si="45"/>
        <v>0</v>
      </c>
    </row>
    <row r="61" spans="1:67" s="297" customFormat="1" ht="14.45" customHeight="1">
      <c r="A61" s="297" t="s">
        <v>151</v>
      </c>
      <c r="B61" s="256"/>
      <c r="C61" s="247"/>
      <c r="D61" s="364">
        <v>28000</v>
      </c>
      <c r="E61" s="247" t="s">
        <v>281</v>
      </c>
      <c r="F61" s="346"/>
      <c r="G61" s="346"/>
      <c r="H61" s="346"/>
      <c r="I61" s="332"/>
      <c r="J61" s="332"/>
      <c r="K61" s="332"/>
      <c r="L61" s="333">
        <v>0</v>
      </c>
      <c r="M61" s="333">
        <v>0</v>
      </c>
      <c r="N61" s="333">
        <v>0</v>
      </c>
      <c r="O61" s="333">
        <v>0</v>
      </c>
      <c r="P61" s="333">
        <v>0</v>
      </c>
      <c r="Q61" s="333">
        <v>0.35</v>
      </c>
      <c r="R61" s="333">
        <v>0.65</v>
      </c>
      <c r="S61" s="333"/>
      <c r="T61" s="333"/>
      <c r="U61" s="333"/>
      <c r="V61" s="333"/>
      <c r="W61" s="333"/>
      <c r="X61" s="333"/>
      <c r="Y61" s="342">
        <f t="shared" si="21"/>
        <v>1</v>
      </c>
      <c r="Z61" s="247"/>
      <c r="AA61" s="247"/>
      <c r="AB61" s="244">
        <f aca="true" t="shared" si="443" ref="AB61">F61*$D61</f>
        <v>0</v>
      </c>
      <c r="AC61" s="244">
        <f aca="true" t="shared" si="444" ref="AC61">G61*$D61</f>
        <v>0</v>
      </c>
      <c r="AD61" s="244">
        <f aca="true" t="shared" si="445" ref="AD61">H61*$D61</f>
        <v>0</v>
      </c>
      <c r="AE61" s="244">
        <f aca="true" t="shared" si="446" ref="AE61">I61*$D61</f>
        <v>0</v>
      </c>
      <c r="AF61" s="244">
        <f aca="true" t="shared" si="447" ref="AF61">J61*$D61</f>
        <v>0</v>
      </c>
      <c r="AG61" s="364">
        <f aca="true" t="shared" si="448" ref="AG61">K61*$D61</f>
        <v>0</v>
      </c>
      <c r="AH61" s="244">
        <f aca="true" t="shared" si="449" ref="AH61">L61*$D61</f>
        <v>0</v>
      </c>
      <c r="AI61" s="364">
        <f aca="true" t="shared" si="450" ref="AI61">M61*$D61</f>
        <v>0</v>
      </c>
      <c r="AJ61" s="364">
        <f aca="true" t="shared" si="451" ref="AJ61">N61*$D61</f>
        <v>0</v>
      </c>
      <c r="AK61" s="244">
        <f aca="true" t="shared" si="452" ref="AK61">O61*$D61</f>
        <v>0</v>
      </c>
      <c r="AL61" s="244">
        <f aca="true" t="shared" si="453" ref="AL61">P61*$D61</f>
        <v>0</v>
      </c>
      <c r="AM61" s="244">
        <f aca="true" t="shared" si="454" ref="AM61">Q61*$D61</f>
        <v>9800</v>
      </c>
      <c r="AN61" s="244">
        <f aca="true" t="shared" si="455" ref="AN61">R61*$D61</f>
        <v>18200</v>
      </c>
      <c r="AO61" s="244">
        <f aca="true" t="shared" si="456" ref="AO61">S61*$D61</f>
        <v>0</v>
      </c>
      <c r="AP61" s="244">
        <f aca="true" t="shared" si="457" ref="AP61">T61*$D61</f>
        <v>0</v>
      </c>
      <c r="AQ61" s="244">
        <f aca="true" t="shared" si="458" ref="AQ61">U61*$D61</f>
        <v>0</v>
      </c>
      <c r="AR61" s="244">
        <f aca="true" t="shared" si="459" ref="AR61">V61*$D61</f>
        <v>0</v>
      </c>
      <c r="AS61" s="244">
        <f aca="true" t="shared" si="460" ref="AS61">W61*$D61</f>
        <v>0</v>
      </c>
      <c r="AT61" s="244">
        <f aca="true" t="shared" si="461" ref="AT61">X61*$D61</f>
        <v>0</v>
      </c>
      <c r="AU61" s="244"/>
      <c r="AV61" s="244">
        <f aca="true" t="shared" si="462" ref="AV61:BI61">IF(AV$3=$E61,$D61,0)</f>
        <v>0</v>
      </c>
      <c r="AW61" s="244">
        <f t="shared" si="462"/>
        <v>0</v>
      </c>
      <c r="AX61" s="244">
        <f t="shared" si="462"/>
        <v>0</v>
      </c>
      <c r="AY61" s="244">
        <f t="shared" si="462"/>
        <v>0</v>
      </c>
      <c r="AZ61" s="244">
        <f t="shared" si="462"/>
        <v>0</v>
      </c>
      <c r="BA61" s="244">
        <f t="shared" si="462"/>
        <v>0</v>
      </c>
      <c r="BB61" s="244">
        <f t="shared" si="462"/>
        <v>0</v>
      </c>
      <c r="BC61" s="244">
        <f t="shared" si="462"/>
        <v>0</v>
      </c>
      <c r="BD61" s="244">
        <f t="shared" si="462"/>
        <v>0</v>
      </c>
      <c r="BE61" s="244">
        <f t="shared" si="462"/>
        <v>0</v>
      </c>
      <c r="BF61" s="244">
        <f t="shared" si="462"/>
        <v>28000</v>
      </c>
      <c r="BG61" s="244">
        <f t="shared" si="462"/>
        <v>0</v>
      </c>
      <c r="BH61" s="244">
        <f t="shared" si="462"/>
        <v>0</v>
      </c>
      <c r="BI61" s="244">
        <f t="shared" si="462"/>
        <v>0</v>
      </c>
      <c r="BJ61" s="244">
        <f t="shared" si="420"/>
        <v>0</v>
      </c>
      <c r="BK61" s="244">
        <f t="shared" si="420"/>
        <v>0</v>
      </c>
      <c r="BL61" s="244">
        <f t="shared" si="420"/>
        <v>0</v>
      </c>
      <c r="BM61" s="244">
        <f t="shared" si="420"/>
        <v>0</v>
      </c>
      <c r="BN61" s="244">
        <f t="shared" si="420"/>
        <v>0</v>
      </c>
      <c r="BO61" s="244">
        <f t="shared" si="45"/>
        <v>0</v>
      </c>
    </row>
    <row r="62" spans="1:67" s="297" customFormat="1" ht="14.45" customHeight="1">
      <c r="A62" s="297" t="s">
        <v>153</v>
      </c>
      <c r="B62" s="256"/>
      <c r="C62" s="247"/>
      <c r="D62" s="364">
        <v>160000</v>
      </c>
      <c r="E62" s="247" t="s">
        <v>225</v>
      </c>
      <c r="F62" s="346"/>
      <c r="G62" s="346"/>
      <c r="H62" s="346"/>
      <c r="I62" s="332"/>
      <c r="J62" s="332"/>
      <c r="K62" s="332"/>
      <c r="L62" s="332"/>
      <c r="M62" s="332"/>
      <c r="N62" s="332"/>
      <c r="O62" s="332"/>
      <c r="P62" s="332"/>
      <c r="Q62" s="333">
        <v>0</v>
      </c>
      <c r="R62" s="333">
        <v>0</v>
      </c>
      <c r="S62" s="333">
        <v>0</v>
      </c>
      <c r="T62" s="333">
        <v>1</v>
      </c>
      <c r="U62" s="333"/>
      <c r="V62" s="333"/>
      <c r="W62" s="333"/>
      <c r="X62" s="333"/>
      <c r="Y62" s="342">
        <f t="shared" si="21"/>
        <v>1</v>
      </c>
      <c r="Z62" s="247"/>
      <c r="AA62" s="247"/>
      <c r="AB62" s="244">
        <f t="shared" si="0"/>
        <v>0</v>
      </c>
      <c r="AC62" s="244">
        <f t="shared" si="1"/>
        <v>0</v>
      </c>
      <c r="AD62" s="244">
        <f t="shared" si="2"/>
        <v>0</v>
      </c>
      <c r="AE62" s="244">
        <f t="shared" si="3"/>
        <v>0</v>
      </c>
      <c r="AF62" s="244">
        <f t="shared" si="419"/>
        <v>0</v>
      </c>
      <c r="AG62" s="364">
        <f t="shared" si="22"/>
        <v>0</v>
      </c>
      <c r="AH62" s="244">
        <f t="shared" si="23"/>
        <v>0</v>
      </c>
      <c r="AI62" s="364">
        <f t="shared" si="24"/>
        <v>0</v>
      </c>
      <c r="AJ62" s="244">
        <f t="shared" si="19"/>
        <v>0</v>
      </c>
      <c r="AK62" s="244">
        <f t="shared" si="20"/>
        <v>0</v>
      </c>
      <c r="AL62" s="244">
        <f t="shared" si="8"/>
        <v>0</v>
      </c>
      <c r="AM62" s="244">
        <f t="shared" si="9"/>
        <v>0</v>
      </c>
      <c r="AN62" s="244">
        <f t="shared" si="10"/>
        <v>0</v>
      </c>
      <c r="AO62" s="244">
        <f t="shared" si="11"/>
        <v>0</v>
      </c>
      <c r="AP62" s="244">
        <f t="shared" si="12"/>
        <v>160000</v>
      </c>
      <c r="AQ62" s="244">
        <f t="shared" si="352"/>
        <v>0</v>
      </c>
      <c r="AR62" s="244">
        <f t="shared" si="14"/>
        <v>0</v>
      </c>
      <c r="AS62" s="244">
        <f t="shared" si="15"/>
        <v>0</v>
      </c>
      <c r="AT62" s="244">
        <f t="shared" si="16"/>
        <v>0</v>
      </c>
      <c r="AU62" s="244"/>
      <c r="AV62" s="244">
        <f t="shared" si="353"/>
        <v>0</v>
      </c>
      <c r="AW62" s="244">
        <f t="shared" si="353"/>
        <v>0</v>
      </c>
      <c r="AX62" s="244">
        <f t="shared" si="353"/>
        <v>0</v>
      </c>
      <c r="AY62" s="244">
        <f t="shared" si="353"/>
        <v>0</v>
      </c>
      <c r="AZ62" s="244">
        <f t="shared" si="353"/>
        <v>0</v>
      </c>
      <c r="BA62" s="244">
        <f t="shared" si="353"/>
        <v>0</v>
      </c>
      <c r="BB62" s="244">
        <f t="shared" si="353"/>
        <v>0</v>
      </c>
      <c r="BC62" s="244">
        <f t="shared" si="353"/>
        <v>0</v>
      </c>
      <c r="BD62" s="244">
        <f t="shared" si="353"/>
        <v>0</v>
      </c>
      <c r="BE62" s="244">
        <f t="shared" si="353"/>
        <v>0</v>
      </c>
      <c r="BF62" s="244">
        <f t="shared" si="353"/>
        <v>0</v>
      </c>
      <c r="BG62" s="244">
        <f t="shared" si="353"/>
        <v>0</v>
      </c>
      <c r="BH62" s="244">
        <f t="shared" si="353"/>
        <v>0</v>
      </c>
      <c r="BI62" s="244">
        <f t="shared" si="353"/>
        <v>0</v>
      </c>
      <c r="BJ62" s="244">
        <f t="shared" si="353"/>
        <v>160000</v>
      </c>
      <c r="BK62" s="244">
        <f t="shared" si="420"/>
        <v>0</v>
      </c>
      <c r="BL62" s="244">
        <f t="shared" si="420"/>
        <v>0</v>
      </c>
      <c r="BM62" s="244">
        <f t="shared" si="420"/>
        <v>0</v>
      </c>
      <c r="BN62" s="244">
        <f t="shared" si="420"/>
        <v>0</v>
      </c>
      <c r="BO62" s="244">
        <f t="shared" si="45"/>
        <v>0</v>
      </c>
    </row>
    <row r="63" spans="1:67" s="297" customFormat="1" ht="14.45" customHeight="1">
      <c r="A63" s="297" t="s">
        <v>154</v>
      </c>
      <c r="B63" s="256"/>
      <c r="C63" s="247"/>
      <c r="D63" s="364">
        <v>640.16</v>
      </c>
      <c r="E63" s="247" t="s">
        <v>208</v>
      </c>
      <c r="F63" s="346"/>
      <c r="G63" s="346"/>
      <c r="H63" s="346"/>
      <c r="I63" s="332"/>
      <c r="J63" s="332"/>
      <c r="K63" s="338">
        <v>1</v>
      </c>
      <c r="L63" s="338"/>
      <c r="M63" s="332"/>
      <c r="N63" s="332"/>
      <c r="O63" s="332"/>
      <c r="P63" s="332"/>
      <c r="Q63" s="333">
        <v>0</v>
      </c>
      <c r="R63" s="333">
        <v>0</v>
      </c>
      <c r="S63" s="333">
        <v>0</v>
      </c>
      <c r="T63" s="333">
        <v>0</v>
      </c>
      <c r="U63" s="333"/>
      <c r="V63" s="333"/>
      <c r="W63" s="333"/>
      <c r="X63" s="333"/>
      <c r="Y63" s="342">
        <f t="shared" si="21"/>
        <v>1</v>
      </c>
      <c r="Z63" s="247"/>
      <c r="AA63" s="247"/>
      <c r="AB63" s="244">
        <f aca="true" t="shared" si="463" ref="AB63">F63*$D63</f>
        <v>0</v>
      </c>
      <c r="AC63" s="244">
        <f aca="true" t="shared" si="464" ref="AC63">G63*$D63</f>
        <v>0</v>
      </c>
      <c r="AD63" s="244">
        <f aca="true" t="shared" si="465" ref="AD63">H63*$D63</f>
        <v>0</v>
      </c>
      <c r="AE63" s="244">
        <f aca="true" t="shared" si="466" ref="AE63">I63*$D63</f>
        <v>0</v>
      </c>
      <c r="AF63" s="244">
        <f aca="true" t="shared" si="467" ref="AF63">J63*$D63</f>
        <v>0</v>
      </c>
      <c r="AG63" s="364">
        <f aca="true" t="shared" si="468" ref="AG63">K63*$D63</f>
        <v>640.16</v>
      </c>
      <c r="AH63" s="244">
        <f aca="true" t="shared" si="469" ref="AH63">L63*$D63</f>
        <v>0</v>
      </c>
      <c r="AI63" s="364">
        <f aca="true" t="shared" si="470" ref="AI63">M63*$D63</f>
        <v>0</v>
      </c>
      <c r="AJ63" s="244">
        <f aca="true" t="shared" si="471" ref="AJ63">N63*$D63</f>
        <v>0</v>
      </c>
      <c r="AK63" s="244">
        <f aca="true" t="shared" si="472" ref="AK63">O63*$D63</f>
        <v>0</v>
      </c>
      <c r="AL63" s="244">
        <f aca="true" t="shared" si="473" ref="AL63">P63*$D63</f>
        <v>0</v>
      </c>
      <c r="AM63" s="244">
        <f aca="true" t="shared" si="474" ref="AM63">Q63*$D63</f>
        <v>0</v>
      </c>
      <c r="AN63" s="244">
        <f aca="true" t="shared" si="475" ref="AN63">R63*$D63</f>
        <v>0</v>
      </c>
      <c r="AO63" s="244">
        <f aca="true" t="shared" si="476" ref="AO63">S63*$D63</f>
        <v>0</v>
      </c>
      <c r="AP63" s="244">
        <f aca="true" t="shared" si="477" ref="AP63">T63*$D63</f>
        <v>0</v>
      </c>
      <c r="AQ63" s="244">
        <f t="shared" si="352"/>
        <v>0</v>
      </c>
      <c r="AR63" s="244">
        <f t="shared" si="14"/>
        <v>0</v>
      </c>
      <c r="AS63" s="244">
        <f t="shared" si="15"/>
        <v>0</v>
      </c>
      <c r="AT63" s="244">
        <f t="shared" si="16"/>
        <v>0</v>
      </c>
      <c r="AU63" s="244"/>
      <c r="AV63" s="244">
        <f aca="true" t="shared" si="478" ref="AV63:BJ63">IF(AV$3=$E63,$D63,0)</f>
        <v>0</v>
      </c>
      <c r="AW63" s="244">
        <f t="shared" si="478"/>
        <v>0</v>
      </c>
      <c r="AX63" s="244">
        <f t="shared" si="478"/>
        <v>0</v>
      </c>
      <c r="AY63" s="244">
        <f t="shared" si="478"/>
        <v>0</v>
      </c>
      <c r="AZ63" s="244">
        <f t="shared" si="478"/>
        <v>640.16</v>
      </c>
      <c r="BA63" s="364">
        <f t="shared" si="478"/>
        <v>0</v>
      </c>
      <c r="BB63" s="244">
        <f t="shared" si="478"/>
        <v>0</v>
      </c>
      <c r="BC63" s="244">
        <f t="shared" si="478"/>
        <v>0</v>
      </c>
      <c r="BD63" s="244">
        <f t="shared" si="478"/>
        <v>0</v>
      </c>
      <c r="BE63" s="244">
        <f t="shared" si="478"/>
        <v>0</v>
      </c>
      <c r="BF63" s="244">
        <f t="shared" si="478"/>
        <v>0</v>
      </c>
      <c r="BG63" s="244">
        <f t="shared" si="478"/>
        <v>0</v>
      </c>
      <c r="BH63" s="244">
        <f t="shared" si="478"/>
        <v>0</v>
      </c>
      <c r="BI63" s="244">
        <f t="shared" si="478"/>
        <v>0</v>
      </c>
      <c r="BJ63" s="244">
        <f t="shared" si="478"/>
        <v>0</v>
      </c>
      <c r="BK63" s="244">
        <f t="shared" si="420"/>
        <v>0</v>
      </c>
      <c r="BL63" s="244">
        <f t="shared" si="420"/>
        <v>0</v>
      </c>
      <c r="BM63" s="244">
        <f t="shared" si="420"/>
        <v>0</v>
      </c>
      <c r="BN63" s="244">
        <f t="shared" si="420"/>
        <v>0</v>
      </c>
      <c r="BO63" s="244">
        <f t="shared" si="45"/>
        <v>0</v>
      </c>
    </row>
    <row r="64" spans="1:67" s="297" customFormat="1" ht="14.45" customHeight="1">
      <c r="A64" s="297" t="s">
        <v>154</v>
      </c>
      <c r="B64" s="256"/>
      <c r="C64" s="247"/>
      <c r="D64" s="364">
        <f>10927.22+1284.82+1652.68</f>
        <v>13864.72</v>
      </c>
      <c r="E64" s="247" t="s">
        <v>181</v>
      </c>
      <c r="F64" s="346"/>
      <c r="G64" s="346"/>
      <c r="H64" s="346"/>
      <c r="I64" s="332"/>
      <c r="J64" s="332"/>
      <c r="K64" s="338">
        <v>1</v>
      </c>
      <c r="L64" s="338"/>
      <c r="M64" s="332"/>
      <c r="N64" s="332"/>
      <c r="O64" s="332"/>
      <c r="P64" s="332"/>
      <c r="Q64" s="333">
        <v>0</v>
      </c>
      <c r="R64" s="333">
        <v>0</v>
      </c>
      <c r="S64" s="333">
        <v>0</v>
      </c>
      <c r="T64" s="333">
        <v>0</v>
      </c>
      <c r="U64" s="333"/>
      <c r="V64" s="333"/>
      <c r="W64" s="333"/>
      <c r="X64" s="333"/>
      <c r="Y64" s="342">
        <f t="shared" si="21"/>
        <v>1</v>
      </c>
      <c r="Z64" s="247"/>
      <c r="AA64" s="247"/>
      <c r="AB64" s="244">
        <f t="shared" si="0"/>
        <v>0</v>
      </c>
      <c r="AC64" s="244">
        <f t="shared" si="1"/>
        <v>0</v>
      </c>
      <c r="AD64" s="244">
        <f t="shared" si="2"/>
        <v>0</v>
      </c>
      <c r="AE64" s="244">
        <f t="shared" si="3"/>
        <v>0</v>
      </c>
      <c r="AF64" s="244">
        <f t="shared" si="419"/>
        <v>0</v>
      </c>
      <c r="AG64" s="364">
        <f t="shared" si="22"/>
        <v>13864.72</v>
      </c>
      <c r="AH64" s="244">
        <f t="shared" si="23"/>
        <v>0</v>
      </c>
      <c r="AI64" s="364">
        <f t="shared" si="24"/>
        <v>0</v>
      </c>
      <c r="AJ64" s="244">
        <f t="shared" si="19"/>
        <v>0</v>
      </c>
      <c r="AK64" s="244">
        <f t="shared" si="20"/>
        <v>0</v>
      </c>
      <c r="AL64" s="244">
        <f t="shared" si="8"/>
        <v>0</v>
      </c>
      <c r="AM64" s="244">
        <f t="shared" si="9"/>
        <v>0</v>
      </c>
      <c r="AN64" s="244">
        <f t="shared" si="10"/>
        <v>0</v>
      </c>
      <c r="AO64" s="244">
        <f t="shared" si="11"/>
        <v>0</v>
      </c>
      <c r="AP64" s="244">
        <f t="shared" si="12"/>
        <v>0</v>
      </c>
      <c r="AQ64" s="244">
        <f t="shared" si="352"/>
        <v>0</v>
      </c>
      <c r="AR64" s="244">
        <f t="shared" si="14"/>
        <v>0</v>
      </c>
      <c r="AS64" s="244">
        <f t="shared" si="15"/>
        <v>0</v>
      </c>
      <c r="AT64" s="244">
        <f t="shared" si="16"/>
        <v>0</v>
      </c>
      <c r="AU64" s="244"/>
      <c r="AV64" s="244">
        <f t="shared" si="353"/>
        <v>0</v>
      </c>
      <c r="AW64" s="244">
        <f t="shared" si="353"/>
        <v>0</v>
      </c>
      <c r="AX64" s="244">
        <f t="shared" si="353"/>
        <v>0</v>
      </c>
      <c r="AY64" s="244">
        <f t="shared" si="353"/>
        <v>0</v>
      </c>
      <c r="AZ64" s="244">
        <f t="shared" si="353"/>
        <v>0</v>
      </c>
      <c r="BA64" s="364">
        <f t="shared" si="353"/>
        <v>13864.72</v>
      </c>
      <c r="BB64" s="244">
        <f t="shared" si="353"/>
        <v>0</v>
      </c>
      <c r="BC64" s="244">
        <f t="shared" si="353"/>
        <v>0</v>
      </c>
      <c r="BD64" s="244">
        <f t="shared" si="353"/>
        <v>0</v>
      </c>
      <c r="BE64" s="244">
        <f t="shared" si="353"/>
        <v>0</v>
      </c>
      <c r="BF64" s="244">
        <f t="shared" si="353"/>
        <v>0</v>
      </c>
      <c r="BG64" s="244">
        <f t="shared" si="353"/>
        <v>0</v>
      </c>
      <c r="BH64" s="244">
        <f t="shared" si="353"/>
        <v>0</v>
      </c>
      <c r="BI64" s="244">
        <f t="shared" si="353"/>
        <v>0</v>
      </c>
      <c r="BJ64" s="244">
        <f t="shared" si="353"/>
        <v>0</v>
      </c>
      <c r="BK64" s="244">
        <f t="shared" si="420"/>
        <v>0</v>
      </c>
      <c r="BL64" s="244">
        <f t="shared" si="420"/>
        <v>0</v>
      </c>
      <c r="BM64" s="244">
        <f t="shared" si="420"/>
        <v>0</v>
      </c>
      <c r="BN64" s="244">
        <f t="shared" si="420"/>
        <v>0</v>
      </c>
      <c r="BO64" s="244">
        <f t="shared" si="45"/>
        <v>0</v>
      </c>
    </row>
    <row r="65" spans="1:67" s="297" customFormat="1" ht="14.45" customHeight="1">
      <c r="A65" s="297" t="s">
        <v>154</v>
      </c>
      <c r="B65" s="256"/>
      <c r="C65" s="247"/>
      <c r="D65" s="364">
        <f>380.62+94.87</f>
        <v>475.49</v>
      </c>
      <c r="E65" s="247" t="s">
        <v>193</v>
      </c>
      <c r="F65" s="346"/>
      <c r="G65" s="346"/>
      <c r="H65" s="346"/>
      <c r="I65" s="332"/>
      <c r="J65" s="332"/>
      <c r="K65" s="338"/>
      <c r="L65" s="338">
        <v>1</v>
      </c>
      <c r="M65" s="332"/>
      <c r="N65" s="332"/>
      <c r="O65" s="332"/>
      <c r="P65" s="332"/>
      <c r="Q65" s="333">
        <v>0</v>
      </c>
      <c r="R65" s="333">
        <v>0</v>
      </c>
      <c r="S65" s="333">
        <v>0</v>
      </c>
      <c r="T65" s="333">
        <v>0</v>
      </c>
      <c r="U65" s="333"/>
      <c r="V65" s="333"/>
      <c r="W65" s="333"/>
      <c r="X65" s="333"/>
      <c r="Y65" s="342">
        <f t="shared" si="21"/>
        <v>1</v>
      </c>
      <c r="Z65" s="247"/>
      <c r="AA65" s="247"/>
      <c r="AB65" s="244">
        <f aca="true" t="shared" si="479" ref="AB65">F65*$D65</f>
        <v>0</v>
      </c>
      <c r="AC65" s="244">
        <f aca="true" t="shared" si="480" ref="AC65">G65*$D65</f>
        <v>0</v>
      </c>
      <c r="AD65" s="244">
        <f aca="true" t="shared" si="481" ref="AD65">H65*$D65</f>
        <v>0</v>
      </c>
      <c r="AE65" s="244">
        <f aca="true" t="shared" si="482" ref="AE65">I65*$D65</f>
        <v>0</v>
      </c>
      <c r="AF65" s="244">
        <f aca="true" t="shared" si="483" ref="AF65">J65*$D65</f>
        <v>0</v>
      </c>
      <c r="AG65" s="364">
        <f aca="true" t="shared" si="484" ref="AG65">K65*$D65</f>
        <v>0</v>
      </c>
      <c r="AH65" s="244">
        <f aca="true" t="shared" si="485" ref="AH65">L65*$D65</f>
        <v>475.49</v>
      </c>
      <c r="AI65" s="364">
        <f aca="true" t="shared" si="486" ref="AI65">M65*$D65</f>
        <v>0</v>
      </c>
      <c r="AJ65" s="244">
        <f aca="true" t="shared" si="487" ref="AJ65">N65*$D65</f>
        <v>0</v>
      </c>
      <c r="AK65" s="244">
        <f aca="true" t="shared" si="488" ref="AK65">O65*$D65</f>
        <v>0</v>
      </c>
      <c r="AL65" s="244">
        <f aca="true" t="shared" si="489" ref="AL65">P65*$D65</f>
        <v>0</v>
      </c>
      <c r="AM65" s="244">
        <f aca="true" t="shared" si="490" ref="AM65">Q65*$D65</f>
        <v>0</v>
      </c>
      <c r="AN65" s="244">
        <f aca="true" t="shared" si="491" ref="AN65">R65*$D65</f>
        <v>0</v>
      </c>
      <c r="AO65" s="244">
        <f aca="true" t="shared" si="492" ref="AO65">S65*$D65</f>
        <v>0</v>
      </c>
      <c r="AP65" s="244">
        <f aca="true" t="shared" si="493" ref="AP65">T65*$D65</f>
        <v>0</v>
      </c>
      <c r="AQ65" s="244">
        <f t="shared" si="352"/>
        <v>0</v>
      </c>
      <c r="AR65" s="244">
        <f t="shared" si="14"/>
        <v>0</v>
      </c>
      <c r="AS65" s="244">
        <f t="shared" si="15"/>
        <v>0</v>
      </c>
      <c r="AT65" s="244">
        <f t="shared" si="16"/>
        <v>0</v>
      </c>
      <c r="AU65" s="244"/>
      <c r="AV65" s="244">
        <f t="shared" si="353"/>
        <v>0</v>
      </c>
      <c r="AW65" s="244">
        <f t="shared" si="353"/>
        <v>0</v>
      </c>
      <c r="AX65" s="244">
        <f t="shared" si="353"/>
        <v>0</v>
      </c>
      <c r="AY65" s="244">
        <f t="shared" si="353"/>
        <v>0</v>
      </c>
      <c r="AZ65" s="244">
        <f t="shared" si="353"/>
        <v>0</v>
      </c>
      <c r="BA65" s="244">
        <f t="shared" si="353"/>
        <v>0</v>
      </c>
      <c r="BB65" s="244">
        <f t="shared" si="353"/>
        <v>475.49</v>
      </c>
      <c r="BC65" s="244">
        <f t="shared" si="353"/>
        <v>0</v>
      </c>
      <c r="BD65" s="244">
        <f t="shared" si="353"/>
        <v>0</v>
      </c>
      <c r="BE65" s="244">
        <f t="shared" si="353"/>
        <v>0</v>
      </c>
      <c r="BF65" s="244">
        <f t="shared" si="353"/>
        <v>0</v>
      </c>
      <c r="BG65" s="244">
        <f t="shared" si="353"/>
        <v>0</v>
      </c>
      <c r="BH65" s="244">
        <f t="shared" si="353"/>
        <v>0</v>
      </c>
      <c r="BI65" s="244">
        <f t="shared" si="353"/>
        <v>0</v>
      </c>
      <c r="BJ65" s="244">
        <f t="shared" si="353"/>
        <v>0</v>
      </c>
      <c r="BK65" s="244">
        <f t="shared" si="420"/>
        <v>0</v>
      </c>
      <c r="BL65" s="244">
        <f t="shared" si="420"/>
        <v>0</v>
      </c>
      <c r="BM65" s="244">
        <f t="shared" si="420"/>
        <v>0</v>
      </c>
      <c r="BN65" s="244">
        <f t="shared" si="420"/>
        <v>0</v>
      </c>
      <c r="BO65" s="244">
        <f t="shared" si="45"/>
        <v>0</v>
      </c>
    </row>
    <row r="66" spans="1:67" s="297" customFormat="1" ht="14.45" customHeight="1">
      <c r="A66" s="297" t="s">
        <v>154</v>
      </c>
      <c r="B66" s="256"/>
      <c r="C66" s="247"/>
      <c r="D66" s="364">
        <v>203.63</v>
      </c>
      <c r="E66" s="247" t="s">
        <v>233</v>
      </c>
      <c r="F66" s="346"/>
      <c r="G66" s="346"/>
      <c r="H66" s="346"/>
      <c r="I66" s="332"/>
      <c r="J66" s="332"/>
      <c r="K66" s="338"/>
      <c r="L66" s="338">
        <v>0</v>
      </c>
      <c r="M66" s="338">
        <v>1</v>
      </c>
      <c r="N66" s="332"/>
      <c r="O66" s="332"/>
      <c r="P66" s="332"/>
      <c r="Q66" s="333">
        <v>0</v>
      </c>
      <c r="R66" s="333">
        <v>0</v>
      </c>
      <c r="S66" s="333">
        <v>0</v>
      </c>
      <c r="T66" s="333">
        <v>0</v>
      </c>
      <c r="U66" s="333"/>
      <c r="V66" s="333"/>
      <c r="W66" s="333"/>
      <c r="X66" s="333"/>
      <c r="Y66" s="342">
        <f t="shared" si="21"/>
        <v>1</v>
      </c>
      <c r="Z66" s="247"/>
      <c r="AA66" s="247"/>
      <c r="AB66" s="244">
        <f aca="true" t="shared" si="494" ref="AB66">F66*$D66</f>
        <v>0</v>
      </c>
      <c r="AC66" s="244">
        <f aca="true" t="shared" si="495" ref="AC66">G66*$D66</f>
        <v>0</v>
      </c>
      <c r="AD66" s="244">
        <f aca="true" t="shared" si="496" ref="AD66">H66*$D66</f>
        <v>0</v>
      </c>
      <c r="AE66" s="244">
        <f aca="true" t="shared" si="497" ref="AE66">I66*$D66</f>
        <v>0</v>
      </c>
      <c r="AF66" s="244">
        <f aca="true" t="shared" si="498" ref="AF66">J66*$D66</f>
        <v>0</v>
      </c>
      <c r="AG66" s="364">
        <f aca="true" t="shared" si="499" ref="AG66">K66*$D66</f>
        <v>0</v>
      </c>
      <c r="AH66" s="244">
        <f aca="true" t="shared" si="500" ref="AH66">L66*$D66</f>
        <v>0</v>
      </c>
      <c r="AI66" s="364">
        <f aca="true" t="shared" si="501" ref="AI66">M66*$D66</f>
        <v>203.63</v>
      </c>
      <c r="AJ66" s="244">
        <f aca="true" t="shared" si="502" ref="AJ66">N66*$D66</f>
        <v>0</v>
      </c>
      <c r="AK66" s="244">
        <f aca="true" t="shared" si="503" ref="AK66">O66*$D66</f>
        <v>0</v>
      </c>
      <c r="AL66" s="244">
        <f aca="true" t="shared" si="504" ref="AL66">P66*$D66</f>
        <v>0</v>
      </c>
      <c r="AM66" s="244">
        <f aca="true" t="shared" si="505" ref="AM66">Q66*$D66</f>
        <v>0</v>
      </c>
      <c r="AN66" s="244">
        <f aca="true" t="shared" si="506" ref="AN66">R66*$D66</f>
        <v>0</v>
      </c>
      <c r="AO66" s="244">
        <f aca="true" t="shared" si="507" ref="AO66">S66*$D66</f>
        <v>0</v>
      </c>
      <c r="AP66" s="244">
        <f aca="true" t="shared" si="508" ref="AP66">T66*$D66</f>
        <v>0</v>
      </c>
      <c r="AQ66" s="244">
        <f t="shared" si="352"/>
        <v>0</v>
      </c>
      <c r="AR66" s="244">
        <f t="shared" si="14"/>
        <v>0</v>
      </c>
      <c r="AS66" s="244">
        <f t="shared" si="15"/>
        <v>0</v>
      </c>
      <c r="AT66" s="244">
        <f t="shared" si="16"/>
        <v>0</v>
      </c>
      <c r="AU66" s="244"/>
      <c r="AV66" s="244">
        <f aca="true" t="shared" si="509" ref="AV66:BL74">IF(AV$3=$E66,$D66,0)</f>
        <v>0</v>
      </c>
      <c r="AW66" s="244">
        <f t="shared" si="509"/>
        <v>0</v>
      </c>
      <c r="AX66" s="244">
        <f t="shared" si="509"/>
        <v>0</v>
      </c>
      <c r="AY66" s="244">
        <f t="shared" si="509"/>
        <v>0</v>
      </c>
      <c r="AZ66" s="244">
        <f t="shared" si="509"/>
        <v>0</v>
      </c>
      <c r="BA66" s="244">
        <f t="shared" si="509"/>
        <v>0</v>
      </c>
      <c r="BB66" s="244">
        <f t="shared" si="509"/>
        <v>0</v>
      </c>
      <c r="BC66" s="244">
        <f t="shared" si="509"/>
        <v>203.63</v>
      </c>
      <c r="BD66" s="244">
        <f t="shared" si="509"/>
        <v>0</v>
      </c>
      <c r="BE66" s="244">
        <f t="shared" si="509"/>
        <v>0</v>
      </c>
      <c r="BF66" s="244">
        <f t="shared" si="509"/>
        <v>0</v>
      </c>
      <c r="BG66" s="244">
        <f t="shared" si="509"/>
        <v>0</v>
      </c>
      <c r="BH66" s="244">
        <f t="shared" si="509"/>
        <v>0</v>
      </c>
      <c r="BI66" s="244">
        <f t="shared" si="509"/>
        <v>0</v>
      </c>
      <c r="BJ66" s="244">
        <f t="shared" si="509"/>
        <v>0</v>
      </c>
      <c r="BK66" s="244">
        <f t="shared" si="509"/>
        <v>0</v>
      </c>
      <c r="BL66" s="244">
        <f t="shared" si="509"/>
        <v>0</v>
      </c>
      <c r="BM66" s="244">
        <f t="shared" si="420"/>
        <v>0</v>
      </c>
      <c r="BN66" s="244">
        <f t="shared" si="420"/>
        <v>0</v>
      </c>
      <c r="BO66" s="244">
        <f t="shared" si="45"/>
        <v>0</v>
      </c>
    </row>
    <row r="67" spans="1:67" s="297" customFormat="1" ht="14.45" customHeight="1">
      <c r="A67" s="297" t="s">
        <v>154</v>
      </c>
      <c r="B67" s="256"/>
      <c r="C67" s="247"/>
      <c r="D67" s="364">
        <v>84.13</v>
      </c>
      <c r="E67" s="247" t="s">
        <v>259</v>
      </c>
      <c r="F67" s="346"/>
      <c r="G67" s="346"/>
      <c r="H67" s="346"/>
      <c r="I67" s="332"/>
      <c r="J67" s="332"/>
      <c r="K67" s="338"/>
      <c r="L67" s="338">
        <v>0</v>
      </c>
      <c r="M67" s="338">
        <v>0</v>
      </c>
      <c r="N67" s="338">
        <v>1</v>
      </c>
      <c r="O67" s="332"/>
      <c r="P67" s="332"/>
      <c r="Q67" s="333">
        <v>0</v>
      </c>
      <c r="R67" s="333">
        <v>0</v>
      </c>
      <c r="S67" s="333">
        <v>0</v>
      </c>
      <c r="T67" s="333">
        <v>0</v>
      </c>
      <c r="U67" s="333"/>
      <c r="V67" s="333"/>
      <c r="W67" s="333"/>
      <c r="X67" s="333"/>
      <c r="Y67" s="342">
        <f aca="true" t="shared" si="510" ref="Y67">SUM(F67:X67)</f>
        <v>1</v>
      </c>
      <c r="Z67" s="247"/>
      <c r="AA67" s="247"/>
      <c r="AB67" s="244">
        <f aca="true" t="shared" si="511" ref="AB67">F67*$D67</f>
        <v>0</v>
      </c>
      <c r="AC67" s="244">
        <f aca="true" t="shared" si="512" ref="AC67">G67*$D67</f>
        <v>0</v>
      </c>
      <c r="AD67" s="244">
        <f aca="true" t="shared" si="513" ref="AD67">H67*$D67</f>
        <v>0</v>
      </c>
      <c r="AE67" s="244">
        <f aca="true" t="shared" si="514" ref="AE67">I67*$D67</f>
        <v>0</v>
      </c>
      <c r="AF67" s="244">
        <f aca="true" t="shared" si="515" ref="AF67">J67*$D67</f>
        <v>0</v>
      </c>
      <c r="AG67" s="364">
        <f aca="true" t="shared" si="516" ref="AG67">K67*$D67</f>
        <v>0</v>
      </c>
      <c r="AH67" s="244">
        <f aca="true" t="shared" si="517" ref="AH67">L67*$D67</f>
        <v>0</v>
      </c>
      <c r="AI67" s="364">
        <f aca="true" t="shared" si="518" ref="AI67">M67*$D67</f>
        <v>0</v>
      </c>
      <c r="AJ67" s="364">
        <f aca="true" t="shared" si="519" ref="AJ67">N67*$D67</f>
        <v>84.13</v>
      </c>
      <c r="AK67" s="244">
        <f aca="true" t="shared" si="520" ref="AK67">O67*$D67</f>
        <v>0</v>
      </c>
      <c r="AL67" s="244">
        <f aca="true" t="shared" si="521" ref="AL67">P67*$D67</f>
        <v>0</v>
      </c>
      <c r="AM67" s="244">
        <f aca="true" t="shared" si="522" ref="AM67">Q67*$D67</f>
        <v>0</v>
      </c>
      <c r="AN67" s="244">
        <f aca="true" t="shared" si="523" ref="AN67">R67*$D67</f>
        <v>0</v>
      </c>
      <c r="AO67" s="244">
        <f aca="true" t="shared" si="524" ref="AO67">S67*$D67</f>
        <v>0</v>
      </c>
      <c r="AP67" s="244">
        <f aca="true" t="shared" si="525" ref="AP67">T67*$D67</f>
        <v>0</v>
      </c>
      <c r="AQ67" s="244">
        <f aca="true" t="shared" si="526" ref="AQ67">U67*$D67</f>
        <v>0</v>
      </c>
      <c r="AR67" s="244">
        <f aca="true" t="shared" si="527" ref="AR67">V67*$D67</f>
        <v>0</v>
      </c>
      <c r="AS67" s="244">
        <f aca="true" t="shared" si="528" ref="AS67">W67*$D67</f>
        <v>0</v>
      </c>
      <c r="AT67" s="244">
        <f aca="true" t="shared" si="529" ref="AT67">X67*$D67</f>
        <v>0</v>
      </c>
      <c r="AU67" s="244"/>
      <c r="AV67" s="244">
        <f t="shared" si="509"/>
        <v>0</v>
      </c>
      <c r="AW67" s="244">
        <f t="shared" si="509"/>
        <v>0</v>
      </c>
      <c r="AX67" s="244">
        <f t="shared" si="509"/>
        <v>0</v>
      </c>
      <c r="AY67" s="244">
        <f t="shared" si="509"/>
        <v>0</v>
      </c>
      <c r="AZ67" s="244">
        <f t="shared" si="509"/>
        <v>0</v>
      </c>
      <c r="BA67" s="244">
        <f t="shared" si="509"/>
        <v>0</v>
      </c>
      <c r="BB67" s="244">
        <f t="shared" si="509"/>
        <v>0</v>
      </c>
      <c r="BC67" s="244">
        <f t="shared" si="509"/>
        <v>0</v>
      </c>
      <c r="BD67" s="364">
        <f t="shared" si="509"/>
        <v>84.13</v>
      </c>
      <c r="BE67" s="244">
        <f t="shared" si="509"/>
        <v>0</v>
      </c>
      <c r="BF67" s="244">
        <f t="shared" si="509"/>
        <v>0</v>
      </c>
      <c r="BG67" s="244">
        <f t="shared" si="509"/>
        <v>0</v>
      </c>
      <c r="BH67" s="244">
        <f t="shared" si="509"/>
        <v>0</v>
      </c>
      <c r="BI67" s="244">
        <f t="shared" si="509"/>
        <v>0</v>
      </c>
      <c r="BJ67" s="244">
        <f t="shared" si="509"/>
        <v>0</v>
      </c>
      <c r="BK67" s="244">
        <f t="shared" si="509"/>
        <v>0</v>
      </c>
      <c r="BL67" s="244">
        <f t="shared" si="509"/>
        <v>0</v>
      </c>
      <c r="BM67" s="244">
        <f t="shared" si="420"/>
        <v>0</v>
      </c>
      <c r="BN67" s="244">
        <f t="shared" si="420"/>
        <v>0</v>
      </c>
      <c r="BO67" s="244">
        <f aca="true" t="shared" si="530" ref="BO67">SUM(AB67:AT67)-SUM(AV67:BN67)</f>
        <v>0</v>
      </c>
    </row>
    <row r="68" spans="1:67" s="297" customFormat="1" ht="14.45" customHeight="1">
      <c r="A68" s="297" t="s">
        <v>154</v>
      </c>
      <c r="B68" s="256"/>
      <c r="C68" s="247"/>
      <c r="D68" s="364">
        <v>179.46</v>
      </c>
      <c r="E68" s="247" t="s">
        <v>233</v>
      </c>
      <c r="F68" s="346"/>
      <c r="G68" s="346"/>
      <c r="H68" s="346"/>
      <c r="I68" s="332"/>
      <c r="J68" s="332"/>
      <c r="K68" s="338"/>
      <c r="L68" s="338">
        <v>0</v>
      </c>
      <c r="M68" s="338">
        <v>1</v>
      </c>
      <c r="N68" s="332"/>
      <c r="O68" s="332"/>
      <c r="P68" s="332"/>
      <c r="Q68" s="333">
        <v>0</v>
      </c>
      <c r="R68" s="333">
        <v>0</v>
      </c>
      <c r="S68" s="333">
        <v>0</v>
      </c>
      <c r="T68" s="333">
        <v>0</v>
      </c>
      <c r="U68" s="333"/>
      <c r="V68" s="333"/>
      <c r="W68" s="333"/>
      <c r="X68" s="333"/>
      <c r="Y68" s="342">
        <f t="shared" si="21"/>
        <v>1</v>
      </c>
      <c r="Z68" s="247"/>
      <c r="AA68" s="247"/>
      <c r="AB68" s="244">
        <f aca="true" t="shared" si="531" ref="AB68">F68*$D68</f>
        <v>0</v>
      </c>
      <c r="AC68" s="244">
        <f aca="true" t="shared" si="532" ref="AC68">G68*$D68</f>
        <v>0</v>
      </c>
      <c r="AD68" s="244">
        <f aca="true" t="shared" si="533" ref="AD68">H68*$D68</f>
        <v>0</v>
      </c>
      <c r="AE68" s="244">
        <f aca="true" t="shared" si="534" ref="AE68">I68*$D68</f>
        <v>0</v>
      </c>
      <c r="AF68" s="244">
        <f aca="true" t="shared" si="535" ref="AF68">J68*$D68</f>
        <v>0</v>
      </c>
      <c r="AG68" s="364">
        <f aca="true" t="shared" si="536" ref="AG68">K68*$D68</f>
        <v>0</v>
      </c>
      <c r="AH68" s="244">
        <f aca="true" t="shared" si="537" ref="AH68">L68*$D68</f>
        <v>0</v>
      </c>
      <c r="AI68" s="364">
        <f aca="true" t="shared" si="538" ref="AI68">M68*$D68</f>
        <v>179.46</v>
      </c>
      <c r="AJ68" s="244">
        <f aca="true" t="shared" si="539" ref="AJ68">N68*$D68</f>
        <v>0</v>
      </c>
      <c r="AK68" s="244">
        <f aca="true" t="shared" si="540" ref="AK68">O68*$D68</f>
        <v>0</v>
      </c>
      <c r="AL68" s="244">
        <f aca="true" t="shared" si="541" ref="AL68">P68*$D68</f>
        <v>0</v>
      </c>
      <c r="AM68" s="244">
        <f aca="true" t="shared" si="542" ref="AM68">Q68*$D68</f>
        <v>0</v>
      </c>
      <c r="AN68" s="244">
        <f aca="true" t="shared" si="543" ref="AN68">R68*$D68</f>
        <v>0</v>
      </c>
      <c r="AO68" s="244">
        <f aca="true" t="shared" si="544" ref="AO68">S68*$D68</f>
        <v>0</v>
      </c>
      <c r="AP68" s="244">
        <f aca="true" t="shared" si="545" ref="AP68">T68*$D68</f>
        <v>0</v>
      </c>
      <c r="AQ68" s="244">
        <f aca="true" t="shared" si="546" ref="AQ68">U68*$D68</f>
        <v>0</v>
      </c>
      <c r="AR68" s="244">
        <f t="shared" si="14"/>
        <v>0</v>
      </c>
      <c r="AS68" s="244">
        <f t="shared" si="15"/>
        <v>0</v>
      </c>
      <c r="AT68" s="244">
        <f t="shared" si="16"/>
        <v>0</v>
      </c>
      <c r="AU68" s="244"/>
      <c r="AV68" s="244">
        <f t="shared" si="509"/>
        <v>0</v>
      </c>
      <c r="AW68" s="244">
        <f t="shared" si="509"/>
        <v>0</v>
      </c>
      <c r="AX68" s="244">
        <f t="shared" si="509"/>
        <v>0</v>
      </c>
      <c r="AY68" s="244">
        <f t="shared" si="509"/>
        <v>0</v>
      </c>
      <c r="AZ68" s="244">
        <f t="shared" si="509"/>
        <v>0</v>
      </c>
      <c r="BA68" s="244">
        <f t="shared" si="509"/>
        <v>0</v>
      </c>
      <c r="BB68" s="244">
        <f t="shared" si="509"/>
        <v>0</v>
      </c>
      <c r="BC68" s="244">
        <f t="shared" si="509"/>
        <v>179.46</v>
      </c>
      <c r="BD68" s="244">
        <f t="shared" si="509"/>
        <v>0</v>
      </c>
      <c r="BE68" s="244">
        <f t="shared" si="509"/>
        <v>0</v>
      </c>
      <c r="BF68" s="244">
        <f t="shared" si="509"/>
        <v>0</v>
      </c>
      <c r="BG68" s="244">
        <f t="shared" si="509"/>
        <v>0</v>
      </c>
      <c r="BH68" s="244">
        <f t="shared" si="509"/>
        <v>0</v>
      </c>
      <c r="BI68" s="244">
        <f t="shared" si="509"/>
        <v>0</v>
      </c>
      <c r="BJ68" s="244">
        <f t="shared" si="509"/>
        <v>0</v>
      </c>
      <c r="BK68" s="244">
        <f t="shared" si="509"/>
        <v>0</v>
      </c>
      <c r="BL68" s="244">
        <f t="shared" si="420"/>
        <v>0</v>
      </c>
      <c r="BM68" s="244">
        <f t="shared" si="420"/>
        <v>0</v>
      </c>
      <c r="BN68" s="244">
        <f t="shared" si="420"/>
        <v>0</v>
      </c>
      <c r="BO68" s="244">
        <f t="shared" si="45"/>
        <v>0</v>
      </c>
    </row>
    <row r="69" spans="1:67" s="297" customFormat="1" ht="14.45" customHeight="1">
      <c r="A69" s="297" t="s">
        <v>154</v>
      </c>
      <c r="B69" s="256"/>
      <c r="C69" s="247"/>
      <c r="D69" s="364">
        <v>10000</v>
      </c>
      <c r="E69" s="247" t="s">
        <v>281</v>
      </c>
      <c r="F69" s="346"/>
      <c r="G69" s="346"/>
      <c r="H69" s="346"/>
      <c r="I69" s="332"/>
      <c r="J69" s="332"/>
      <c r="K69" s="338"/>
      <c r="L69" s="338">
        <v>0</v>
      </c>
      <c r="M69" s="338">
        <v>0</v>
      </c>
      <c r="N69" s="338">
        <v>0</v>
      </c>
      <c r="O69" s="338">
        <v>0</v>
      </c>
      <c r="P69" s="338">
        <v>1</v>
      </c>
      <c r="Q69" s="333">
        <v>0</v>
      </c>
      <c r="R69" s="333">
        <v>0</v>
      </c>
      <c r="S69" s="333">
        <v>0</v>
      </c>
      <c r="T69" s="333">
        <v>0</v>
      </c>
      <c r="U69" s="333"/>
      <c r="V69" s="333"/>
      <c r="W69" s="333"/>
      <c r="X69" s="333"/>
      <c r="Y69" s="342">
        <f t="shared" si="21"/>
        <v>1</v>
      </c>
      <c r="Z69" s="247"/>
      <c r="AA69" s="247"/>
      <c r="AB69" s="244">
        <f aca="true" t="shared" si="547" ref="AB69">F69*$D69</f>
        <v>0</v>
      </c>
      <c r="AC69" s="244">
        <f aca="true" t="shared" si="548" ref="AC69">G69*$D69</f>
        <v>0</v>
      </c>
      <c r="AD69" s="244">
        <f aca="true" t="shared" si="549" ref="AD69">H69*$D69</f>
        <v>0</v>
      </c>
      <c r="AE69" s="244">
        <f aca="true" t="shared" si="550" ref="AE69">I69*$D69</f>
        <v>0</v>
      </c>
      <c r="AF69" s="244">
        <f aca="true" t="shared" si="551" ref="AF69">J69*$D69</f>
        <v>0</v>
      </c>
      <c r="AG69" s="364">
        <f aca="true" t="shared" si="552" ref="AG69">K69*$D69</f>
        <v>0</v>
      </c>
      <c r="AH69" s="244">
        <f aca="true" t="shared" si="553" ref="AH69">L69*$D69</f>
        <v>0</v>
      </c>
      <c r="AI69" s="364">
        <f aca="true" t="shared" si="554" ref="AI69">M69*$D69</f>
        <v>0</v>
      </c>
      <c r="AJ69" s="244">
        <f aca="true" t="shared" si="555" ref="AJ69">N69*$D69</f>
        <v>0</v>
      </c>
      <c r="AK69" s="244">
        <f aca="true" t="shared" si="556" ref="AK69">O69*$D69</f>
        <v>0</v>
      </c>
      <c r="AL69" s="244">
        <f aca="true" t="shared" si="557" ref="AL69">P69*$D69</f>
        <v>10000</v>
      </c>
      <c r="AM69" s="244">
        <f aca="true" t="shared" si="558" ref="AM69">Q69*$D69</f>
        <v>0</v>
      </c>
      <c r="AN69" s="244">
        <f aca="true" t="shared" si="559" ref="AN69">R69*$D69</f>
        <v>0</v>
      </c>
      <c r="AO69" s="244">
        <f aca="true" t="shared" si="560" ref="AO69">S69*$D69</f>
        <v>0</v>
      </c>
      <c r="AP69" s="244">
        <f aca="true" t="shared" si="561" ref="AP69">T69*$D69</f>
        <v>0</v>
      </c>
      <c r="AQ69" s="244">
        <f t="shared" si="352"/>
        <v>0</v>
      </c>
      <c r="AR69" s="244">
        <f t="shared" si="14"/>
        <v>0</v>
      </c>
      <c r="AS69" s="244">
        <f t="shared" si="15"/>
        <v>0</v>
      </c>
      <c r="AT69" s="244">
        <f t="shared" si="16"/>
        <v>0</v>
      </c>
      <c r="AU69" s="244"/>
      <c r="AV69" s="244">
        <f t="shared" si="509"/>
        <v>0</v>
      </c>
      <c r="AW69" s="244">
        <f t="shared" si="509"/>
        <v>0</v>
      </c>
      <c r="AX69" s="244">
        <f t="shared" si="509"/>
        <v>0</v>
      </c>
      <c r="AY69" s="244">
        <f t="shared" si="509"/>
        <v>0</v>
      </c>
      <c r="AZ69" s="244">
        <f t="shared" si="509"/>
        <v>0</v>
      </c>
      <c r="BA69" s="244">
        <f t="shared" si="509"/>
        <v>0</v>
      </c>
      <c r="BB69" s="244">
        <f t="shared" si="509"/>
        <v>0</v>
      </c>
      <c r="BC69" s="244">
        <f t="shared" si="509"/>
        <v>0</v>
      </c>
      <c r="BD69" s="244">
        <f t="shared" si="509"/>
        <v>0</v>
      </c>
      <c r="BE69" s="244">
        <f t="shared" si="509"/>
        <v>0</v>
      </c>
      <c r="BF69" s="244">
        <f t="shared" si="509"/>
        <v>10000</v>
      </c>
      <c r="BG69" s="244">
        <f t="shared" si="509"/>
        <v>0</v>
      </c>
      <c r="BH69" s="244">
        <f t="shared" si="509"/>
        <v>0</v>
      </c>
      <c r="BI69" s="244">
        <f t="shared" si="509"/>
        <v>0</v>
      </c>
      <c r="BJ69" s="244">
        <f t="shared" si="509"/>
        <v>0</v>
      </c>
      <c r="BK69" s="244">
        <f t="shared" si="509"/>
        <v>0</v>
      </c>
      <c r="BL69" s="244">
        <f t="shared" si="420"/>
        <v>0</v>
      </c>
      <c r="BM69" s="244">
        <f t="shared" si="420"/>
        <v>0</v>
      </c>
      <c r="BN69" s="244">
        <f t="shared" si="420"/>
        <v>0</v>
      </c>
      <c r="BO69" s="244">
        <f t="shared" si="45"/>
        <v>0</v>
      </c>
    </row>
    <row r="70" spans="1:67" s="297" customFormat="1" ht="14.45" customHeight="1">
      <c r="A70" s="297" t="s">
        <v>154</v>
      </c>
      <c r="B70" s="256"/>
      <c r="C70" s="247"/>
      <c r="D70" s="364">
        <v>360000</v>
      </c>
      <c r="E70" s="247" t="s">
        <v>281</v>
      </c>
      <c r="F70" s="346"/>
      <c r="G70" s="346"/>
      <c r="H70" s="346"/>
      <c r="I70" s="332"/>
      <c r="J70" s="332"/>
      <c r="K70" s="338"/>
      <c r="L70" s="338">
        <v>0</v>
      </c>
      <c r="M70" s="338">
        <v>0</v>
      </c>
      <c r="N70" s="338">
        <v>0</v>
      </c>
      <c r="O70" s="338">
        <v>0</v>
      </c>
      <c r="P70" s="338">
        <v>1</v>
      </c>
      <c r="Q70" s="333">
        <v>0</v>
      </c>
      <c r="R70" s="333">
        <v>0</v>
      </c>
      <c r="S70" s="333">
        <v>0</v>
      </c>
      <c r="T70" s="333">
        <v>0</v>
      </c>
      <c r="U70" s="333"/>
      <c r="V70" s="333"/>
      <c r="W70" s="333"/>
      <c r="X70" s="333"/>
      <c r="Y70" s="342">
        <f t="shared" si="21"/>
        <v>1</v>
      </c>
      <c r="Z70" s="247"/>
      <c r="AA70" s="247"/>
      <c r="AB70" s="244">
        <f aca="true" t="shared" si="562" ref="AB70:AB71">F70*$D70</f>
        <v>0</v>
      </c>
      <c r="AC70" s="244">
        <f aca="true" t="shared" si="563" ref="AC70:AC71">G70*$D70</f>
        <v>0</v>
      </c>
      <c r="AD70" s="244">
        <f aca="true" t="shared" si="564" ref="AD70:AD71">H70*$D70</f>
        <v>0</v>
      </c>
      <c r="AE70" s="244">
        <f aca="true" t="shared" si="565" ref="AE70:AE71">I70*$D70</f>
        <v>0</v>
      </c>
      <c r="AF70" s="244">
        <f aca="true" t="shared" si="566" ref="AF70:AF71">J70*$D70</f>
        <v>0</v>
      </c>
      <c r="AG70" s="364">
        <f aca="true" t="shared" si="567" ref="AG70:AG71">K70*$D70</f>
        <v>0</v>
      </c>
      <c r="AH70" s="244">
        <f aca="true" t="shared" si="568" ref="AH70:AH71">L70*$D70</f>
        <v>0</v>
      </c>
      <c r="AI70" s="364">
        <f aca="true" t="shared" si="569" ref="AI70:AI71">M70*$D70</f>
        <v>0</v>
      </c>
      <c r="AJ70" s="244">
        <f aca="true" t="shared" si="570" ref="AJ70:AJ71">N70*$D70</f>
        <v>0</v>
      </c>
      <c r="AK70" s="244">
        <f aca="true" t="shared" si="571" ref="AK70:AK71">O70*$D70</f>
        <v>0</v>
      </c>
      <c r="AL70" s="244">
        <f aca="true" t="shared" si="572" ref="AL70:AL71">P70*$D70</f>
        <v>360000</v>
      </c>
      <c r="AM70" s="244">
        <f aca="true" t="shared" si="573" ref="AM70:AM71">Q70*$D70</f>
        <v>0</v>
      </c>
      <c r="AN70" s="244">
        <f aca="true" t="shared" si="574" ref="AN70:AN71">R70*$D70</f>
        <v>0</v>
      </c>
      <c r="AO70" s="244">
        <f aca="true" t="shared" si="575" ref="AO70:AO71">S70*$D70</f>
        <v>0</v>
      </c>
      <c r="AP70" s="244">
        <f aca="true" t="shared" si="576" ref="AP70:AP71">T70*$D70</f>
        <v>0</v>
      </c>
      <c r="AQ70" s="244">
        <f aca="true" t="shared" si="577" ref="AQ70:AQ71">U70*$D70</f>
        <v>0</v>
      </c>
      <c r="AR70" s="244">
        <f aca="true" t="shared" si="578" ref="AR70:AR71">V70*$D70</f>
        <v>0</v>
      </c>
      <c r="AS70" s="244">
        <f aca="true" t="shared" si="579" ref="AS70:AS71">W70*$D70</f>
        <v>0</v>
      </c>
      <c r="AT70" s="244">
        <f aca="true" t="shared" si="580" ref="AT70:AT71">X70*$D70</f>
        <v>0</v>
      </c>
      <c r="AU70" s="244"/>
      <c r="AV70" s="244">
        <f t="shared" si="509"/>
        <v>0</v>
      </c>
      <c r="AW70" s="244">
        <f t="shared" si="509"/>
        <v>0</v>
      </c>
      <c r="AX70" s="244">
        <f t="shared" si="509"/>
        <v>0</v>
      </c>
      <c r="AY70" s="244">
        <f t="shared" si="509"/>
        <v>0</v>
      </c>
      <c r="AZ70" s="244">
        <f t="shared" si="509"/>
        <v>0</v>
      </c>
      <c r="BA70" s="244">
        <f t="shared" si="509"/>
        <v>0</v>
      </c>
      <c r="BB70" s="244">
        <f t="shared" si="509"/>
        <v>0</v>
      </c>
      <c r="BC70" s="244">
        <f t="shared" si="509"/>
        <v>0</v>
      </c>
      <c r="BD70" s="244">
        <f t="shared" si="509"/>
        <v>0</v>
      </c>
      <c r="BE70" s="244">
        <f t="shared" si="509"/>
        <v>0</v>
      </c>
      <c r="BF70" s="244">
        <f t="shared" si="509"/>
        <v>360000</v>
      </c>
      <c r="BG70" s="244">
        <f t="shared" si="509"/>
        <v>0</v>
      </c>
      <c r="BH70" s="244">
        <f t="shared" si="509"/>
        <v>0</v>
      </c>
      <c r="BI70" s="244">
        <f t="shared" si="509"/>
        <v>0</v>
      </c>
      <c r="BJ70" s="244">
        <f t="shared" si="509"/>
        <v>0</v>
      </c>
      <c r="BK70" s="244">
        <f t="shared" si="509"/>
        <v>0</v>
      </c>
      <c r="BL70" s="244">
        <f t="shared" si="420"/>
        <v>0</v>
      </c>
      <c r="BM70" s="244">
        <f t="shared" si="420"/>
        <v>0</v>
      </c>
      <c r="BN70" s="244">
        <f t="shared" si="420"/>
        <v>0</v>
      </c>
      <c r="BO70" s="244">
        <f t="shared" si="45"/>
        <v>0</v>
      </c>
    </row>
    <row r="71" spans="1:67" s="297" customFormat="1" ht="14.45" customHeight="1">
      <c r="A71" s="297" t="s">
        <v>154</v>
      </c>
      <c r="B71" s="256"/>
      <c r="C71" s="247"/>
      <c r="D71" s="364">
        <v>80000</v>
      </c>
      <c r="E71" s="247" t="s">
        <v>281</v>
      </c>
      <c r="F71" s="346"/>
      <c r="G71" s="346"/>
      <c r="H71" s="346"/>
      <c r="I71" s="332"/>
      <c r="J71" s="332"/>
      <c r="K71" s="338"/>
      <c r="L71" s="338">
        <v>0</v>
      </c>
      <c r="M71" s="338">
        <v>0</v>
      </c>
      <c r="N71" s="338">
        <v>0</v>
      </c>
      <c r="O71" s="338">
        <v>0</v>
      </c>
      <c r="P71" s="338">
        <v>1</v>
      </c>
      <c r="Q71" s="333">
        <v>0</v>
      </c>
      <c r="R71" s="333">
        <v>0</v>
      </c>
      <c r="S71" s="333">
        <v>0</v>
      </c>
      <c r="T71" s="333">
        <v>0</v>
      </c>
      <c r="U71" s="333"/>
      <c r="V71" s="333"/>
      <c r="W71" s="333"/>
      <c r="X71" s="333"/>
      <c r="Y71" s="342">
        <f t="shared" si="21"/>
        <v>1</v>
      </c>
      <c r="Z71" s="247"/>
      <c r="AA71" s="247"/>
      <c r="AB71" s="244">
        <f t="shared" si="562"/>
        <v>0</v>
      </c>
      <c r="AC71" s="244">
        <f t="shared" si="563"/>
        <v>0</v>
      </c>
      <c r="AD71" s="244">
        <f t="shared" si="564"/>
        <v>0</v>
      </c>
      <c r="AE71" s="244">
        <f t="shared" si="565"/>
        <v>0</v>
      </c>
      <c r="AF71" s="244">
        <f t="shared" si="566"/>
        <v>0</v>
      </c>
      <c r="AG71" s="364">
        <f t="shared" si="567"/>
        <v>0</v>
      </c>
      <c r="AH71" s="244">
        <f t="shared" si="568"/>
        <v>0</v>
      </c>
      <c r="AI71" s="364">
        <f t="shared" si="569"/>
        <v>0</v>
      </c>
      <c r="AJ71" s="244">
        <f t="shared" si="570"/>
        <v>0</v>
      </c>
      <c r="AK71" s="244">
        <f t="shared" si="571"/>
        <v>0</v>
      </c>
      <c r="AL71" s="244">
        <f t="shared" si="572"/>
        <v>80000</v>
      </c>
      <c r="AM71" s="244">
        <f t="shared" si="573"/>
        <v>0</v>
      </c>
      <c r="AN71" s="244">
        <f t="shared" si="574"/>
        <v>0</v>
      </c>
      <c r="AO71" s="244">
        <f t="shared" si="575"/>
        <v>0</v>
      </c>
      <c r="AP71" s="244">
        <f t="shared" si="576"/>
        <v>0</v>
      </c>
      <c r="AQ71" s="244">
        <f t="shared" si="577"/>
        <v>0</v>
      </c>
      <c r="AR71" s="244">
        <f t="shared" si="578"/>
        <v>0</v>
      </c>
      <c r="AS71" s="244">
        <f t="shared" si="579"/>
        <v>0</v>
      </c>
      <c r="AT71" s="244">
        <f t="shared" si="580"/>
        <v>0</v>
      </c>
      <c r="AU71" s="244"/>
      <c r="AV71" s="244">
        <f t="shared" si="509"/>
        <v>0</v>
      </c>
      <c r="AW71" s="244">
        <f t="shared" si="509"/>
        <v>0</v>
      </c>
      <c r="AX71" s="244">
        <f t="shared" si="509"/>
        <v>0</v>
      </c>
      <c r="AY71" s="244">
        <f t="shared" si="509"/>
        <v>0</v>
      </c>
      <c r="AZ71" s="244">
        <f t="shared" si="509"/>
        <v>0</v>
      </c>
      <c r="BA71" s="244">
        <f t="shared" si="509"/>
        <v>0</v>
      </c>
      <c r="BB71" s="244">
        <f t="shared" si="509"/>
        <v>0</v>
      </c>
      <c r="BC71" s="244">
        <f t="shared" si="509"/>
        <v>0</v>
      </c>
      <c r="BD71" s="244">
        <f t="shared" si="509"/>
        <v>0</v>
      </c>
      <c r="BE71" s="244">
        <f t="shared" si="509"/>
        <v>0</v>
      </c>
      <c r="BF71" s="244">
        <f t="shared" si="509"/>
        <v>80000</v>
      </c>
      <c r="BG71" s="244">
        <f t="shared" si="509"/>
        <v>0</v>
      </c>
      <c r="BH71" s="244">
        <f t="shared" si="509"/>
        <v>0</v>
      </c>
      <c r="BI71" s="244">
        <f t="shared" si="509"/>
        <v>0</v>
      </c>
      <c r="BJ71" s="244">
        <f t="shared" si="509"/>
        <v>0</v>
      </c>
      <c r="BK71" s="244">
        <f t="shared" si="509"/>
        <v>0</v>
      </c>
      <c r="BL71" s="244">
        <f t="shared" si="420"/>
        <v>0</v>
      </c>
      <c r="BM71" s="244">
        <f t="shared" si="420"/>
        <v>0</v>
      </c>
      <c r="BN71" s="244">
        <f t="shared" si="420"/>
        <v>0</v>
      </c>
      <c r="BO71" s="244">
        <f t="shared" si="45"/>
        <v>0</v>
      </c>
    </row>
    <row r="72" spans="1:67" s="297" customFormat="1" ht="14.45" customHeight="1">
      <c r="A72" s="297" t="s">
        <v>154</v>
      </c>
      <c r="B72" s="256"/>
      <c r="C72" s="247"/>
      <c r="D72" s="364">
        <v>100000</v>
      </c>
      <c r="E72" s="247" t="s">
        <v>281</v>
      </c>
      <c r="F72" s="346"/>
      <c r="G72" s="346"/>
      <c r="H72" s="346"/>
      <c r="I72" s="332"/>
      <c r="J72" s="332"/>
      <c r="K72" s="338"/>
      <c r="L72" s="338">
        <v>0</v>
      </c>
      <c r="M72" s="338">
        <v>0</v>
      </c>
      <c r="N72" s="338">
        <v>0</v>
      </c>
      <c r="O72" s="338">
        <v>0</v>
      </c>
      <c r="P72" s="338">
        <v>1</v>
      </c>
      <c r="Q72" s="333">
        <v>0</v>
      </c>
      <c r="R72" s="333">
        <v>0</v>
      </c>
      <c r="S72" s="333">
        <v>0</v>
      </c>
      <c r="T72" s="333">
        <v>0</v>
      </c>
      <c r="U72" s="333"/>
      <c r="V72" s="333"/>
      <c r="W72" s="333"/>
      <c r="X72" s="333"/>
      <c r="Y72" s="342">
        <f aca="true" t="shared" si="581" ref="Y72:Y87">SUM(F72:X72)</f>
        <v>1</v>
      </c>
      <c r="Z72" s="247"/>
      <c r="AA72" s="247"/>
      <c r="AB72" s="244">
        <f aca="true" t="shared" si="582" ref="AB72:AB74">F72*$D72</f>
        <v>0</v>
      </c>
      <c r="AC72" s="244">
        <f aca="true" t="shared" si="583" ref="AC72:AC74">G72*$D72</f>
        <v>0</v>
      </c>
      <c r="AD72" s="244">
        <f aca="true" t="shared" si="584" ref="AD72:AD74">H72*$D72</f>
        <v>0</v>
      </c>
      <c r="AE72" s="244">
        <f aca="true" t="shared" si="585" ref="AE72:AE74">I72*$D72</f>
        <v>0</v>
      </c>
      <c r="AF72" s="244">
        <f aca="true" t="shared" si="586" ref="AF72:AF74">J72*$D72</f>
        <v>0</v>
      </c>
      <c r="AG72" s="364">
        <f aca="true" t="shared" si="587" ref="AG72:AG74">K72*$D72</f>
        <v>0</v>
      </c>
      <c r="AH72" s="244">
        <f aca="true" t="shared" si="588" ref="AH72:AH74">L72*$D72</f>
        <v>0</v>
      </c>
      <c r="AI72" s="364">
        <f aca="true" t="shared" si="589" ref="AI72:AI74">M72*$D72</f>
        <v>0</v>
      </c>
      <c r="AJ72" s="244">
        <f aca="true" t="shared" si="590" ref="AJ72:AJ74">N72*$D72</f>
        <v>0</v>
      </c>
      <c r="AK72" s="244">
        <f aca="true" t="shared" si="591" ref="AK72:AK74">O72*$D72</f>
        <v>0</v>
      </c>
      <c r="AL72" s="244">
        <f aca="true" t="shared" si="592" ref="AL72:AL74">P72*$D72</f>
        <v>100000</v>
      </c>
      <c r="AM72" s="244">
        <f aca="true" t="shared" si="593" ref="AM72:AM74">Q72*$D72</f>
        <v>0</v>
      </c>
      <c r="AN72" s="244">
        <f aca="true" t="shared" si="594" ref="AN72:AN74">R72*$D72</f>
        <v>0</v>
      </c>
      <c r="AO72" s="244">
        <f aca="true" t="shared" si="595" ref="AO72:AO74">S72*$D72</f>
        <v>0</v>
      </c>
      <c r="AP72" s="244">
        <f aca="true" t="shared" si="596" ref="AP72:AP74">T72*$D72</f>
        <v>0</v>
      </c>
      <c r="AQ72" s="244">
        <f aca="true" t="shared" si="597" ref="AQ72:AQ74">U72*$D72</f>
        <v>0</v>
      </c>
      <c r="AR72" s="244">
        <f aca="true" t="shared" si="598" ref="AR72:AR74">V72*$D72</f>
        <v>0</v>
      </c>
      <c r="AS72" s="244">
        <f aca="true" t="shared" si="599" ref="AS72:AS74">W72*$D72</f>
        <v>0</v>
      </c>
      <c r="AT72" s="244">
        <f aca="true" t="shared" si="600" ref="AT72:AT74">X72*$D72</f>
        <v>0</v>
      </c>
      <c r="AU72" s="244"/>
      <c r="AV72" s="244">
        <f t="shared" si="509"/>
        <v>0</v>
      </c>
      <c r="AW72" s="244">
        <f t="shared" si="509"/>
        <v>0</v>
      </c>
      <c r="AX72" s="244">
        <f t="shared" si="509"/>
        <v>0</v>
      </c>
      <c r="AY72" s="244">
        <f t="shared" si="509"/>
        <v>0</v>
      </c>
      <c r="AZ72" s="244">
        <f t="shared" si="509"/>
        <v>0</v>
      </c>
      <c r="BA72" s="244">
        <f t="shared" si="509"/>
        <v>0</v>
      </c>
      <c r="BB72" s="244">
        <f t="shared" si="509"/>
        <v>0</v>
      </c>
      <c r="BC72" s="244">
        <f t="shared" si="509"/>
        <v>0</v>
      </c>
      <c r="BD72" s="244">
        <f t="shared" si="509"/>
        <v>0</v>
      </c>
      <c r="BE72" s="244">
        <f t="shared" si="509"/>
        <v>0</v>
      </c>
      <c r="BF72" s="244">
        <f t="shared" si="509"/>
        <v>100000</v>
      </c>
      <c r="BG72" s="244">
        <f t="shared" si="509"/>
        <v>0</v>
      </c>
      <c r="BH72" s="244">
        <f t="shared" si="509"/>
        <v>0</v>
      </c>
      <c r="BI72" s="244">
        <f t="shared" si="509"/>
        <v>0</v>
      </c>
      <c r="BJ72" s="244">
        <f t="shared" si="509"/>
        <v>0</v>
      </c>
      <c r="BK72" s="244">
        <f t="shared" si="509"/>
        <v>0</v>
      </c>
      <c r="BL72" s="244">
        <f t="shared" si="420"/>
        <v>0</v>
      </c>
      <c r="BM72" s="244">
        <f t="shared" si="420"/>
        <v>0</v>
      </c>
      <c r="BN72" s="244">
        <f t="shared" si="420"/>
        <v>0</v>
      </c>
      <c r="BO72" s="244">
        <f t="shared" si="45"/>
        <v>0</v>
      </c>
    </row>
    <row r="73" spans="1:67" s="297" customFormat="1" ht="14.45" customHeight="1">
      <c r="A73" s="297" t="s">
        <v>154</v>
      </c>
      <c r="B73" s="256"/>
      <c r="C73" s="247"/>
      <c r="D73" s="364">
        <v>100000</v>
      </c>
      <c r="E73" s="247" t="s">
        <v>281</v>
      </c>
      <c r="F73" s="346"/>
      <c r="G73" s="346"/>
      <c r="H73" s="346"/>
      <c r="I73" s="332"/>
      <c r="J73" s="332"/>
      <c r="K73" s="338"/>
      <c r="L73" s="338">
        <v>0</v>
      </c>
      <c r="M73" s="338">
        <v>0</v>
      </c>
      <c r="N73" s="338">
        <v>0</v>
      </c>
      <c r="O73" s="338">
        <v>0</v>
      </c>
      <c r="P73" s="338">
        <v>1</v>
      </c>
      <c r="Q73" s="333">
        <v>0</v>
      </c>
      <c r="R73" s="333">
        <v>0</v>
      </c>
      <c r="S73" s="333">
        <v>0</v>
      </c>
      <c r="T73" s="333">
        <v>0</v>
      </c>
      <c r="U73" s="333"/>
      <c r="V73" s="333"/>
      <c r="W73" s="333"/>
      <c r="X73" s="333"/>
      <c r="Y73" s="342">
        <f t="shared" si="581"/>
        <v>1</v>
      </c>
      <c r="Z73" s="247"/>
      <c r="AA73" s="247"/>
      <c r="AB73" s="244">
        <f t="shared" si="582"/>
        <v>0</v>
      </c>
      <c r="AC73" s="244">
        <f t="shared" si="583"/>
        <v>0</v>
      </c>
      <c r="AD73" s="244">
        <f t="shared" si="584"/>
        <v>0</v>
      </c>
      <c r="AE73" s="244">
        <f t="shared" si="585"/>
        <v>0</v>
      </c>
      <c r="AF73" s="244">
        <f t="shared" si="586"/>
        <v>0</v>
      </c>
      <c r="AG73" s="364">
        <f t="shared" si="587"/>
        <v>0</v>
      </c>
      <c r="AH73" s="244">
        <f t="shared" si="588"/>
        <v>0</v>
      </c>
      <c r="AI73" s="364">
        <f t="shared" si="589"/>
        <v>0</v>
      </c>
      <c r="AJ73" s="244">
        <f t="shared" si="590"/>
        <v>0</v>
      </c>
      <c r="AK73" s="244">
        <f t="shared" si="591"/>
        <v>0</v>
      </c>
      <c r="AL73" s="244">
        <f t="shared" si="592"/>
        <v>100000</v>
      </c>
      <c r="AM73" s="244">
        <f t="shared" si="593"/>
        <v>0</v>
      </c>
      <c r="AN73" s="244">
        <f t="shared" si="594"/>
        <v>0</v>
      </c>
      <c r="AO73" s="244">
        <f t="shared" si="595"/>
        <v>0</v>
      </c>
      <c r="AP73" s="244">
        <f t="shared" si="596"/>
        <v>0</v>
      </c>
      <c r="AQ73" s="244">
        <f t="shared" si="597"/>
        <v>0</v>
      </c>
      <c r="AR73" s="244">
        <f t="shared" si="598"/>
        <v>0</v>
      </c>
      <c r="AS73" s="244">
        <f t="shared" si="599"/>
        <v>0</v>
      </c>
      <c r="AT73" s="244">
        <f t="shared" si="600"/>
        <v>0</v>
      </c>
      <c r="AU73" s="244"/>
      <c r="AV73" s="244">
        <f t="shared" si="509"/>
        <v>0</v>
      </c>
      <c r="AW73" s="244">
        <f t="shared" si="509"/>
        <v>0</v>
      </c>
      <c r="AX73" s="244">
        <f t="shared" si="509"/>
        <v>0</v>
      </c>
      <c r="AY73" s="244">
        <f t="shared" si="509"/>
        <v>0</v>
      </c>
      <c r="AZ73" s="244">
        <f t="shared" si="509"/>
        <v>0</v>
      </c>
      <c r="BA73" s="244">
        <f t="shared" si="509"/>
        <v>0</v>
      </c>
      <c r="BB73" s="244">
        <f t="shared" si="509"/>
        <v>0</v>
      </c>
      <c r="BC73" s="244">
        <f t="shared" si="509"/>
        <v>0</v>
      </c>
      <c r="BD73" s="244">
        <f t="shared" si="509"/>
        <v>0</v>
      </c>
      <c r="BE73" s="244">
        <f t="shared" si="509"/>
        <v>0</v>
      </c>
      <c r="BF73" s="244">
        <f t="shared" si="509"/>
        <v>100000</v>
      </c>
      <c r="BG73" s="244">
        <f t="shared" si="509"/>
        <v>0</v>
      </c>
      <c r="BH73" s="244">
        <f t="shared" si="509"/>
        <v>0</v>
      </c>
      <c r="BI73" s="244">
        <f t="shared" si="509"/>
        <v>0</v>
      </c>
      <c r="BJ73" s="244">
        <f t="shared" si="509"/>
        <v>0</v>
      </c>
      <c r="BK73" s="244">
        <f t="shared" si="509"/>
        <v>0</v>
      </c>
      <c r="BL73" s="244">
        <f t="shared" si="420"/>
        <v>0</v>
      </c>
      <c r="BM73" s="244">
        <f t="shared" si="420"/>
        <v>0</v>
      </c>
      <c r="BN73" s="244">
        <f t="shared" si="420"/>
        <v>0</v>
      </c>
      <c r="BO73" s="244">
        <f aca="true" t="shared" si="601" ref="BO73:BO111">SUM(AB73:AT73)-SUM(AV73:BN73)</f>
        <v>0</v>
      </c>
    </row>
    <row r="74" spans="1:67" s="297" customFormat="1" ht="14.45" customHeight="1">
      <c r="A74" s="297" t="s">
        <v>154</v>
      </c>
      <c r="B74" s="256"/>
      <c r="C74" s="247"/>
      <c r="D74" s="364">
        <v>30000</v>
      </c>
      <c r="E74" s="247" t="s">
        <v>248</v>
      </c>
      <c r="F74" s="346"/>
      <c r="G74" s="346"/>
      <c r="H74" s="346"/>
      <c r="I74" s="332"/>
      <c r="J74" s="332"/>
      <c r="K74" s="338"/>
      <c r="L74" s="338">
        <v>0</v>
      </c>
      <c r="M74" s="338">
        <v>0</v>
      </c>
      <c r="N74" s="338">
        <v>0</v>
      </c>
      <c r="O74" s="338">
        <v>0</v>
      </c>
      <c r="P74" s="338">
        <v>1</v>
      </c>
      <c r="Q74" s="333">
        <v>0</v>
      </c>
      <c r="R74" s="333">
        <v>0</v>
      </c>
      <c r="S74" s="333">
        <v>0</v>
      </c>
      <c r="T74" s="333">
        <v>0</v>
      </c>
      <c r="U74" s="333"/>
      <c r="V74" s="333"/>
      <c r="W74" s="333"/>
      <c r="X74" s="333"/>
      <c r="Y74" s="342">
        <f t="shared" si="581"/>
        <v>1</v>
      </c>
      <c r="Z74" s="247"/>
      <c r="AA74" s="247"/>
      <c r="AB74" s="244">
        <f t="shared" si="582"/>
        <v>0</v>
      </c>
      <c r="AC74" s="244">
        <f t="shared" si="583"/>
        <v>0</v>
      </c>
      <c r="AD74" s="244">
        <f t="shared" si="584"/>
        <v>0</v>
      </c>
      <c r="AE74" s="244">
        <f t="shared" si="585"/>
        <v>0</v>
      </c>
      <c r="AF74" s="244">
        <f t="shared" si="586"/>
        <v>0</v>
      </c>
      <c r="AG74" s="364">
        <f t="shared" si="587"/>
        <v>0</v>
      </c>
      <c r="AH74" s="244">
        <f t="shared" si="588"/>
        <v>0</v>
      </c>
      <c r="AI74" s="364">
        <f t="shared" si="589"/>
        <v>0</v>
      </c>
      <c r="AJ74" s="244">
        <f t="shared" si="590"/>
        <v>0</v>
      </c>
      <c r="AK74" s="244">
        <f t="shared" si="591"/>
        <v>0</v>
      </c>
      <c r="AL74" s="244">
        <f t="shared" si="592"/>
        <v>30000</v>
      </c>
      <c r="AM74" s="244">
        <f t="shared" si="593"/>
        <v>0</v>
      </c>
      <c r="AN74" s="244">
        <f t="shared" si="594"/>
        <v>0</v>
      </c>
      <c r="AO74" s="244">
        <f t="shared" si="595"/>
        <v>0</v>
      </c>
      <c r="AP74" s="244">
        <f t="shared" si="596"/>
        <v>0</v>
      </c>
      <c r="AQ74" s="244">
        <f t="shared" si="597"/>
        <v>0</v>
      </c>
      <c r="AR74" s="244">
        <f t="shared" si="598"/>
        <v>0</v>
      </c>
      <c r="AS74" s="244">
        <f t="shared" si="599"/>
        <v>0</v>
      </c>
      <c r="AT74" s="244">
        <f t="shared" si="600"/>
        <v>0</v>
      </c>
      <c r="AU74" s="244"/>
      <c r="AV74" s="244">
        <f t="shared" si="509"/>
        <v>0</v>
      </c>
      <c r="AW74" s="244">
        <f t="shared" si="509"/>
        <v>0</v>
      </c>
      <c r="AX74" s="244">
        <f t="shared" si="509"/>
        <v>0</v>
      </c>
      <c r="AY74" s="244">
        <f t="shared" si="509"/>
        <v>0</v>
      </c>
      <c r="AZ74" s="244">
        <f t="shared" si="509"/>
        <v>0</v>
      </c>
      <c r="BA74" s="244">
        <f t="shared" si="509"/>
        <v>0</v>
      </c>
      <c r="BB74" s="244">
        <f t="shared" si="509"/>
        <v>0</v>
      </c>
      <c r="BC74" s="244">
        <f t="shared" si="509"/>
        <v>0</v>
      </c>
      <c r="BD74" s="244">
        <f t="shared" si="509"/>
        <v>0</v>
      </c>
      <c r="BE74" s="244">
        <f t="shared" si="509"/>
        <v>0</v>
      </c>
      <c r="BF74" s="244">
        <f t="shared" si="509"/>
        <v>0</v>
      </c>
      <c r="BG74" s="244">
        <f t="shared" si="509"/>
        <v>30000</v>
      </c>
      <c r="BH74" s="244">
        <f t="shared" si="509"/>
        <v>0</v>
      </c>
      <c r="BI74" s="244">
        <f t="shared" si="509"/>
        <v>0</v>
      </c>
      <c r="BJ74" s="244">
        <f t="shared" si="509"/>
        <v>0</v>
      </c>
      <c r="BK74" s="244">
        <f t="shared" si="509"/>
        <v>0</v>
      </c>
      <c r="BL74" s="244">
        <f t="shared" si="420"/>
        <v>0</v>
      </c>
      <c r="BM74" s="244">
        <f t="shared" si="420"/>
        <v>0</v>
      </c>
      <c r="BN74" s="244">
        <f t="shared" si="420"/>
        <v>0</v>
      </c>
      <c r="BO74" s="244">
        <f t="shared" si="601"/>
        <v>0</v>
      </c>
    </row>
    <row r="75" spans="1:67" s="297" customFormat="1" ht="14.45" customHeight="1">
      <c r="A75" s="297" t="s">
        <v>157</v>
      </c>
      <c r="B75" s="256"/>
      <c r="C75" s="247"/>
      <c r="D75" s="323">
        <v>120000</v>
      </c>
      <c r="E75" s="247" t="s">
        <v>233</v>
      </c>
      <c r="F75" s="346"/>
      <c r="G75" s="346"/>
      <c r="H75" s="346"/>
      <c r="I75" s="332"/>
      <c r="J75" s="332"/>
      <c r="K75" s="399">
        <v>0</v>
      </c>
      <c r="L75" s="399">
        <v>0</v>
      </c>
      <c r="M75" s="399">
        <v>0.08333333</v>
      </c>
      <c r="N75" s="399">
        <v>0.041666665</v>
      </c>
      <c r="O75" s="399">
        <v>0.08333333</v>
      </c>
      <c r="P75" s="399">
        <f>1/6</f>
        <v>0.16666666666666666</v>
      </c>
      <c r="Q75" s="399">
        <f>1/6</f>
        <v>0.16666666666666666</v>
      </c>
      <c r="R75" s="332"/>
      <c r="S75" s="338">
        <v>0.16666666666666666</v>
      </c>
      <c r="T75" s="399">
        <f>1-(M75+N75+O75+P75++Q75+S75)</f>
        <v>0.2916666750000001</v>
      </c>
      <c r="U75" s="399"/>
      <c r="V75" s="399"/>
      <c r="W75" s="399"/>
      <c r="X75" s="399"/>
      <c r="Y75" s="342">
        <f t="shared" si="581"/>
        <v>1</v>
      </c>
      <c r="Z75" s="247"/>
      <c r="AA75" s="247"/>
      <c r="AB75" s="244">
        <f t="shared" si="0"/>
        <v>0</v>
      </c>
      <c r="AC75" s="244">
        <f t="shared" si="1"/>
        <v>0</v>
      </c>
      <c r="AD75" s="244">
        <f t="shared" si="2"/>
        <v>0</v>
      </c>
      <c r="AE75" s="244">
        <f t="shared" si="3"/>
        <v>0</v>
      </c>
      <c r="AF75" s="244">
        <f aca="true" t="shared" si="602" ref="AF75:AF83">J75*$D75</f>
        <v>0</v>
      </c>
      <c r="AG75" s="244">
        <f t="shared" si="22"/>
        <v>0</v>
      </c>
      <c r="AH75" s="244">
        <f t="shared" si="23"/>
        <v>0</v>
      </c>
      <c r="AI75" s="244">
        <f t="shared" si="24"/>
        <v>9999.9996</v>
      </c>
      <c r="AJ75" s="364">
        <f t="shared" si="19"/>
        <v>4999.9998</v>
      </c>
      <c r="AK75" s="244">
        <f t="shared" si="20"/>
        <v>9999.9996</v>
      </c>
      <c r="AL75" s="244">
        <f t="shared" si="8"/>
        <v>20000</v>
      </c>
      <c r="AM75" s="244">
        <f t="shared" si="9"/>
        <v>20000</v>
      </c>
      <c r="AN75" s="244">
        <f t="shared" si="10"/>
        <v>0</v>
      </c>
      <c r="AO75" s="244">
        <f t="shared" si="11"/>
        <v>20000</v>
      </c>
      <c r="AP75" s="244">
        <f t="shared" si="12"/>
        <v>35000.00100000001</v>
      </c>
      <c r="AQ75" s="244">
        <f t="shared" si="352"/>
        <v>0</v>
      </c>
      <c r="AR75" s="244">
        <f t="shared" si="14"/>
        <v>0</v>
      </c>
      <c r="AS75" s="244">
        <f t="shared" si="15"/>
        <v>0</v>
      </c>
      <c r="AT75" s="244">
        <f t="shared" si="16"/>
        <v>0</v>
      </c>
      <c r="AU75" s="244"/>
      <c r="AV75" s="244">
        <f t="shared" si="353"/>
        <v>0</v>
      </c>
      <c r="AW75" s="244">
        <f t="shared" si="353"/>
        <v>0</v>
      </c>
      <c r="AX75" s="244">
        <f t="shared" si="353"/>
        <v>0</v>
      </c>
      <c r="AY75" s="244">
        <f t="shared" si="353"/>
        <v>0</v>
      </c>
      <c r="AZ75" s="244">
        <f t="shared" si="353"/>
        <v>0</v>
      </c>
      <c r="BA75" s="244">
        <f t="shared" si="353"/>
        <v>0</v>
      </c>
      <c r="BB75" s="244">
        <f t="shared" si="353"/>
        <v>0</v>
      </c>
      <c r="BC75" s="244">
        <f t="shared" si="353"/>
        <v>120000</v>
      </c>
      <c r="BD75" s="244">
        <f t="shared" si="353"/>
        <v>0</v>
      </c>
      <c r="BE75" s="244">
        <f t="shared" si="353"/>
        <v>0</v>
      </c>
      <c r="BF75" s="244">
        <f t="shared" si="353"/>
        <v>0</v>
      </c>
      <c r="BG75" s="244">
        <f t="shared" si="353"/>
        <v>0</v>
      </c>
      <c r="BH75" s="244">
        <f t="shared" si="353"/>
        <v>0</v>
      </c>
      <c r="BI75" s="244">
        <f t="shared" si="353"/>
        <v>0</v>
      </c>
      <c r="BJ75" s="244">
        <f t="shared" si="353"/>
        <v>0</v>
      </c>
      <c r="BK75" s="244">
        <f t="shared" si="420"/>
        <v>0</v>
      </c>
      <c r="BL75" s="244">
        <f t="shared" si="420"/>
        <v>0</v>
      </c>
      <c r="BM75" s="244">
        <f t="shared" si="420"/>
        <v>0</v>
      </c>
      <c r="BN75" s="244">
        <f t="shared" si="420"/>
        <v>0</v>
      </c>
      <c r="BO75" s="244">
        <f t="shared" si="601"/>
        <v>0</v>
      </c>
    </row>
    <row r="76" spans="1:67" s="297" customFormat="1" ht="14.45" customHeight="1">
      <c r="A76" s="297" t="s">
        <v>158</v>
      </c>
      <c r="B76" s="256"/>
      <c r="C76" s="247"/>
      <c r="D76" s="355">
        <v>7666.96</v>
      </c>
      <c r="E76" s="247" t="s">
        <v>207</v>
      </c>
      <c r="F76" s="347"/>
      <c r="G76" s="347">
        <v>1</v>
      </c>
      <c r="H76" s="347">
        <v>0</v>
      </c>
      <c r="I76" s="338">
        <v>0</v>
      </c>
      <c r="J76" s="332"/>
      <c r="K76" s="332"/>
      <c r="L76" s="332"/>
      <c r="M76" s="332"/>
      <c r="N76" s="332"/>
      <c r="O76" s="332"/>
      <c r="P76" s="332"/>
      <c r="Q76" s="332"/>
      <c r="R76" s="332"/>
      <c r="S76" s="332"/>
      <c r="T76" s="332"/>
      <c r="U76" s="332"/>
      <c r="V76" s="332"/>
      <c r="W76" s="332"/>
      <c r="X76" s="332"/>
      <c r="Y76" s="342">
        <f t="shared" si="581"/>
        <v>1</v>
      </c>
      <c r="Z76" s="247"/>
      <c r="AA76" s="247"/>
      <c r="AB76" s="244">
        <f t="shared" si="0"/>
        <v>0</v>
      </c>
      <c r="AC76" s="244">
        <f t="shared" si="1"/>
        <v>7666.96</v>
      </c>
      <c r="AD76" s="244">
        <f t="shared" si="2"/>
        <v>0</v>
      </c>
      <c r="AE76" s="244">
        <f t="shared" si="3"/>
        <v>0</v>
      </c>
      <c r="AF76" s="244">
        <f t="shared" si="602"/>
        <v>0</v>
      </c>
      <c r="AG76" s="244">
        <f t="shared" si="22"/>
        <v>0</v>
      </c>
      <c r="AH76" s="244">
        <f t="shared" si="23"/>
        <v>0</v>
      </c>
      <c r="AI76" s="244">
        <f t="shared" si="24"/>
        <v>0</v>
      </c>
      <c r="AJ76" s="364">
        <f t="shared" si="19"/>
        <v>0</v>
      </c>
      <c r="AK76" s="244">
        <f t="shared" si="20"/>
        <v>0</v>
      </c>
      <c r="AL76" s="244">
        <f t="shared" si="8"/>
        <v>0</v>
      </c>
      <c r="AM76" s="244">
        <f t="shared" si="9"/>
        <v>0</v>
      </c>
      <c r="AN76" s="244">
        <f t="shared" si="10"/>
        <v>0</v>
      </c>
      <c r="AO76" s="244">
        <f t="shared" si="11"/>
        <v>0</v>
      </c>
      <c r="AP76" s="244">
        <f t="shared" si="12"/>
        <v>0</v>
      </c>
      <c r="AQ76" s="244">
        <f t="shared" si="352"/>
        <v>0</v>
      </c>
      <c r="AR76" s="244">
        <f t="shared" si="14"/>
        <v>0</v>
      </c>
      <c r="AS76" s="244">
        <f t="shared" si="15"/>
        <v>0</v>
      </c>
      <c r="AT76" s="244">
        <f t="shared" si="16"/>
        <v>0</v>
      </c>
      <c r="AU76" s="244"/>
      <c r="AV76" s="244">
        <f t="shared" si="353"/>
        <v>0</v>
      </c>
      <c r="AW76" s="244">
        <f t="shared" si="353"/>
        <v>7666.96</v>
      </c>
      <c r="AX76" s="244">
        <f t="shared" si="353"/>
        <v>0</v>
      </c>
      <c r="AY76" s="244">
        <f t="shared" si="353"/>
        <v>0</v>
      </c>
      <c r="AZ76" s="244">
        <f t="shared" si="353"/>
        <v>0</v>
      </c>
      <c r="BA76" s="244">
        <f t="shared" si="353"/>
        <v>0</v>
      </c>
      <c r="BB76" s="244">
        <f t="shared" si="353"/>
        <v>0</v>
      </c>
      <c r="BC76" s="244">
        <f t="shared" si="353"/>
        <v>0</v>
      </c>
      <c r="BD76" s="244">
        <f t="shared" si="353"/>
        <v>0</v>
      </c>
      <c r="BE76" s="244">
        <f t="shared" si="353"/>
        <v>0</v>
      </c>
      <c r="BF76" s="244">
        <f t="shared" si="353"/>
        <v>0</v>
      </c>
      <c r="BG76" s="244">
        <f t="shared" si="353"/>
        <v>0</v>
      </c>
      <c r="BH76" s="244">
        <f t="shared" si="353"/>
        <v>0</v>
      </c>
      <c r="BI76" s="244">
        <f t="shared" si="353"/>
        <v>0</v>
      </c>
      <c r="BJ76" s="244">
        <f t="shared" si="353"/>
        <v>0</v>
      </c>
      <c r="BK76" s="244">
        <f t="shared" si="420"/>
        <v>0</v>
      </c>
      <c r="BL76" s="244">
        <f t="shared" si="420"/>
        <v>0</v>
      </c>
      <c r="BM76" s="244">
        <f t="shared" si="420"/>
        <v>0</v>
      </c>
      <c r="BN76" s="244">
        <f t="shared" si="420"/>
        <v>0</v>
      </c>
      <c r="BO76" s="244">
        <f t="shared" si="601"/>
        <v>0</v>
      </c>
    </row>
    <row r="77" spans="1:67" s="297" customFormat="1" ht="14.45" customHeight="1">
      <c r="A77" s="297" t="s">
        <v>158</v>
      </c>
      <c r="B77" s="256"/>
      <c r="C77" s="247"/>
      <c r="D77" s="355">
        <v>1124.38</v>
      </c>
      <c r="E77" s="247" t="s">
        <v>179</v>
      </c>
      <c r="F77" s="347"/>
      <c r="G77" s="347">
        <v>0</v>
      </c>
      <c r="H77" s="347">
        <v>0</v>
      </c>
      <c r="I77" s="338">
        <v>1</v>
      </c>
      <c r="J77" s="332"/>
      <c r="K77" s="332"/>
      <c r="L77" s="332"/>
      <c r="M77" s="332"/>
      <c r="N77" s="332"/>
      <c r="O77" s="332"/>
      <c r="P77" s="332"/>
      <c r="Q77" s="332"/>
      <c r="R77" s="332"/>
      <c r="S77" s="332"/>
      <c r="T77" s="332"/>
      <c r="U77" s="332"/>
      <c r="V77" s="332"/>
      <c r="W77" s="332"/>
      <c r="X77" s="332"/>
      <c r="Y77" s="342">
        <f t="shared" si="581"/>
        <v>1</v>
      </c>
      <c r="Z77" s="247"/>
      <c r="AA77" s="247"/>
      <c r="AB77" s="244">
        <f aca="true" t="shared" si="603" ref="AB77">F77*$D77</f>
        <v>0</v>
      </c>
      <c r="AC77" s="244">
        <f aca="true" t="shared" si="604" ref="AC77">G77*$D77</f>
        <v>0</v>
      </c>
      <c r="AD77" s="244">
        <f aca="true" t="shared" si="605" ref="AD77">H77*$D77</f>
        <v>0</v>
      </c>
      <c r="AE77" s="244">
        <f aca="true" t="shared" si="606" ref="AE77">I77*$D77</f>
        <v>1124.38</v>
      </c>
      <c r="AF77" s="244">
        <f t="shared" si="602"/>
        <v>0</v>
      </c>
      <c r="AG77" s="244">
        <f aca="true" t="shared" si="607" ref="AG77">K77*$D77</f>
        <v>0</v>
      </c>
      <c r="AH77" s="244">
        <f aca="true" t="shared" si="608" ref="AH77">L77*$D77</f>
        <v>0</v>
      </c>
      <c r="AI77" s="244">
        <f aca="true" t="shared" si="609" ref="AI77">M77*$D77</f>
        <v>0</v>
      </c>
      <c r="AJ77" s="364">
        <f aca="true" t="shared" si="610" ref="AJ77">N77*$D77</f>
        <v>0</v>
      </c>
      <c r="AK77" s="244">
        <f aca="true" t="shared" si="611" ref="AK77">O77*$D77</f>
        <v>0</v>
      </c>
      <c r="AL77" s="244">
        <f aca="true" t="shared" si="612" ref="AL77">P77*$D77</f>
        <v>0</v>
      </c>
      <c r="AM77" s="244">
        <f aca="true" t="shared" si="613" ref="AM77">Q77*$D77</f>
        <v>0</v>
      </c>
      <c r="AN77" s="244">
        <f aca="true" t="shared" si="614" ref="AN77">R77*$D77</f>
        <v>0</v>
      </c>
      <c r="AO77" s="244">
        <f aca="true" t="shared" si="615" ref="AO77">S77*$D77</f>
        <v>0</v>
      </c>
      <c r="AP77" s="244">
        <f aca="true" t="shared" si="616" ref="AP77">T77*$D77</f>
        <v>0</v>
      </c>
      <c r="AQ77" s="244">
        <f t="shared" si="352"/>
        <v>0</v>
      </c>
      <c r="AR77" s="244">
        <f t="shared" si="14"/>
        <v>0</v>
      </c>
      <c r="AS77" s="244">
        <f t="shared" si="15"/>
        <v>0</v>
      </c>
      <c r="AT77" s="244">
        <f t="shared" si="16"/>
        <v>0</v>
      </c>
      <c r="AU77" s="244"/>
      <c r="AV77" s="244">
        <f aca="true" t="shared" si="617" ref="AV77:BJ82">IF(AV$3=$E77,$D77,0)</f>
        <v>0</v>
      </c>
      <c r="AW77" s="244">
        <f t="shared" si="617"/>
        <v>0</v>
      </c>
      <c r="AX77" s="244">
        <f t="shared" si="617"/>
        <v>1124.38</v>
      </c>
      <c r="AY77" s="244">
        <f t="shared" si="617"/>
        <v>0</v>
      </c>
      <c r="AZ77" s="244">
        <f t="shared" si="617"/>
        <v>0</v>
      </c>
      <c r="BA77" s="244">
        <f t="shared" si="617"/>
        <v>0</v>
      </c>
      <c r="BB77" s="244">
        <f t="shared" si="617"/>
        <v>0</v>
      </c>
      <c r="BC77" s="244">
        <f t="shared" si="617"/>
        <v>0</v>
      </c>
      <c r="BD77" s="244">
        <f t="shared" si="617"/>
        <v>0</v>
      </c>
      <c r="BE77" s="244">
        <f t="shared" si="617"/>
        <v>0</v>
      </c>
      <c r="BF77" s="244">
        <f t="shared" si="617"/>
        <v>0</v>
      </c>
      <c r="BG77" s="244">
        <f t="shared" si="617"/>
        <v>0</v>
      </c>
      <c r="BH77" s="244">
        <f t="shared" si="617"/>
        <v>0</v>
      </c>
      <c r="BI77" s="244">
        <f t="shared" si="617"/>
        <v>0</v>
      </c>
      <c r="BJ77" s="244">
        <f t="shared" si="617"/>
        <v>0</v>
      </c>
      <c r="BK77" s="244">
        <f t="shared" si="420"/>
        <v>0</v>
      </c>
      <c r="BL77" s="244">
        <f t="shared" si="420"/>
        <v>0</v>
      </c>
      <c r="BM77" s="244">
        <f t="shared" si="420"/>
        <v>0</v>
      </c>
      <c r="BN77" s="244">
        <f t="shared" si="420"/>
        <v>0</v>
      </c>
      <c r="BO77" s="244">
        <f t="shared" si="601"/>
        <v>0</v>
      </c>
    </row>
    <row r="78" spans="1:67" s="297" customFormat="1" ht="14.45" customHeight="1">
      <c r="A78" s="297" t="s">
        <v>158</v>
      </c>
      <c r="B78" s="256"/>
      <c r="C78" s="247"/>
      <c r="D78" s="355">
        <v>7000</v>
      </c>
      <c r="E78" s="247" t="s">
        <v>258</v>
      </c>
      <c r="F78" s="347"/>
      <c r="G78" s="347">
        <v>0</v>
      </c>
      <c r="H78" s="347">
        <v>0</v>
      </c>
      <c r="I78" s="338">
        <v>0</v>
      </c>
      <c r="J78" s="332"/>
      <c r="K78" s="332"/>
      <c r="L78" s="332">
        <v>0</v>
      </c>
      <c r="M78" s="332">
        <v>0</v>
      </c>
      <c r="N78" s="332">
        <v>0</v>
      </c>
      <c r="O78" s="399">
        <v>1</v>
      </c>
      <c r="P78" s="332"/>
      <c r="Q78" s="332"/>
      <c r="R78" s="332"/>
      <c r="S78" s="332"/>
      <c r="T78" s="332"/>
      <c r="U78" s="332"/>
      <c r="V78" s="332"/>
      <c r="W78" s="332"/>
      <c r="X78" s="332"/>
      <c r="Y78" s="342">
        <f aca="true" t="shared" si="618" ref="Y78">SUM(F78:X78)</f>
        <v>1</v>
      </c>
      <c r="Z78" s="247"/>
      <c r="AA78" s="247"/>
      <c r="AB78" s="244">
        <f aca="true" t="shared" si="619" ref="AB78">F78*$D78</f>
        <v>0</v>
      </c>
      <c r="AC78" s="244">
        <f aca="true" t="shared" si="620" ref="AC78">G78*$D78</f>
        <v>0</v>
      </c>
      <c r="AD78" s="244">
        <f aca="true" t="shared" si="621" ref="AD78">H78*$D78</f>
        <v>0</v>
      </c>
      <c r="AE78" s="244">
        <f aca="true" t="shared" si="622" ref="AE78">I78*$D78</f>
        <v>0</v>
      </c>
      <c r="AF78" s="244">
        <f aca="true" t="shared" si="623" ref="AF78">J78*$D78</f>
        <v>0</v>
      </c>
      <c r="AG78" s="244">
        <f aca="true" t="shared" si="624" ref="AG78">K78*$D78</f>
        <v>0</v>
      </c>
      <c r="AH78" s="244">
        <f aca="true" t="shared" si="625" ref="AH78">L78*$D78</f>
        <v>0</v>
      </c>
      <c r="AI78" s="244">
        <f aca="true" t="shared" si="626" ref="AI78">M78*$D78</f>
        <v>0</v>
      </c>
      <c r="AJ78" s="364">
        <f aca="true" t="shared" si="627" ref="AJ78">N78*$D78</f>
        <v>0</v>
      </c>
      <c r="AK78" s="244">
        <f aca="true" t="shared" si="628" ref="AK78">O78*$D78</f>
        <v>7000</v>
      </c>
      <c r="AL78" s="244">
        <f aca="true" t="shared" si="629" ref="AL78">P78*$D78</f>
        <v>0</v>
      </c>
      <c r="AM78" s="244">
        <f aca="true" t="shared" si="630" ref="AM78">Q78*$D78</f>
        <v>0</v>
      </c>
      <c r="AN78" s="244">
        <f aca="true" t="shared" si="631" ref="AN78">R78*$D78</f>
        <v>0</v>
      </c>
      <c r="AO78" s="244">
        <f aca="true" t="shared" si="632" ref="AO78">S78*$D78</f>
        <v>0</v>
      </c>
      <c r="AP78" s="244">
        <f aca="true" t="shared" si="633" ref="AP78">T78*$D78</f>
        <v>0</v>
      </c>
      <c r="AQ78" s="244">
        <f aca="true" t="shared" si="634" ref="AQ78">U78*$D78</f>
        <v>0</v>
      </c>
      <c r="AR78" s="244">
        <f aca="true" t="shared" si="635" ref="AR78">V78*$D78</f>
        <v>0</v>
      </c>
      <c r="AS78" s="244">
        <f aca="true" t="shared" si="636" ref="AS78">W78*$D78</f>
        <v>0</v>
      </c>
      <c r="AT78" s="244">
        <f aca="true" t="shared" si="637" ref="AT78">X78*$D78</f>
        <v>0</v>
      </c>
      <c r="AU78" s="244"/>
      <c r="AV78" s="244">
        <f t="shared" si="617"/>
        <v>0</v>
      </c>
      <c r="AW78" s="244">
        <f t="shared" si="617"/>
        <v>0</v>
      </c>
      <c r="AX78" s="244">
        <f t="shared" si="617"/>
        <v>0</v>
      </c>
      <c r="AY78" s="244">
        <f t="shared" si="617"/>
        <v>0</v>
      </c>
      <c r="AZ78" s="244">
        <f t="shared" si="617"/>
        <v>0</v>
      </c>
      <c r="BA78" s="244">
        <f t="shared" si="617"/>
        <v>0</v>
      </c>
      <c r="BB78" s="244">
        <f t="shared" si="617"/>
        <v>0</v>
      </c>
      <c r="BC78" s="244">
        <f t="shared" si="617"/>
        <v>0</v>
      </c>
      <c r="BD78" s="244">
        <f t="shared" si="617"/>
        <v>0</v>
      </c>
      <c r="BE78" s="244">
        <f t="shared" si="617"/>
        <v>7000</v>
      </c>
      <c r="BF78" s="244">
        <f t="shared" si="617"/>
        <v>0</v>
      </c>
      <c r="BG78" s="244">
        <f t="shared" si="617"/>
        <v>0</v>
      </c>
      <c r="BH78" s="244">
        <f t="shared" si="617"/>
        <v>0</v>
      </c>
      <c r="BI78" s="244">
        <f t="shared" si="617"/>
        <v>0</v>
      </c>
      <c r="BJ78" s="244">
        <f t="shared" si="617"/>
        <v>0</v>
      </c>
      <c r="BK78" s="244">
        <f t="shared" si="420"/>
        <v>0</v>
      </c>
      <c r="BL78" s="244">
        <f t="shared" si="420"/>
        <v>0</v>
      </c>
      <c r="BM78" s="244">
        <f t="shared" si="420"/>
        <v>0</v>
      </c>
      <c r="BN78" s="244">
        <f t="shared" si="420"/>
        <v>0</v>
      </c>
      <c r="BO78" s="244">
        <f aca="true" t="shared" si="638" ref="BO78">SUM(AB78:AT78)-SUM(AV78:BN78)</f>
        <v>0</v>
      </c>
    </row>
    <row r="79" spans="1:67" s="297" customFormat="1" ht="14.45" customHeight="1">
      <c r="A79" s="297" t="s">
        <v>158</v>
      </c>
      <c r="B79" s="256"/>
      <c r="C79" s="247"/>
      <c r="D79" s="355">
        <v>1630</v>
      </c>
      <c r="E79" s="247" t="s">
        <v>208</v>
      </c>
      <c r="F79" s="347"/>
      <c r="G79" s="347">
        <v>0</v>
      </c>
      <c r="H79" s="347">
        <v>0</v>
      </c>
      <c r="I79" s="338">
        <v>0</v>
      </c>
      <c r="J79" s="338">
        <v>1</v>
      </c>
      <c r="K79" s="332"/>
      <c r="L79" s="332"/>
      <c r="M79" s="332"/>
      <c r="N79" s="332"/>
      <c r="O79" s="332"/>
      <c r="P79" s="332"/>
      <c r="Q79" s="332"/>
      <c r="R79" s="332"/>
      <c r="S79" s="332"/>
      <c r="T79" s="332"/>
      <c r="U79" s="332"/>
      <c r="V79" s="332"/>
      <c r="W79" s="332"/>
      <c r="X79" s="332"/>
      <c r="Y79" s="342">
        <f t="shared" si="581"/>
        <v>1</v>
      </c>
      <c r="Z79" s="405"/>
      <c r="AA79" s="247"/>
      <c r="AB79" s="244">
        <f aca="true" t="shared" si="639" ref="AB79">F79*$D79</f>
        <v>0</v>
      </c>
      <c r="AC79" s="244">
        <f aca="true" t="shared" si="640" ref="AC79">G79*$D79</f>
        <v>0</v>
      </c>
      <c r="AD79" s="244">
        <f aca="true" t="shared" si="641" ref="AD79">H79*$D79</f>
        <v>0</v>
      </c>
      <c r="AE79" s="244">
        <f aca="true" t="shared" si="642" ref="AE79">I79*$D79</f>
        <v>0</v>
      </c>
      <c r="AF79" s="244">
        <f t="shared" si="602"/>
        <v>1630</v>
      </c>
      <c r="AG79" s="244">
        <f aca="true" t="shared" si="643" ref="AG79">K79*$D79</f>
        <v>0</v>
      </c>
      <c r="AH79" s="244">
        <f aca="true" t="shared" si="644" ref="AH79">L79*$D79</f>
        <v>0</v>
      </c>
      <c r="AI79" s="244">
        <f aca="true" t="shared" si="645" ref="AI79">M79*$D79</f>
        <v>0</v>
      </c>
      <c r="AJ79" s="364">
        <f aca="true" t="shared" si="646" ref="AJ79">N79*$D79</f>
        <v>0</v>
      </c>
      <c r="AK79" s="244">
        <f aca="true" t="shared" si="647" ref="AK79">O79*$D79</f>
        <v>0</v>
      </c>
      <c r="AL79" s="244">
        <f aca="true" t="shared" si="648" ref="AL79">P79*$D79</f>
        <v>0</v>
      </c>
      <c r="AM79" s="244">
        <f aca="true" t="shared" si="649" ref="AM79">Q79*$D79</f>
        <v>0</v>
      </c>
      <c r="AN79" s="244">
        <f aca="true" t="shared" si="650" ref="AN79">R79*$D79</f>
        <v>0</v>
      </c>
      <c r="AO79" s="244">
        <f aca="true" t="shared" si="651" ref="AO79">S79*$D79</f>
        <v>0</v>
      </c>
      <c r="AP79" s="244">
        <f aca="true" t="shared" si="652" ref="AP79">T79*$D79</f>
        <v>0</v>
      </c>
      <c r="AQ79" s="244">
        <f t="shared" si="352"/>
        <v>0</v>
      </c>
      <c r="AR79" s="244">
        <f t="shared" si="14"/>
        <v>0</v>
      </c>
      <c r="AS79" s="244">
        <f t="shared" si="15"/>
        <v>0</v>
      </c>
      <c r="AT79" s="244">
        <f t="shared" si="16"/>
        <v>0</v>
      </c>
      <c r="AU79" s="244"/>
      <c r="AV79" s="244">
        <f t="shared" si="617"/>
        <v>0</v>
      </c>
      <c r="AW79" s="244">
        <f t="shared" si="617"/>
        <v>0</v>
      </c>
      <c r="AX79" s="244">
        <f t="shared" si="617"/>
        <v>0</v>
      </c>
      <c r="AY79" s="244">
        <f t="shared" si="617"/>
        <v>0</v>
      </c>
      <c r="AZ79" s="244">
        <f t="shared" si="617"/>
        <v>1630</v>
      </c>
      <c r="BA79" s="244">
        <f t="shared" si="617"/>
        <v>0</v>
      </c>
      <c r="BB79" s="244">
        <f t="shared" si="617"/>
        <v>0</v>
      </c>
      <c r="BC79" s="244">
        <f t="shared" si="617"/>
        <v>0</v>
      </c>
      <c r="BD79" s="244">
        <f t="shared" si="617"/>
        <v>0</v>
      </c>
      <c r="BE79" s="244">
        <f t="shared" si="617"/>
        <v>0</v>
      </c>
      <c r="BF79" s="244">
        <f t="shared" si="617"/>
        <v>0</v>
      </c>
      <c r="BG79" s="244">
        <f t="shared" si="617"/>
        <v>0</v>
      </c>
      <c r="BH79" s="244">
        <f t="shared" si="617"/>
        <v>0</v>
      </c>
      <c r="BI79" s="244">
        <f t="shared" si="617"/>
        <v>0</v>
      </c>
      <c r="BJ79" s="244">
        <f t="shared" si="617"/>
        <v>0</v>
      </c>
      <c r="BK79" s="244">
        <f t="shared" si="420"/>
        <v>0</v>
      </c>
      <c r="BL79" s="244">
        <f t="shared" si="420"/>
        <v>0</v>
      </c>
      <c r="BM79" s="244">
        <f t="shared" si="420"/>
        <v>0</v>
      </c>
      <c r="BN79" s="244">
        <f t="shared" si="420"/>
        <v>0</v>
      </c>
      <c r="BO79" s="244">
        <f t="shared" si="601"/>
        <v>0</v>
      </c>
    </row>
    <row r="80" spans="1:67" s="297" customFormat="1" ht="14.45" customHeight="1">
      <c r="A80" s="297" t="s">
        <v>158</v>
      </c>
      <c r="B80" s="256"/>
      <c r="C80" s="247"/>
      <c r="D80" s="355">
        <v>739.99</v>
      </c>
      <c r="E80" s="247" t="s">
        <v>181</v>
      </c>
      <c r="F80" s="347"/>
      <c r="G80" s="347">
        <v>0</v>
      </c>
      <c r="H80" s="347">
        <v>0</v>
      </c>
      <c r="I80" s="338">
        <v>0</v>
      </c>
      <c r="J80" s="332">
        <v>0</v>
      </c>
      <c r="K80" s="338">
        <v>1</v>
      </c>
      <c r="L80" s="338">
        <v>0</v>
      </c>
      <c r="M80" s="332"/>
      <c r="N80" s="332"/>
      <c r="O80" s="332"/>
      <c r="P80" s="332"/>
      <c r="Q80" s="332"/>
      <c r="R80" s="332"/>
      <c r="S80" s="332"/>
      <c r="T80" s="332"/>
      <c r="U80" s="332"/>
      <c r="V80" s="332"/>
      <c r="W80" s="332"/>
      <c r="X80" s="332"/>
      <c r="Y80" s="342">
        <f t="shared" si="581"/>
        <v>1</v>
      </c>
      <c r="Z80" s="247"/>
      <c r="AA80" s="247"/>
      <c r="AB80" s="244">
        <f aca="true" t="shared" si="653" ref="AB80">F80*$D80</f>
        <v>0</v>
      </c>
      <c r="AC80" s="244">
        <f aca="true" t="shared" si="654" ref="AC80">G80*$D80</f>
        <v>0</v>
      </c>
      <c r="AD80" s="244">
        <f aca="true" t="shared" si="655" ref="AD80">H80*$D80</f>
        <v>0</v>
      </c>
      <c r="AE80" s="244">
        <v>0</v>
      </c>
      <c r="AF80" s="244">
        <f t="shared" si="602"/>
        <v>0</v>
      </c>
      <c r="AG80" s="244">
        <f aca="true" t="shared" si="656" ref="AG80">K80*$D80</f>
        <v>739.99</v>
      </c>
      <c r="AH80" s="244">
        <f aca="true" t="shared" si="657" ref="AH80">L80*$D80</f>
        <v>0</v>
      </c>
      <c r="AI80" s="244">
        <f aca="true" t="shared" si="658" ref="AI80">M80*$D80</f>
        <v>0</v>
      </c>
      <c r="AJ80" s="364">
        <f aca="true" t="shared" si="659" ref="AJ80">N80*$D80</f>
        <v>0</v>
      </c>
      <c r="AK80" s="244">
        <f aca="true" t="shared" si="660" ref="AK80">O80*$D80</f>
        <v>0</v>
      </c>
      <c r="AL80" s="244">
        <f aca="true" t="shared" si="661" ref="AL80">P80*$D80</f>
        <v>0</v>
      </c>
      <c r="AM80" s="244">
        <f aca="true" t="shared" si="662" ref="AM80">Q80*$D80</f>
        <v>0</v>
      </c>
      <c r="AN80" s="244">
        <f aca="true" t="shared" si="663" ref="AN80">R80*$D80</f>
        <v>0</v>
      </c>
      <c r="AO80" s="244">
        <f aca="true" t="shared" si="664" ref="AO80">S80*$D80</f>
        <v>0</v>
      </c>
      <c r="AP80" s="244">
        <f aca="true" t="shared" si="665" ref="AP80">T80*$D80</f>
        <v>0</v>
      </c>
      <c r="AQ80" s="244">
        <f t="shared" si="352"/>
        <v>0</v>
      </c>
      <c r="AR80" s="244">
        <f t="shared" si="14"/>
        <v>0</v>
      </c>
      <c r="AS80" s="244">
        <f t="shared" si="15"/>
        <v>0</v>
      </c>
      <c r="AT80" s="244">
        <f t="shared" si="16"/>
        <v>0</v>
      </c>
      <c r="AU80" s="244"/>
      <c r="AV80" s="244">
        <f t="shared" si="617"/>
        <v>0</v>
      </c>
      <c r="AW80" s="244">
        <f t="shared" si="617"/>
        <v>0</v>
      </c>
      <c r="AX80" s="244">
        <f t="shared" si="617"/>
        <v>0</v>
      </c>
      <c r="AY80" s="244">
        <f t="shared" si="617"/>
        <v>0</v>
      </c>
      <c r="AZ80" s="244">
        <f t="shared" si="617"/>
        <v>0</v>
      </c>
      <c r="BA80" s="244">
        <f t="shared" si="617"/>
        <v>739.99</v>
      </c>
      <c r="BB80" s="244">
        <f t="shared" si="617"/>
        <v>0</v>
      </c>
      <c r="BC80" s="244">
        <f t="shared" si="617"/>
        <v>0</v>
      </c>
      <c r="BD80" s="244">
        <f t="shared" si="617"/>
        <v>0</v>
      </c>
      <c r="BE80" s="244">
        <f t="shared" si="617"/>
        <v>0</v>
      </c>
      <c r="BF80" s="244">
        <f t="shared" si="617"/>
        <v>0</v>
      </c>
      <c r="BG80" s="244">
        <f t="shared" si="617"/>
        <v>0</v>
      </c>
      <c r="BH80" s="244">
        <f t="shared" si="617"/>
        <v>0</v>
      </c>
      <c r="BI80" s="244">
        <f t="shared" si="617"/>
        <v>0</v>
      </c>
      <c r="BJ80" s="244">
        <f t="shared" si="617"/>
        <v>0</v>
      </c>
      <c r="BK80" s="244">
        <f t="shared" si="420"/>
        <v>0</v>
      </c>
      <c r="BL80" s="244">
        <f t="shared" si="420"/>
        <v>0</v>
      </c>
      <c r="BM80" s="244">
        <f t="shared" si="420"/>
        <v>0</v>
      </c>
      <c r="BN80" s="244">
        <f t="shared" si="420"/>
        <v>0</v>
      </c>
      <c r="BO80" s="244">
        <f t="shared" si="601"/>
        <v>0</v>
      </c>
    </row>
    <row r="81" spans="1:67" s="297" customFormat="1" ht="14.45" customHeight="1">
      <c r="A81" s="297" t="s">
        <v>158</v>
      </c>
      <c r="B81" s="256"/>
      <c r="C81" s="247"/>
      <c r="D81" s="355">
        <v>505.16</v>
      </c>
      <c r="E81" s="247" t="s">
        <v>211</v>
      </c>
      <c r="F81" s="347"/>
      <c r="G81" s="347">
        <v>0</v>
      </c>
      <c r="H81" s="347">
        <v>0</v>
      </c>
      <c r="I81" s="338">
        <v>1</v>
      </c>
      <c r="J81" s="333">
        <v>0</v>
      </c>
      <c r="K81" s="338">
        <v>0</v>
      </c>
      <c r="L81" s="338">
        <v>0</v>
      </c>
      <c r="M81" s="332"/>
      <c r="N81" s="332"/>
      <c r="O81" s="332"/>
      <c r="P81" s="332"/>
      <c r="Q81" s="332"/>
      <c r="R81" s="332"/>
      <c r="S81" s="332"/>
      <c r="T81" s="332"/>
      <c r="U81" s="332"/>
      <c r="V81" s="332"/>
      <c r="W81" s="332"/>
      <c r="X81" s="332"/>
      <c r="Y81" s="342">
        <f t="shared" si="581"/>
        <v>1</v>
      </c>
      <c r="Z81" s="247"/>
      <c r="AA81" s="247"/>
      <c r="AB81" s="244">
        <f aca="true" t="shared" si="666" ref="AB81">F81*$D81</f>
        <v>0</v>
      </c>
      <c r="AC81" s="244">
        <f aca="true" t="shared" si="667" ref="AC81">G81*$D81</f>
        <v>0</v>
      </c>
      <c r="AD81" s="244">
        <f aca="true" t="shared" si="668" ref="AD81">H81*$D81</f>
        <v>0</v>
      </c>
      <c r="AE81" s="244">
        <f aca="true" t="shared" si="669" ref="AE81">I81*$D81</f>
        <v>505.16</v>
      </c>
      <c r="AF81" s="244">
        <f t="shared" si="602"/>
        <v>0</v>
      </c>
      <c r="AG81" s="244">
        <f aca="true" t="shared" si="670" ref="AG81">K81*$D81</f>
        <v>0</v>
      </c>
      <c r="AH81" s="244">
        <f aca="true" t="shared" si="671" ref="AH81">L81*$D81</f>
        <v>0</v>
      </c>
      <c r="AI81" s="244">
        <f aca="true" t="shared" si="672" ref="AI81">M81*$D81</f>
        <v>0</v>
      </c>
      <c r="AJ81" s="364">
        <f aca="true" t="shared" si="673" ref="AJ81">N81*$D81</f>
        <v>0</v>
      </c>
      <c r="AK81" s="244">
        <f aca="true" t="shared" si="674" ref="AK81">O81*$D81</f>
        <v>0</v>
      </c>
      <c r="AL81" s="244">
        <f aca="true" t="shared" si="675" ref="AL81">P81*$D81</f>
        <v>0</v>
      </c>
      <c r="AM81" s="244">
        <f aca="true" t="shared" si="676" ref="AM81">Q81*$D81</f>
        <v>0</v>
      </c>
      <c r="AN81" s="244">
        <f aca="true" t="shared" si="677" ref="AN81">R81*$D81</f>
        <v>0</v>
      </c>
      <c r="AO81" s="244">
        <f aca="true" t="shared" si="678" ref="AO81">S81*$D81</f>
        <v>0</v>
      </c>
      <c r="AP81" s="244">
        <f aca="true" t="shared" si="679" ref="AP81">T81*$D81</f>
        <v>0</v>
      </c>
      <c r="AQ81" s="244">
        <f t="shared" si="352"/>
        <v>0</v>
      </c>
      <c r="AR81" s="244">
        <f t="shared" si="14"/>
        <v>0</v>
      </c>
      <c r="AS81" s="244">
        <f t="shared" si="15"/>
        <v>0</v>
      </c>
      <c r="AT81" s="244">
        <f t="shared" si="16"/>
        <v>0</v>
      </c>
      <c r="AU81" s="244"/>
      <c r="AV81" s="244">
        <f t="shared" si="617"/>
        <v>0</v>
      </c>
      <c r="AW81" s="244">
        <f t="shared" si="617"/>
        <v>0</v>
      </c>
      <c r="AX81" s="244">
        <f t="shared" si="617"/>
        <v>0</v>
      </c>
      <c r="AY81" s="244">
        <f t="shared" si="617"/>
        <v>505.16</v>
      </c>
      <c r="AZ81" s="244">
        <f t="shared" si="617"/>
        <v>0</v>
      </c>
      <c r="BA81" s="244">
        <f t="shared" si="617"/>
        <v>0</v>
      </c>
      <c r="BB81" s="244">
        <f t="shared" si="617"/>
        <v>0</v>
      </c>
      <c r="BC81" s="244">
        <f t="shared" si="617"/>
        <v>0</v>
      </c>
      <c r="BD81" s="244">
        <f t="shared" si="617"/>
        <v>0</v>
      </c>
      <c r="BE81" s="244">
        <f t="shared" si="617"/>
        <v>0</v>
      </c>
      <c r="BF81" s="244">
        <f t="shared" si="617"/>
        <v>0</v>
      </c>
      <c r="BG81" s="244">
        <f t="shared" si="617"/>
        <v>0</v>
      </c>
      <c r="BH81" s="244">
        <f t="shared" si="617"/>
        <v>0</v>
      </c>
      <c r="BI81" s="244">
        <f t="shared" si="617"/>
        <v>0</v>
      </c>
      <c r="BJ81" s="244">
        <f t="shared" si="617"/>
        <v>0</v>
      </c>
      <c r="BK81" s="244">
        <f t="shared" si="420"/>
        <v>0</v>
      </c>
      <c r="BL81" s="244">
        <f t="shared" si="420"/>
        <v>0</v>
      </c>
      <c r="BM81" s="244">
        <f t="shared" si="420"/>
        <v>0</v>
      </c>
      <c r="BN81" s="244">
        <f t="shared" si="420"/>
        <v>0</v>
      </c>
      <c r="BO81" s="244">
        <f t="shared" si="601"/>
        <v>0</v>
      </c>
    </row>
    <row r="82" spans="1:67" s="297" customFormat="1" ht="14.45" customHeight="1">
      <c r="A82" s="297" t="s">
        <v>158</v>
      </c>
      <c r="B82" s="256"/>
      <c r="C82" s="247"/>
      <c r="D82" s="355">
        <v>1232.14</v>
      </c>
      <c r="E82" s="247" t="s">
        <v>181</v>
      </c>
      <c r="F82" s="347"/>
      <c r="G82" s="347">
        <v>0</v>
      </c>
      <c r="H82" s="347">
        <v>0</v>
      </c>
      <c r="I82" s="338">
        <v>0</v>
      </c>
      <c r="J82" s="333">
        <v>0</v>
      </c>
      <c r="K82" s="338">
        <v>1</v>
      </c>
      <c r="L82" s="338">
        <v>0</v>
      </c>
      <c r="M82" s="332"/>
      <c r="N82" s="332"/>
      <c r="O82" s="332"/>
      <c r="P82" s="332"/>
      <c r="Q82" s="332"/>
      <c r="R82" s="332"/>
      <c r="S82" s="332"/>
      <c r="T82" s="332"/>
      <c r="U82" s="332"/>
      <c r="V82" s="332"/>
      <c r="W82" s="332"/>
      <c r="X82" s="332"/>
      <c r="Y82" s="342">
        <f t="shared" si="581"/>
        <v>1</v>
      </c>
      <c r="Z82" s="247"/>
      <c r="AA82" s="247"/>
      <c r="AB82" s="244">
        <f aca="true" t="shared" si="680" ref="AB82">F82*$D82</f>
        <v>0</v>
      </c>
      <c r="AC82" s="244">
        <f aca="true" t="shared" si="681" ref="AC82">G82*$D82</f>
        <v>0</v>
      </c>
      <c r="AD82" s="244">
        <f aca="true" t="shared" si="682" ref="AD82">H82*$D82</f>
        <v>0</v>
      </c>
      <c r="AE82" s="244">
        <f aca="true" t="shared" si="683" ref="AE82">I82*$D82</f>
        <v>0</v>
      </c>
      <c r="AF82" s="244">
        <f t="shared" si="602"/>
        <v>0</v>
      </c>
      <c r="AG82" s="244">
        <f aca="true" t="shared" si="684" ref="AG82">K82*$D82</f>
        <v>1232.14</v>
      </c>
      <c r="AH82" s="244">
        <f aca="true" t="shared" si="685" ref="AH82">L82*$D82</f>
        <v>0</v>
      </c>
      <c r="AI82" s="244">
        <f aca="true" t="shared" si="686" ref="AI82">M82*$D82</f>
        <v>0</v>
      </c>
      <c r="AJ82" s="364">
        <f aca="true" t="shared" si="687" ref="AJ82">N82*$D82</f>
        <v>0</v>
      </c>
      <c r="AK82" s="244">
        <f aca="true" t="shared" si="688" ref="AK82">O82*$D82</f>
        <v>0</v>
      </c>
      <c r="AL82" s="244">
        <f aca="true" t="shared" si="689" ref="AL82">P82*$D82</f>
        <v>0</v>
      </c>
      <c r="AM82" s="244">
        <f aca="true" t="shared" si="690" ref="AM82">Q82*$D82</f>
        <v>0</v>
      </c>
      <c r="AN82" s="244">
        <f aca="true" t="shared" si="691" ref="AN82">R82*$D82</f>
        <v>0</v>
      </c>
      <c r="AO82" s="244">
        <f aca="true" t="shared" si="692" ref="AO82">S82*$D82</f>
        <v>0</v>
      </c>
      <c r="AP82" s="244">
        <f aca="true" t="shared" si="693" ref="AP82">T82*$D82</f>
        <v>0</v>
      </c>
      <c r="AQ82" s="244">
        <f t="shared" si="352"/>
        <v>0</v>
      </c>
      <c r="AR82" s="244">
        <f aca="true" t="shared" si="694" ref="AR82:AR88">V82*$D82</f>
        <v>0</v>
      </c>
      <c r="AS82" s="244">
        <f aca="true" t="shared" si="695" ref="AS82:AS88">W82*$D82</f>
        <v>0</v>
      </c>
      <c r="AT82" s="244">
        <f aca="true" t="shared" si="696" ref="AT82:AT88">X82*$D82</f>
        <v>0</v>
      </c>
      <c r="AU82" s="244"/>
      <c r="AV82" s="244">
        <f t="shared" si="617"/>
        <v>0</v>
      </c>
      <c r="AW82" s="244">
        <f t="shared" si="617"/>
        <v>0</v>
      </c>
      <c r="AX82" s="244">
        <f t="shared" si="617"/>
        <v>0</v>
      </c>
      <c r="AY82" s="244">
        <f t="shared" si="617"/>
        <v>0</v>
      </c>
      <c r="AZ82" s="244">
        <f t="shared" si="617"/>
        <v>0</v>
      </c>
      <c r="BA82" s="244">
        <f t="shared" si="617"/>
        <v>1232.14</v>
      </c>
      <c r="BB82" s="244">
        <f t="shared" si="617"/>
        <v>0</v>
      </c>
      <c r="BC82" s="244">
        <f t="shared" si="617"/>
        <v>0</v>
      </c>
      <c r="BD82" s="244">
        <f t="shared" si="617"/>
        <v>0</v>
      </c>
      <c r="BE82" s="244">
        <f t="shared" si="617"/>
        <v>0</v>
      </c>
      <c r="BF82" s="244">
        <f t="shared" si="617"/>
        <v>0</v>
      </c>
      <c r="BG82" s="244">
        <f t="shared" si="617"/>
        <v>0</v>
      </c>
      <c r="BH82" s="244">
        <f t="shared" si="617"/>
        <v>0</v>
      </c>
      <c r="BI82" s="244">
        <f t="shared" si="617"/>
        <v>0</v>
      </c>
      <c r="BJ82" s="244">
        <f t="shared" si="617"/>
        <v>0</v>
      </c>
      <c r="BK82" s="244">
        <f t="shared" si="420"/>
        <v>0</v>
      </c>
      <c r="BL82" s="244">
        <f t="shared" si="420"/>
        <v>0</v>
      </c>
      <c r="BM82" s="244">
        <f t="shared" si="420"/>
        <v>0</v>
      </c>
      <c r="BN82" s="244">
        <f t="shared" si="420"/>
        <v>0</v>
      </c>
      <c r="BO82" s="244">
        <f t="shared" si="601"/>
        <v>0</v>
      </c>
    </row>
    <row r="83" spans="1:67" s="297" customFormat="1" ht="14.45" customHeight="1">
      <c r="A83" s="297" t="s">
        <v>158</v>
      </c>
      <c r="B83" s="256"/>
      <c r="C83" s="247"/>
      <c r="D83" s="355">
        <v>1071.43</v>
      </c>
      <c r="E83" s="247" t="s">
        <v>207</v>
      </c>
      <c r="F83" s="347"/>
      <c r="G83" s="347">
        <v>0.25</v>
      </c>
      <c r="H83" s="347">
        <v>0.25</v>
      </c>
      <c r="I83" s="338">
        <v>0.25</v>
      </c>
      <c r="J83" s="338">
        <v>0.25</v>
      </c>
      <c r="K83" s="338">
        <v>0</v>
      </c>
      <c r="L83" s="332"/>
      <c r="M83" s="332"/>
      <c r="N83" s="332"/>
      <c r="O83" s="332"/>
      <c r="P83" s="332"/>
      <c r="Q83" s="332"/>
      <c r="R83" s="332"/>
      <c r="S83" s="332"/>
      <c r="T83" s="332"/>
      <c r="U83" s="332"/>
      <c r="V83" s="332"/>
      <c r="W83" s="332"/>
      <c r="X83" s="332"/>
      <c r="Y83" s="342">
        <f t="shared" si="581"/>
        <v>1</v>
      </c>
      <c r="Z83" s="247"/>
      <c r="AA83" s="247"/>
      <c r="AB83" s="244">
        <f aca="true" t="shared" si="697" ref="AB83">F83*$D83</f>
        <v>0</v>
      </c>
      <c r="AC83" s="244">
        <f aca="true" t="shared" si="698" ref="AC83">G83*$D83</f>
        <v>267.8575</v>
      </c>
      <c r="AD83" s="244">
        <f aca="true" t="shared" si="699" ref="AD83">H83*$D83</f>
        <v>267.8575</v>
      </c>
      <c r="AE83" s="244">
        <f aca="true" t="shared" si="700" ref="AE83">I83*$D83</f>
        <v>267.8575</v>
      </c>
      <c r="AF83" s="244">
        <f t="shared" si="602"/>
        <v>267.8575</v>
      </c>
      <c r="AG83" s="244">
        <f aca="true" t="shared" si="701" ref="AG83">K83*$D83</f>
        <v>0</v>
      </c>
      <c r="AH83" s="244">
        <f aca="true" t="shared" si="702" ref="AH83">L83*$D83</f>
        <v>0</v>
      </c>
      <c r="AI83" s="244">
        <f aca="true" t="shared" si="703" ref="AI83">M83*$D83</f>
        <v>0</v>
      </c>
      <c r="AJ83" s="364">
        <f aca="true" t="shared" si="704" ref="AJ83">N83*$D83</f>
        <v>0</v>
      </c>
      <c r="AK83" s="244">
        <f aca="true" t="shared" si="705" ref="AK83">O83*$D83</f>
        <v>0</v>
      </c>
      <c r="AL83" s="244">
        <f aca="true" t="shared" si="706" ref="AL83">P83*$D83</f>
        <v>0</v>
      </c>
      <c r="AM83" s="244">
        <f aca="true" t="shared" si="707" ref="AM83">Q83*$D83</f>
        <v>0</v>
      </c>
      <c r="AN83" s="244">
        <f aca="true" t="shared" si="708" ref="AN83">R83*$D83</f>
        <v>0</v>
      </c>
      <c r="AO83" s="244">
        <f aca="true" t="shared" si="709" ref="AO83">S83*$D83</f>
        <v>0</v>
      </c>
      <c r="AP83" s="244">
        <f aca="true" t="shared" si="710" ref="AP83">T83*$D83</f>
        <v>0</v>
      </c>
      <c r="AQ83" s="244">
        <f t="shared" si="352"/>
        <v>0</v>
      </c>
      <c r="AR83" s="244">
        <f t="shared" si="694"/>
        <v>0</v>
      </c>
      <c r="AS83" s="244">
        <f t="shared" si="695"/>
        <v>0</v>
      </c>
      <c r="AT83" s="244">
        <f t="shared" si="696"/>
        <v>0</v>
      </c>
      <c r="AU83" s="244"/>
      <c r="AV83" s="244">
        <f aca="true" t="shared" si="711" ref="AV83:BJ87">IF(AV$3=$E83,$D83,0)</f>
        <v>0</v>
      </c>
      <c r="AW83" s="244">
        <f t="shared" si="711"/>
        <v>1071.43</v>
      </c>
      <c r="AX83" s="244">
        <f t="shared" si="711"/>
        <v>0</v>
      </c>
      <c r="AY83" s="244">
        <f t="shared" si="711"/>
        <v>0</v>
      </c>
      <c r="AZ83" s="244">
        <f t="shared" si="711"/>
        <v>0</v>
      </c>
      <c r="BA83" s="244">
        <f t="shared" si="711"/>
        <v>0</v>
      </c>
      <c r="BB83" s="244">
        <f t="shared" si="711"/>
        <v>0</v>
      </c>
      <c r="BC83" s="244">
        <f t="shared" si="711"/>
        <v>0</v>
      </c>
      <c r="BD83" s="244">
        <f t="shared" si="711"/>
        <v>0</v>
      </c>
      <c r="BE83" s="244">
        <f t="shared" si="711"/>
        <v>0</v>
      </c>
      <c r="BF83" s="244">
        <f t="shared" si="711"/>
        <v>0</v>
      </c>
      <c r="BG83" s="244">
        <f t="shared" si="711"/>
        <v>0</v>
      </c>
      <c r="BH83" s="244">
        <f t="shared" si="711"/>
        <v>0</v>
      </c>
      <c r="BI83" s="244">
        <f t="shared" si="711"/>
        <v>0</v>
      </c>
      <c r="BJ83" s="244">
        <f t="shared" si="711"/>
        <v>0</v>
      </c>
      <c r="BK83" s="244">
        <f t="shared" si="420"/>
        <v>0</v>
      </c>
      <c r="BL83" s="244">
        <f t="shared" si="420"/>
        <v>0</v>
      </c>
      <c r="BM83" s="244">
        <f t="shared" si="420"/>
        <v>0</v>
      </c>
      <c r="BN83" s="244">
        <f t="shared" si="420"/>
        <v>0</v>
      </c>
      <c r="BO83" s="244">
        <f t="shared" si="601"/>
        <v>0</v>
      </c>
    </row>
    <row r="84" spans="1:67" s="297" customFormat="1" ht="14.45" customHeight="1">
      <c r="A84" s="297" t="s">
        <v>158</v>
      </c>
      <c r="B84" s="256"/>
      <c r="C84" s="247"/>
      <c r="D84" s="355">
        <v>982.1</v>
      </c>
      <c r="E84" s="247" t="s">
        <v>179</v>
      </c>
      <c r="F84" s="347"/>
      <c r="G84" s="347">
        <v>0</v>
      </c>
      <c r="H84" s="347">
        <v>0.18181818181818182</v>
      </c>
      <c r="I84" s="338">
        <v>0.2727272727272727</v>
      </c>
      <c r="J84" s="405">
        <v>0.2727272727272727</v>
      </c>
      <c r="K84" s="405">
        <v>0.2727272727272727</v>
      </c>
      <c r="L84" s="332"/>
      <c r="M84" s="332"/>
      <c r="N84" s="332"/>
      <c r="O84" s="332"/>
      <c r="P84" s="332"/>
      <c r="Q84" s="332"/>
      <c r="R84" s="332"/>
      <c r="S84" s="332"/>
      <c r="T84" s="332"/>
      <c r="U84" s="332"/>
      <c r="V84" s="332"/>
      <c r="W84" s="332"/>
      <c r="X84" s="332"/>
      <c r="Y84" s="342">
        <f t="shared" si="581"/>
        <v>1</v>
      </c>
      <c r="Z84" s="247"/>
      <c r="AA84" s="247"/>
      <c r="AB84" s="244">
        <f aca="true" t="shared" si="712" ref="AB84:AB87">F84*$D84</f>
        <v>0</v>
      </c>
      <c r="AC84" s="244">
        <f aca="true" t="shared" si="713" ref="AC84:AC87">G84*$D84</f>
        <v>0</v>
      </c>
      <c r="AD84" s="244">
        <f aca="true" t="shared" si="714" ref="AD84:AD87">H84*$D84</f>
        <v>178.56363636363636</v>
      </c>
      <c r="AE84" s="244">
        <f aca="true" t="shared" si="715" ref="AE84:AE87">I84*$D84</f>
        <v>267.8454545454545</v>
      </c>
      <c r="AF84" s="244">
        <f aca="true" t="shared" si="716" ref="AF84:AF87">J84*$D84</f>
        <v>267.8454545454545</v>
      </c>
      <c r="AG84" s="244">
        <f aca="true" t="shared" si="717" ref="AG84:AG87">K84*$D84</f>
        <v>267.8454545454545</v>
      </c>
      <c r="AH84" s="244">
        <f aca="true" t="shared" si="718" ref="AH84:AH87">L84*$D84</f>
        <v>0</v>
      </c>
      <c r="AI84" s="244">
        <f aca="true" t="shared" si="719" ref="AI84:AI87">M84*$D84</f>
        <v>0</v>
      </c>
      <c r="AJ84" s="364">
        <f aca="true" t="shared" si="720" ref="AJ84:AJ87">N84*$D84</f>
        <v>0</v>
      </c>
      <c r="AK84" s="244">
        <f aca="true" t="shared" si="721" ref="AK84:AK87">O84*$D84</f>
        <v>0</v>
      </c>
      <c r="AL84" s="244">
        <f aca="true" t="shared" si="722" ref="AL84:AL87">P84*$D84</f>
        <v>0</v>
      </c>
      <c r="AM84" s="244">
        <f aca="true" t="shared" si="723" ref="AM84:AM87">Q84*$D84</f>
        <v>0</v>
      </c>
      <c r="AN84" s="244">
        <f aca="true" t="shared" si="724" ref="AN84:AN87">R84*$D84</f>
        <v>0</v>
      </c>
      <c r="AO84" s="244">
        <f aca="true" t="shared" si="725" ref="AO84:AO87">S84*$D84</f>
        <v>0</v>
      </c>
      <c r="AP84" s="244">
        <f aca="true" t="shared" si="726" ref="AP84:AP87">T84*$D84</f>
        <v>0</v>
      </c>
      <c r="AQ84" s="244">
        <f t="shared" si="352"/>
        <v>0</v>
      </c>
      <c r="AR84" s="244">
        <f t="shared" si="694"/>
        <v>0</v>
      </c>
      <c r="AS84" s="244">
        <f t="shared" si="695"/>
        <v>0</v>
      </c>
      <c r="AT84" s="244">
        <f t="shared" si="696"/>
        <v>0</v>
      </c>
      <c r="AU84" s="244"/>
      <c r="AV84" s="244">
        <f t="shared" si="711"/>
        <v>0</v>
      </c>
      <c r="AW84" s="244">
        <f t="shared" si="711"/>
        <v>0</v>
      </c>
      <c r="AX84" s="244">
        <f t="shared" si="711"/>
        <v>982.1</v>
      </c>
      <c r="AY84" s="244">
        <f t="shared" si="711"/>
        <v>0</v>
      </c>
      <c r="AZ84" s="244">
        <f t="shared" si="711"/>
        <v>0</v>
      </c>
      <c r="BA84" s="244">
        <f t="shared" si="711"/>
        <v>0</v>
      </c>
      <c r="BB84" s="244">
        <f t="shared" si="711"/>
        <v>0</v>
      </c>
      <c r="BC84" s="244">
        <f t="shared" si="711"/>
        <v>0</v>
      </c>
      <c r="BD84" s="244">
        <f t="shared" si="711"/>
        <v>0</v>
      </c>
      <c r="BE84" s="244">
        <f t="shared" si="711"/>
        <v>0</v>
      </c>
      <c r="BF84" s="244">
        <f t="shared" si="711"/>
        <v>0</v>
      </c>
      <c r="BG84" s="244">
        <f t="shared" si="711"/>
        <v>0</v>
      </c>
      <c r="BH84" s="244">
        <f t="shared" si="711"/>
        <v>0</v>
      </c>
      <c r="BI84" s="244">
        <f t="shared" si="711"/>
        <v>0</v>
      </c>
      <c r="BJ84" s="244">
        <f t="shared" si="711"/>
        <v>0</v>
      </c>
      <c r="BK84" s="244">
        <f t="shared" si="420"/>
        <v>0</v>
      </c>
      <c r="BL84" s="244">
        <f t="shared" si="420"/>
        <v>0</v>
      </c>
      <c r="BM84" s="244">
        <f t="shared" si="420"/>
        <v>0</v>
      </c>
      <c r="BN84" s="244">
        <f t="shared" si="420"/>
        <v>0</v>
      </c>
      <c r="BO84" s="244">
        <f t="shared" si="601"/>
        <v>0</v>
      </c>
    </row>
    <row r="85" spans="1:67" s="297" customFormat="1" ht="14.45" customHeight="1">
      <c r="A85" s="297" t="s">
        <v>158</v>
      </c>
      <c r="B85" s="256"/>
      <c r="C85" s="247"/>
      <c r="D85" s="355">
        <v>982.15</v>
      </c>
      <c r="E85" s="247" t="s">
        <v>181</v>
      </c>
      <c r="F85" s="347"/>
      <c r="G85" s="347">
        <v>0</v>
      </c>
      <c r="H85" s="347">
        <v>0</v>
      </c>
      <c r="I85" s="347">
        <v>0</v>
      </c>
      <c r="J85" s="347"/>
      <c r="K85" s="347">
        <v>0.27271801659624295</v>
      </c>
      <c r="L85" s="347">
        <v>0.2727383800845085</v>
      </c>
      <c r="M85" s="347">
        <v>0.09091279336150283</v>
      </c>
      <c r="N85" s="347">
        <v>0.36363080995774566</v>
      </c>
      <c r="O85" s="347">
        <v>0</v>
      </c>
      <c r="P85" s="347"/>
      <c r="Q85" s="332"/>
      <c r="R85" s="332"/>
      <c r="S85" s="332"/>
      <c r="T85" s="332"/>
      <c r="U85" s="332"/>
      <c r="V85" s="332"/>
      <c r="W85" s="332"/>
      <c r="X85" s="332"/>
      <c r="Y85" s="342">
        <f t="shared" si="581"/>
        <v>1</v>
      </c>
      <c r="Z85" s="247"/>
      <c r="AA85" s="247"/>
      <c r="AB85" s="244">
        <f t="shared" si="712"/>
        <v>0</v>
      </c>
      <c r="AC85" s="244">
        <f t="shared" si="713"/>
        <v>0</v>
      </c>
      <c r="AD85" s="244">
        <f t="shared" si="714"/>
        <v>0</v>
      </c>
      <c r="AE85" s="244">
        <f t="shared" si="715"/>
        <v>0</v>
      </c>
      <c r="AF85" s="244">
        <f t="shared" si="716"/>
        <v>0</v>
      </c>
      <c r="AG85" s="364">
        <f t="shared" si="717"/>
        <v>267.85</v>
      </c>
      <c r="AH85" s="364">
        <f t="shared" si="718"/>
        <v>267.87</v>
      </c>
      <c r="AI85" s="364">
        <f t="shared" si="719"/>
        <v>89.29</v>
      </c>
      <c r="AJ85" s="364">
        <f t="shared" si="720"/>
        <v>357.1399999999999</v>
      </c>
      <c r="AK85" s="364">
        <f t="shared" si="721"/>
        <v>0</v>
      </c>
      <c r="AL85" s="244">
        <f t="shared" si="722"/>
        <v>0</v>
      </c>
      <c r="AM85" s="244">
        <f t="shared" si="723"/>
        <v>0</v>
      </c>
      <c r="AN85" s="244">
        <f t="shared" si="724"/>
        <v>0</v>
      </c>
      <c r="AO85" s="244">
        <f t="shared" si="725"/>
        <v>0</v>
      </c>
      <c r="AP85" s="244">
        <f t="shared" si="726"/>
        <v>0</v>
      </c>
      <c r="AQ85" s="244">
        <f t="shared" si="352"/>
        <v>0</v>
      </c>
      <c r="AR85" s="244">
        <f t="shared" si="694"/>
        <v>0</v>
      </c>
      <c r="AS85" s="244">
        <f t="shared" si="695"/>
        <v>0</v>
      </c>
      <c r="AT85" s="244">
        <f t="shared" si="696"/>
        <v>0</v>
      </c>
      <c r="AU85" s="244"/>
      <c r="AV85" s="244">
        <f t="shared" si="711"/>
        <v>0</v>
      </c>
      <c r="AW85" s="244">
        <f t="shared" si="711"/>
        <v>0</v>
      </c>
      <c r="AX85" s="244">
        <f t="shared" si="711"/>
        <v>0</v>
      </c>
      <c r="AY85" s="244">
        <f t="shared" si="711"/>
        <v>0</v>
      </c>
      <c r="AZ85" s="244">
        <f t="shared" si="711"/>
        <v>0</v>
      </c>
      <c r="BA85" s="244">
        <f t="shared" si="711"/>
        <v>982.15</v>
      </c>
      <c r="BB85" s="244">
        <f t="shared" si="711"/>
        <v>0</v>
      </c>
      <c r="BC85" s="244">
        <f t="shared" si="711"/>
        <v>0</v>
      </c>
      <c r="BD85" s="244">
        <f t="shared" si="711"/>
        <v>0</v>
      </c>
      <c r="BE85" s="244">
        <f t="shared" si="711"/>
        <v>0</v>
      </c>
      <c r="BF85" s="244">
        <f t="shared" si="711"/>
        <v>0</v>
      </c>
      <c r="BG85" s="244">
        <f t="shared" si="711"/>
        <v>0</v>
      </c>
      <c r="BH85" s="244">
        <f t="shared" si="711"/>
        <v>0</v>
      </c>
      <c r="BI85" s="244">
        <f t="shared" si="711"/>
        <v>0</v>
      </c>
      <c r="BJ85" s="244">
        <f t="shared" si="711"/>
        <v>0</v>
      </c>
      <c r="BK85" s="244">
        <f t="shared" si="420"/>
        <v>0</v>
      </c>
      <c r="BL85" s="244">
        <f t="shared" si="420"/>
        <v>0</v>
      </c>
      <c r="BM85" s="244">
        <f t="shared" si="420"/>
        <v>0</v>
      </c>
      <c r="BN85" s="244">
        <f t="shared" si="420"/>
        <v>0</v>
      </c>
      <c r="BO85" s="244">
        <f t="shared" si="601"/>
        <v>0</v>
      </c>
    </row>
    <row r="86" spans="1:67" s="297" customFormat="1" ht="14.45" customHeight="1">
      <c r="A86" s="297" t="s">
        <v>158</v>
      </c>
      <c r="B86" s="256"/>
      <c r="C86" s="247"/>
      <c r="D86" s="355">
        <v>8640</v>
      </c>
      <c r="E86" s="247" t="s">
        <v>259</v>
      </c>
      <c r="F86" s="347"/>
      <c r="G86" s="347">
        <v>0</v>
      </c>
      <c r="H86" s="347">
        <v>0</v>
      </c>
      <c r="I86" s="347">
        <v>0</v>
      </c>
      <c r="J86" s="347"/>
      <c r="K86" s="347">
        <v>0</v>
      </c>
      <c r="L86" s="347">
        <v>0</v>
      </c>
      <c r="M86" s="347">
        <v>0</v>
      </c>
      <c r="N86" s="347">
        <v>0</v>
      </c>
      <c r="O86" s="347">
        <v>0.25</v>
      </c>
      <c r="P86" s="347">
        <v>0.25</v>
      </c>
      <c r="Q86" s="338">
        <v>0.25</v>
      </c>
      <c r="R86" s="338">
        <v>0.25</v>
      </c>
      <c r="S86" s="332"/>
      <c r="T86" s="332"/>
      <c r="U86" s="332"/>
      <c r="V86" s="332"/>
      <c r="W86" s="332"/>
      <c r="X86" s="332"/>
      <c r="Y86" s="342">
        <f aca="true" t="shared" si="727" ref="Y86">SUM(F86:X86)</f>
        <v>1</v>
      </c>
      <c r="Z86" s="247"/>
      <c r="AA86" s="247"/>
      <c r="AB86" s="244">
        <f aca="true" t="shared" si="728" ref="AB86">F86*$D86</f>
        <v>0</v>
      </c>
      <c r="AC86" s="244">
        <f aca="true" t="shared" si="729" ref="AC86">G86*$D86</f>
        <v>0</v>
      </c>
      <c r="AD86" s="244">
        <f aca="true" t="shared" si="730" ref="AD86">H86*$D86</f>
        <v>0</v>
      </c>
      <c r="AE86" s="244">
        <f aca="true" t="shared" si="731" ref="AE86">I86*$D86</f>
        <v>0</v>
      </c>
      <c r="AF86" s="244">
        <f aca="true" t="shared" si="732" ref="AF86">J86*$D86</f>
        <v>0</v>
      </c>
      <c r="AG86" s="364">
        <f aca="true" t="shared" si="733" ref="AG86">K86*$D86</f>
        <v>0</v>
      </c>
      <c r="AH86" s="364">
        <f aca="true" t="shared" si="734" ref="AH86">L86*$D86</f>
        <v>0</v>
      </c>
      <c r="AI86" s="364">
        <f aca="true" t="shared" si="735" ref="AI86">M86*$D86</f>
        <v>0</v>
      </c>
      <c r="AJ86" s="364">
        <f aca="true" t="shared" si="736" ref="AJ86">N86*$D86</f>
        <v>0</v>
      </c>
      <c r="AK86" s="364">
        <f aca="true" t="shared" si="737" ref="AK86">O86*$D86</f>
        <v>2160</v>
      </c>
      <c r="AL86" s="244">
        <f aca="true" t="shared" si="738" ref="AL86">P86*$D86</f>
        <v>2160</v>
      </c>
      <c r="AM86" s="244">
        <f aca="true" t="shared" si="739" ref="AM86">Q86*$D86</f>
        <v>2160</v>
      </c>
      <c r="AN86" s="244">
        <f aca="true" t="shared" si="740" ref="AN86">R86*$D86</f>
        <v>2160</v>
      </c>
      <c r="AO86" s="244">
        <f aca="true" t="shared" si="741" ref="AO86">S86*$D86</f>
        <v>0</v>
      </c>
      <c r="AP86" s="244">
        <f aca="true" t="shared" si="742" ref="AP86">T86*$D86</f>
        <v>0</v>
      </c>
      <c r="AQ86" s="244">
        <f aca="true" t="shared" si="743" ref="AQ86">U86*$D86</f>
        <v>0</v>
      </c>
      <c r="AR86" s="244">
        <f aca="true" t="shared" si="744" ref="AR86">V86*$D86</f>
        <v>0</v>
      </c>
      <c r="AS86" s="244">
        <f aca="true" t="shared" si="745" ref="AS86">W86*$D86</f>
        <v>0</v>
      </c>
      <c r="AT86" s="244">
        <f aca="true" t="shared" si="746" ref="AT86">X86*$D86</f>
        <v>0</v>
      </c>
      <c r="AU86" s="244"/>
      <c r="AV86" s="244">
        <f t="shared" si="711"/>
        <v>0</v>
      </c>
      <c r="AW86" s="244">
        <f t="shared" si="711"/>
        <v>0</v>
      </c>
      <c r="AX86" s="244">
        <f t="shared" si="711"/>
        <v>0</v>
      </c>
      <c r="AY86" s="244">
        <f t="shared" si="711"/>
        <v>0</v>
      </c>
      <c r="AZ86" s="244">
        <f t="shared" si="711"/>
        <v>0</v>
      </c>
      <c r="BA86" s="244">
        <f t="shared" si="711"/>
        <v>0</v>
      </c>
      <c r="BB86" s="244">
        <f t="shared" si="711"/>
        <v>0</v>
      </c>
      <c r="BC86" s="244">
        <f t="shared" si="711"/>
        <v>0</v>
      </c>
      <c r="BD86" s="244">
        <f t="shared" si="711"/>
        <v>8640</v>
      </c>
      <c r="BE86" s="244">
        <f t="shared" si="711"/>
        <v>0</v>
      </c>
      <c r="BF86" s="244">
        <f t="shared" si="711"/>
        <v>0</v>
      </c>
      <c r="BG86" s="244">
        <f t="shared" si="711"/>
        <v>0</v>
      </c>
      <c r="BH86" s="244">
        <f t="shared" si="711"/>
        <v>0</v>
      </c>
      <c r="BI86" s="244">
        <f t="shared" si="711"/>
        <v>0</v>
      </c>
      <c r="BJ86" s="244">
        <f t="shared" si="711"/>
        <v>0</v>
      </c>
      <c r="BK86" s="244">
        <f t="shared" si="420"/>
        <v>0</v>
      </c>
      <c r="BL86" s="244">
        <f t="shared" si="420"/>
        <v>0</v>
      </c>
      <c r="BM86" s="244">
        <f t="shared" si="420"/>
        <v>0</v>
      </c>
      <c r="BN86" s="244">
        <f t="shared" si="420"/>
        <v>0</v>
      </c>
      <c r="BO86" s="244">
        <f aca="true" t="shared" si="747" ref="BO86">SUM(AB86:AT86)-SUM(AV86:BN86)</f>
        <v>0</v>
      </c>
    </row>
    <row r="87" spans="1:67" s="297" customFormat="1" ht="14.45" customHeight="1">
      <c r="A87" s="297" t="s">
        <v>158</v>
      </c>
      <c r="B87" s="256"/>
      <c r="C87" s="247"/>
      <c r="D87" s="355">
        <v>714.25</v>
      </c>
      <c r="E87" s="247" t="s">
        <v>193</v>
      </c>
      <c r="F87" s="347"/>
      <c r="G87" s="347">
        <v>0</v>
      </c>
      <c r="H87" s="347">
        <v>0</v>
      </c>
      <c r="I87" s="347">
        <v>0</v>
      </c>
      <c r="J87" s="347"/>
      <c r="K87" s="347"/>
      <c r="L87" s="347">
        <v>0.3749947497374869</v>
      </c>
      <c r="M87" s="347">
        <v>0.12499824991249563</v>
      </c>
      <c r="N87" s="347">
        <v>0.5000070003500175</v>
      </c>
      <c r="O87" s="347">
        <v>0</v>
      </c>
      <c r="P87" s="347"/>
      <c r="Q87" s="332"/>
      <c r="R87" s="332"/>
      <c r="S87" s="332"/>
      <c r="T87" s="332"/>
      <c r="U87" s="332"/>
      <c r="V87" s="332"/>
      <c r="W87" s="332"/>
      <c r="X87" s="332"/>
      <c r="Y87" s="342">
        <f t="shared" si="581"/>
        <v>1</v>
      </c>
      <c r="Z87" s="247"/>
      <c r="AA87" s="247"/>
      <c r="AB87" s="244">
        <f t="shared" si="712"/>
        <v>0</v>
      </c>
      <c r="AC87" s="244">
        <f t="shared" si="713"/>
        <v>0</v>
      </c>
      <c r="AD87" s="244">
        <f t="shared" si="714"/>
        <v>0</v>
      </c>
      <c r="AE87" s="244">
        <f t="shared" si="715"/>
        <v>0</v>
      </c>
      <c r="AF87" s="244">
        <f t="shared" si="716"/>
        <v>0</v>
      </c>
      <c r="AG87" s="244">
        <f t="shared" si="717"/>
        <v>0</v>
      </c>
      <c r="AH87" s="364">
        <f t="shared" si="718"/>
        <v>267.84000000000003</v>
      </c>
      <c r="AI87" s="364">
        <f t="shared" si="719"/>
        <v>89.28</v>
      </c>
      <c r="AJ87" s="364">
        <f t="shared" si="720"/>
        <v>357.13000000000005</v>
      </c>
      <c r="AK87" s="364">
        <f t="shared" si="721"/>
        <v>0</v>
      </c>
      <c r="AL87" s="244">
        <f t="shared" si="722"/>
        <v>0</v>
      </c>
      <c r="AM87" s="244">
        <f t="shared" si="723"/>
        <v>0</v>
      </c>
      <c r="AN87" s="244">
        <f t="shared" si="724"/>
        <v>0</v>
      </c>
      <c r="AO87" s="244">
        <f t="shared" si="725"/>
        <v>0</v>
      </c>
      <c r="AP87" s="244">
        <f t="shared" si="726"/>
        <v>0</v>
      </c>
      <c r="AQ87" s="244">
        <f t="shared" si="352"/>
        <v>0</v>
      </c>
      <c r="AR87" s="244">
        <f t="shared" si="694"/>
        <v>0</v>
      </c>
      <c r="AS87" s="244">
        <f t="shared" si="695"/>
        <v>0</v>
      </c>
      <c r="AT87" s="244">
        <f t="shared" si="696"/>
        <v>0</v>
      </c>
      <c r="AU87" s="244"/>
      <c r="AV87" s="244">
        <f t="shared" si="711"/>
        <v>0</v>
      </c>
      <c r="AW87" s="244">
        <f t="shared" si="711"/>
        <v>0</v>
      </c>
      <c r="AX87" s="244">
        <f t="shared" si="711"/>
        <v>0</v>
      </c>
      <c r="AY87" s="244">
        <f t="shared" si="711"/>
        <v>0</v>
      </c>
      <c r="AZ87" s="244">
        <f t="shared" si="711"/>
        <v>0</v>
      </c>
      <c r="BA87" s="244">
        <f t="shared" si="711"/>
        <v>0</v>
      </c>
      <c r="BB87" s="244">
        <f t="shared" si="711"/>
        <v>714.25</v>
      </c>
      <c r="BC87" s="244">
        <f t="shared" si="711"/>
        <v>0</v>
      </c>
      <c r="BD87" s="244">
        <f t="shared" si="711"/>
        <v>0</v>
      </c>
      <c r="BE87" s="244">
        <f t="shared" si="711"/>
        <v>0</v>
      </c>
      <c r="BF87" s="244">
        <f t="shared" si="711"/>
        <v>0</v>
      </c>
      <c r="BG87" s="244">
        <f t="shared" si="711"/>
        <v>0</v>
      </c>
      <c r="BH87" s="244">
        <f t="shared" si="711"/>
        <v>0</v>
      </c>
      <c r="BI87" s="244">
        <f t="shared" si="711"/>
        <v>0</v>
      </c>
      <c r="BJ87" s="244">
        <f t="shared" si="711"/>
        <v>0</v>
      </c>
      <c r="BK87" s="244">
        <f t="shared" si="420"/>
        <v>0</v>
      </c>
      <c r="BL87" s="244">
        <f t="shared" si="420"/>
        <v>0</v>
      </c>
      <c r="BM87" s="244">
        <f t="shared" si="420"/>
        <v>0</v>
      </c>
      <c r="BN87" s="244">
        <f t="shared" si="420"/>
        <v>0</v>
      </c>
      <c r="BO87" s="244">
        <f t="shared" si="601"/>
        <v>0</v>
      </c>
    </row>
    <row r="88" spans="2:67" ht="14.45" customHeight="1">
      <c r="B88" s="237"/>
      <c r="C88" s="247"/>
      <c r="D88" s="335"/>
      <c r="E88" s="247"/>
      <c r="F88" s="247"/>
      <c r="G88" s="247"/>
      <c r="H88" s="320"/>
      <c r="I88" s="347"/>
      <c r="J88" s="347"/>
      <c r="K88" s="347"/>
      <c r="L88" s="347"/>
      <c r="M88" s="347"/>
      <c r="N88" s="347"/>
      <c r="O88" s="347"/>
      <c r="P88" s="347"/>
      <c r="Q88" s="247"/>
      <c r="R88" s="247"/>
      <c r="S88" s="247"/>
      <c r="T88" s="247"/>
      <c r="U88" s="247"/>
      <c r="V88" s="247"/>
      <c r="W88" s="247"/>
      <c r="X88" s="247"/>
      <c r="Y88" s="247"/>
      <c r="Z88" s="247"/>
      <c r="AA88" s="247"/>
      <c r="AB88" s="244">
        <f aca="true" t="shared" si="748" ref="AB88">F88*$D88</f>
        <v>0</v>
      </c>
      <c r="AC88" s="244">
        <f aca="true" t="shared" si="749" ref="AC88">G88*$D88</f>
        <v>0</v>
      </c>
      <c r="AD88" s="244">
        <f aca="true" t="shared" si="750" ref="AD88">H88*$D88</f>
        <v>0</v>
      </c>
      <c r="AE88" s="244">
        <f aca="true" t="shared" si="751" ref="AE88">I88*$D88</f>
        <v>0</v>
      </c>
      <c r="AF88" s="244">
        <f aca="true" t="shared" si="752" ref="AF88">J88*$D88</f>
        <v>0</v>
      </c>
      <c r="AG88" s="244">
        <f aca="true" t="shared" si="753" ref="AG88">K88*$D88</f>
        <v>0</v>
      </c>
      <c r="AH88" s="244">
        <f aca="true" t="shared" si="754" ref="AH88">L88*$D88</f>
        <v>0</v>
      </c>
      <c r="AI88" s="244">
        <f aca="true" t="shared" si="755" ref="AI88">M88*$D88</f>
        <v>0</v>
      </c>
      <c r="AJ88" s="244">
        <f aca="true" t="shared" si="756" ref="AJ88">N88*$D88</f>
        <v>0</v>
      </c>
      <c r="AK88" s="244">
        <f aca="true" t="shared" si="757" ref="AK88">O88*$D88</f>
        <v>0</v>
      </c>
      <c r="AL88" s="244">
        <f aca="true" t="shared" si="758" ref="AL88">P88*$D88</f>
        <v>0</v>
      </c>
      <c r="AM88" s="244">
        <f aca="true" t="shared" si="759" ref="AM88">Q88*$D88</f>
        <v>0</v>
      </c>
      <c r="AN88" s="244">
        <f aca="true" t="shared" si="760" ref="AN88">R88*$D88</f>
        <v>0</v>
      </c>
      <c r="AO88" s="244">
        <f aca="true" t="shared" si="761" ref="AO88">S88*$D88</f>
        <v>0</v>
      </c>
      <c r="AP88" s="244">
        <f aca="true" t="shared" si="762" ref="AP88">T88*$D88</f>
        <v>0</v>
      </c>
      <c r="AQ88" s="244">
        <f t="shared" si="352"/>
        <v>0</v>
      </c>
      <c r="AR88" s="244">
        <f t="shared" si="694"/>
        <v>0</v>
      </c>
      <c r="AS88" s="244">
        <f t="shared" si="695"/>
        <v>0</v>
      </c>
      <c r="AT88" s="244">
        <f t="shared" si="696"/>
        <v>0</v>
      </c>
      <c r="AU88" s="244"/>
      <c r="AV88" s="244">
        <f aca="true" t="shared" si="763" ref="AV88:BN88">IF(AV$3=$E88,$D88,0)</f>
        <v>0</v>
      </c>
      <c r="AW88" s="244">
        <f t="shared" si="763"/>
        <v>0</v>
      </c>
      <c r="AX88" s="244">
        <f t="shared" si="763"/>
        <v>0</v>
      </c>
      <c r="AY88" s="244">
        <f t="shared" si="763"/>
        <v>0</v>
      </c>
      <c r="AZ88" s="244">
        <f t="shared" si="763"/>
        <v>0</v>
      </c>
      <c r="BA88" s="244">
        <f t="shared" si="763"/>
        <v>0</v>
      </c>
      <c r="BB88" s="244">
        <f t="shared" si="763"/>
        <v>0</v>
      </c>
      <c r="BC88" s="244">
        <f t="shared" si="763"/>
        <v>0</v>
      </c>
      <c r="BD88" s="244">
        <f t="shared" si="763"/>
        <v>0</v>
      </c>
      <c r="BE88" s="244">
        <f t="shared" si="763"/>
        <v>0</v>
      </c>
      <c r="BF88" s="244">
        <f t="shared" si="763"/>
        <v>0</v>
      </c>
      <c r="BG88" s="244">
        <f t="shared" si="763"/>
        <v>0</v>
      </c>
      <c r="BH88" s="244">
        <f t="shared" si="763"/>
        <v>0</v>
      </c>
      <c r="BI88" s="244">
        <f t="shared" si="763"/>
        <v>0</v>
      </c>
      <c r="BJ88" s="244">
        <f t="shared" si="763"/>
        <v>0</v>
      </c>
      <c r="BK88" s="244">
        <f t="shared" si="763"/>
        <v>0</v>
      </c>
      <c r="BL88" s="244">
        <f t="shared" si="763"/>
        <v>0</v>
      </c>
      <c r="BM88" s="244">
        <f t="shared" si="763"/>
        <v>0</v>
      </c>
      <c r="BN88" s="244">
        <f t="shared" si="763"/>
        <v>0</v>
      </c>
      <c r="BO88" s="244">
        <f t="shared" si="601"/>
        <v>0</v>
      </c>
    </row>
    <row r="89" spans="3:67" ht="14.45" customHeight="1">
      <c r="C89" s="247"/>
      <c r="D89" s="247" t="s">
        <v>177</v>
      </c>
      <c r="E89" s="247"/>
      <c r="F89" s="247" t="s">
        <v>160</v>
      </c>
      <c r="G89" s="247" t="s">
        <v>164</v>
      </c>
      <c r="H89" s="320" t="s">
        <v>165</v>
      </c>
      <c r="I89" s="347" t="s">
        <v>166</v>
      </c>
      <c r="J89" s="347" t="s">
        <v>167</v>
      </c>
      <c r="K89" s="347" t="s">
        <v>168</v>
      </c>
      <c r="L89" s="347" t="s">
        <v>169</v>
      </c>
      <c r="M89" s="347" t="s">
        <v>170</v>
      </c>
      <c r="N89" s="347" t="s">
        <v>171</v>
      </c>
      <c r="O89" s="347" t="s">
        <v>172</v>
      </c>
      <c r="P89" s="347" t="s">
        <v>173</v>
      </c>
      <c r="Q89" s="247" t="s">
        <v>174</v>
      </c>
      <c r="R89" s="247" t="s">
        <v>175</v>
      </c>
      <c r="S89" s="247" t="s">
        <v>176</v>
      </c>
      <c r="T89" s="247" t="s">
        <v>178</v>
      </c>
      <c r="U89" s="351" t="s">
        <v>261</v>
      </c>
      <c r="V89" s="351"/>
      <c r="W89" s="351"/>
      <c r="X89" s="351"/>
      <c r="Y89" s="247" t="s">
        <v>177</v>
      </c>
      <c r="Z89" s="247"/>
      <c r="AA89" s="247"/>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7"/>
      <c r="BE89" s="247"/>
      <c r="BF89" s="247"/>
      <c r="BG89" s="247"/>
      <c r="BH89" s="247"/>
      <c r="BI89" s="247"/>
      <c r="BJ89" s="247"/>
      <c r="BK89" s="247"/>
      <c r="BL89" s="247"/>
      <c r="BM89" s="247"/>
      <c r="BN89" s="247"/>
      <c r="BO89" s="244">
        <f t="shared" si="601"/>
        <v>0</v>
      </c>
    </row>
    <row r="90" spans="1:67" ht="14.45" customHeight="1">
      <c r="A90" s="236" t="s">
        <v>204</v>
      </c>
      <c r="B90" s="236"/>
      <c r="C90" s="247"/>
      <c r="D90" s="335"/>
      <c r="E90" s="247"/>
      <c r="F90" s="247"/>
      <c r="G90" s="247"/>
      <c r="H90" s="320"/>
      <c r="I90" s="347"/>
      <c r="J90" s="347"/>
      <c r="K90" s="347"/>
      <c r="L90" s="347"/>
      <c r="M90" s="347"/>
      <c r="N90" s="347"/>
      <c r="O90" s="347"/>
      <c r="P90" s="347"/>
      <c r="Q90" s="247"/>
      <c r="R90" s="247"/>
      <c r="S90" s="247"/>
      <c r="T90" s="247"/>
      <c r="U90" s="247"/>
      <c r="V90" s="247"/>
      <c r="W90" s="247"/>
      <c r="X90" s="247"/>
      <c r="Y90" s="247"/>
      <c r="Z90" s="247"/>
      <c r="AA90" s="247"/>
      <c r="AB90" s="244"/>
      <c r="AC90" s="244"/>
      <c r="AD90" s="244"/>
      <c r="AE90" s="244"/>
      <c r="AF90" s="244"/>
      <c r="AG90" s="244"/>
      <c r="AH90" s="244"/>
      <c r="AI90" s="244"/>
      <c r="AJ90" s="244"/>
      <c r="AK90" s="244"/>
      <c r="AL90" s="244"/>
      <c r="AM90" s="244"/>
      <c r="AN90" s="244"/>
      <c r="AO90" s="244"/>
      <c r="AP90" s="244"/>
      <c r="AQ90" s="244"/>
      <c r="AR90" s="244"/>
      <c r="AS90" s="244"/>
      <c r="AT90" s="244"/>
      <c r="AU90" s="244"/>
      <c r="AV90" s="244" t="s">
        <v>160</v>
      </c>
      <c r="AW90" s="244" t="s">
        <v>164</v>
      </c>
      <c r="AX90" s="244" t="s">
        <v>165</v>
      </c>
      <c r="AY90" s="244" t="s">
        <v>166</v>
      </c>
      <c r="AZ90" s="244" t="s">
        <v>160</v>
      </c>
      <c r="BA90" s="244" t="s">
        <v>164</v>
      </c>
      <c r="BB90" s="244" t="s">
        <v>165</v>
      </c>
      <c r="BC90" s="244" t="s">
        <v>166</v>
      </c>
      <c r="BD90" s="255" t="s">
        <v>160</v>
      </c>
      <c r="BE90" s="255" t="s">
        <v>164</v>
      </c>
      <c r="BF90" s="255" t="s">
        <v>165</v>
      </c>
      <c r="BG90" s="255" t="s">
        <v>166</v>
      </c>
      <c r="BH90" s="255" t="s">
        <v>160</v>
      </c>
      <c r="BI90" s="255" t="s">
        <v>164</v>
      </c>
      <c r="BJ90" s="255" t="s">
        <v>165</v>
      </c>
      <c r="BK90" s="255" t="s">
        <v>166</v>
      </c>
      <c r="BL90" s="255"/>
      <c r="BM90" s="255"/>
      <c r="BN90" s="255"/>
      <c r="BO90" s="244">
        <f t="shared" si="601"/>
        <v>0</v>
      </c>
    </row>
    <row r="91" spans="1:67" s="297" customFormat="1" ht="14.45" customHeight="1">
      <c r="A91" s="297" t="s">
        <v>146</v>
      </c>
      <c r="B91" s="245"/>
      <c r="C91" s="247"/>
      <c r="D91" s="369">
        <v>0</v>
      </c>
      <c r="E91" s="247" t="s">
        <v>193</v>
      </c>
      <c r="F91" s="344"/>
      <c r="G91" s="344"/>
      <c r="H91" s="344"/>
      <c r="I91" s="347"/>
      <c r="J91" s="347">
        <v>0</v>
      </c>
      <c r="K91" s="347">
        <v>0</v>
      </c>
      <c r="L91" s="347">
        <v>0</v>
      </c>
      <c r="M91" s="347">
        <v>1</v>
      </c>
      <c r="N91" s="347"/>
      <c r="O91" s="347"/>
      <c r="P91" s="347"/>
      <c r="Q91" s="345"/>
      <c r="R91" s="345"/>
      <c r="S91" s="345"/>
      <c r="T91" s="333"/>
      <c r="U91" s="333"/>
      <c r="V91" s="333"/>
      <c r="W91" s="333"/>
      <c r="X91" s="333"/>
      <c r="Y91" s="342">
        <f aca="true" t="shared" si="764" ref="Y91:Y92">SUM(F91:U91)</f>
        <v>1</v>
      </c>
      <c r="Z91" s="247"/>
      <c r="AA91" s="247"/>
      <c r="AB91" s="244">
        <f aca="true" t="shared" si="765" ref="AB91:AB92">F91*$D91</f>
        <v>0</v>
      </c>
      <c r="AC91" s="364">
        <f aca="true" t="shared" si="766" ref="AC91:AC92">G91*$D91</f>
        <v>0</v>
      </c>
      <c r="AD91" s="364">
        <f aca="true" t="shared" si="767" ref="AD91:AD92">H91*$D91</f>
        <v>0</v>
      </c>
      <c r="AE91" s="364">
        <f aca="true" t="shared" si="768" ref="AE91:AE92">I91*$D91</f>
        <v>0</v>
      </c>
      <c r="AF91" s="364">
        <f aca="true" t="shared" si="769" ref="AF91:AF92">J91*$D91</f>
        <v>0</v>
      </c>
      <c r="AG91" s="364">
        <f aca="true" t="shared" si="770" ref="AG91:AG92">K91*$D91</f>
        <v>0</v>
      </c>
      <c r="AH91" s="364">
        <f aca="true" t="shared" si="771" ref="AH91:AH92">L91*$D91</f>
        <v>0</v>
      </c>
      <c r="AI91" s="364">
        <f aca="true" t="shared" si="772" ref="AI91:AI92">M91*$D91</f>
        <v>0</v>
      </c>
      <c r="AJ91" s="364">
        <f aca="true" t="shared" si="773" ref="AJ91:AJ92">N91*$D91</f>
        <v>0</v>
      </c>
      <c r="AK91" s="244">
        <f aca="true" t="shared" si="774" ref="AK91:AK92">O91*$D91</f>
        <v>0</v>
      </c>
      <c r="AL91" s="244">
        <f aca="true" t="shared" si="775" ref="AL91:AL92">P91*$D91</f>
        <v>0</v>
      </c>
      <c r="AM91" s="244">
        <f aca="true" t="shared" si="776" ref="AM91:AM92">Q91*$D91</f>
        <v>0</v>
      </c>
      <c r="AN91" s="244">
        <f aca="true" t="shared" si="777" ref="AN91:AN92">R91*$D91</f>
        <v>0</v>
      </c>
      <c r="AO91" s="244">
        <f aca="true" t="shared" si="778" ref="AO91:AO92">S91*$D91</f>
        <v>0</v>
      </c>
      <c r="AP91" s="244">
        <f aca="true" t="shared" si="779" ref="AP91:AP92">T91*$D91</f>
        <v>0</v>
      </c>
      <c r="AQ91" s="244">
        <f aca="true" t="shared" si="780" ref="AQ91:AQ92">U91*$D91</f>
        <v>0</v>
      </c>
      <c r="AR91" s="244">
        <f aca="true" t="shared" si="781" ref="AR91:AR92">V91*$D91</f>
        <v>0</v>
      </c>
      <c r="AS91" s="244">
        <f aca="true" t="shared" si="782" ref="AS91:AS92">W91*$D91</f>
        <v>0</v>
      </c>
      <c r="AT91" s="244">
        <f aca="true" t="shared" si="783" ref="AT91:AT92">X91*$D91</f>
        <v>0</v>
      </c>
      <c r="AU91" s="244"/>
      <c r="AV91" s="244">
        <f aca="true" t="shared" si="784" ref="AV91:BK92">IF(AV$3=$E91,$D91,0)</f>
        <v>0</v>
      </c>
      <c r="AW91" s="244">
        <f t="shared" si="784"/>
        <v>0</v>
      </c>
      <c r="AX91" s="244">
        <f t="shared" si="784"/>
        <v>0</v>
      </c>
      <c r="AY91" s="244">
        <f t="shared" si="784"/>
        <v>0</v>
      </c>
      <c r="AZ91" s="244">
        <v>0</v>
      </c>
      <c r="BA91" s="244">
        <v>0</v>
      </c>
      <c r="BB91" s="244">
        <f t="shared" si="784"/>
        <v>0</v>
      </c>
      <c r="BC91" s="364">
        <f t="shared" si="784"/>
        <v>0</v>
      </c>
      <c r="BD91" s="244">
        <f t="shared" si="784"/>
        <v>0</v>
      </c>
      <c r="BE91" s="244">
        <f t="shared" si="784"/>
        <v>0</v>
      </c>
      <c r="BF91" s="244">
        <f t="shared" si="784"/>
        <v>0</v>
      </c>
      <c r="BG91" s="244">
        <f t="shared" si="784"/>
        <v>0</v>
      </c>
      <c r="BH91" s="244">
        <f t="shared" si="784"/>
        <v>0</v>
      </c>
      <c r="BI91" s="244">
        <f t="shared" si="784"/>
        <v>0</v>
      </c>
      <c r="BJ91" s="244">
        <f t="shared" si="784"/>
        <v>0</v>
      </c>
      <c r="BK91" s="244">
        <f t="shared" si="784"/>
        <v>0</v>
      </c>
      <c r="BL91" s="244">
        <f aca="true" t="shared" si="785" ref="BL91:BN95">IF(BL$3=$E91,$D91,0)</f>
        <v>0</v>
      </c>
      <c r="BM91" s="244">
        <f t="shared" si="785"/>
        <v>0</v>
      </c>
      <c r="BN91" s="244">
        <f t="shared" si="785"/>
        <v>0</v>
      </c>
      <c r="BO91" s="364">
        <f t="shared" si="601"/>
        <v>0</v>
      </c>
    </row>
    <row r="92" spans="1:67" s="297" customFormat="1" ht="14.45" customHeight="1">
      <c r="A92" s="297" t="s">
        <v>146</v>
      </c>
      <c r="B92" s="245"/>
      <c r="C92" s="247"/>
      <c r="D92" s="369">
        <v>198.71</v>
      </c>
      <c r="E92" s="247" t="s">
        <v>233</v>
      </c>
      <c r="F92" s="344"/>
      <c r="G92" s="344"/>
      <c r="H92" s="344"/>
      <c r="I92" s="347"/>
      <c r="J92" s="347">
        <v>0</v>
      </c>
      <c r="K92" s="347">
        <v>0</v>
      </c>
      <c r="L92" s="347">
        <v>0</v>
      </c>
      <c r="M92" s="347">
        <v>1</v>
      </c>
      <c r="N92" s="347"/>
      <c r="O92" s="347"/>
      <c r="P92" s="347"/>
      <c r="Q92" s="345"/>
      <c r="R92" s="345"/>
      <c r="S92" s="345"/>
      <c r="T92" s="333"/>
      <c r="U92" s="333"/>
      <c r="V92" s="333"/>
      <c r="W92" s="333"/>
      <c r="X92" s="333"/>
      <c r="Y92" s="342">
        <f t="shared" si="764"/>
        <v>1</v>
      </c>
      <c r="Z92" s="247"/>
      <c r="AA92" s="247"/>
      <c r="AB92" s="244">
        <f t="shared" si="765"/>
        <v>0</v>
      </c>
      <c r="AC92" s="364">
        <f t="shared" si="766"/>
        <v>0</v>
      </c>
      <c r="AD92" s="364">
        <f t="shared" si="767"/>
        <v>0</v>
      </c>
      <c r="AE92" s="364">
        <f t="shared" si="768"/>
        <v>0</v>
      </c>
      <c r="AF92" s="364">
        <f t="shared" si="769"/>
        <v>0</v>
      </c>
      <c r="AG92" s="364">
        <f t="shared" si="770"/>
        <v>0</v>
      </c>
      <c r="AH92" s="364">
        <f t="shared" si="771"/>
        <v>0</v>
      </c>
      <c r="AI92" s="364">
        <f t="shared" si="772"/>
        <v>198.71</v>
      </c>
      <c r="AJ92" s="364">
        <f t="shared" si="773"/>
        <v>0</v>
      </c>
      <c r="AK92" s="244">
        <f t="shared" si="774"/>
        <v>0</v>
      </c>
      <c r="AL92" s="244">
        <f t="shared" si="775"/>
        <v>0</v>
      </c>
      <c r="AM92" s="244">
        <f t="shared" si="776"/>
        <v>0</v>
      </c>
      <c r="AN92" s="244">
        <f t="shared" si="777"/>
        <v>0</v>
      </c>
      <c r="AO92" s="244">
        <f t="shared" si="778"/>
        <v>0</v>
      </c>
      <c r="AP92" s="244">
        <f t="shared" si="779"/>
        <v>0</v>
      </c>
      <c r="AQ92" s="244">
        <f t="shared" si="780"/>
        <v>0</v>
      </c>
      <c r="AR92" s="244">
        <f t="shared" si="781"/>
        <v>0</v>
      </c>
      <c r="AS92" s="244">
        <f t="shared" si="782"/>
        <v>0</v>
      </c>
      <c r="AT92" s="244">
        <f t="shared" si="783"/>
        <v>0</v>
      </c>
      <c r="AU92" s="244"/>
      <c r="AV92" s="244">
        <f t="shared" si="784"/>
        <v>0</v>
      </c>
      <c r="AW92" s="244">
        <f t="shared" si="784"/>
        <v>0</v>
      </c>
      <c r="AX92" s="244">
        <f t="shared" si="784"/>
        <v>0</v>
      </c>
      <c r="AY92" s="244">
        <f t="shared" si="784"/>
        <v>0</v>
      </c>
      <c r="AZ92" s="244">
        <v>0</v>
      </c>
      <c r="BA92" s="244">
        <v>0</v>
      </c>
      <c r="BB92" s="244">
        <f t="shared" si="784"/>
        <v>0</v>
      </c>
      <c r="BC92" s="364">
        <f t="shared" si="784"/>
        <v>198.71</v>
      </c>
      <c r="BD92" s="244">
        <f t="shared" si="784"/>
        <v>0</v>
      </c>
      <c r="BE92" s="244">
        <f t="shared" si="784"/>
        <v>0</v>
      </c>
      <c r="BF92" s="244">
        <f t="shared" si="784"/>
        <v>0</v>
      </c>
      <c r="BG92" s="244">
        <f t="shared" si="784"/>
        <v>0</v>
      </c>
      <c r="BH92" s="244">
        <f t="shared" si="784"/>
        <v>0</v>
      </c>
      <c r="BI92" s="244">
        <f t="shared" si="784"/>
        <v>0</v>
      </c>
      <c r="BJ92" s="244">
        <f t="shared" si="784"/>
        <v>0</v>
      </c>
      <c r="BK92" s="244">
        <f t="shared" si="784"/>
        <v>0</v>
      </c>
      <c r="BL92" s="244">
        <f t="shared" si="785"/>
        <v>0</v>
      </c>
      <c r="BM92" s="244">
        <f t="shared" si="785"/>
        <v>0</v>
      </c>
      <c r="BN92" s="244">
        <f t="shared" si="785"/>
        <v>0</v>
      </c>
      <c r="BO92" s="364">
        <f t="shared" si="601"/>
        <v>0</v>
      </c>
    </row>
    <row r="93" spans="1:68" ht="14.45" customHeight="1" outlineLevel="1">
      <c r="A93" t="s">
        <v>145</v>
      </c>
      <c r="B93" s="245"/>
      <c r="C93" s="247"/>
      <c r="D93" s="364">
        <f>SUM(F93:U93)</f>
        <v>148261.40000000002</v>
      </c>
      <c r="E93" s="332" t="s">
        <v>207</v>
      </c>
      <c r="F93" s="332"/>
      <c r="G93" s="370">
        <v>1400</v>
      </c>
      <c r="H93" s="371">
        <v>9000</v>
      </c>
      <c r="I93" s="392">
        <v>9000</v>
      </c>
      <c r="J93" s="392">
        <v>10232.64</v>
      </c>
      <c r="K93" s="392">
        <v>11130.24</v>
      </c>
      <c r="L93" s="392">
        <f>10771.2-403.92</f>
        <v>10367.28</v>
      </c>
      <c r="M93" s="392">
        <f>11500+403.92-751.24</f>
        <v>11152.68</v>
      </c>
      <c r="N93" s="392">
        <v>11848.32</v>
      </c>
      <c r="O93" s="392">
        <v>11130.24</v>
      </c>
      <c r="P93" s="392">
        <v>10500</v>
      </c>
      <c r="Q93" s="370">
        <v>10500</v>
      </c>
      <c r="R93" s="370">
        <v>10500</v>
      </c>
      <c r="S93" s="334">
        <v>10500</v>
      </c>
      <c r="T93" s="334">
        <v>10500</v>
      </c>
      <c r="U93" s="334">
        <v>10500</v>
      </c>
      <c r="V93" s="334">
        <v>10500</v>
      </c>
      <c r="W93" s="334">
        <v>10500</v>
      </c>
      <c r="X93" s="334">
        <v>10500</v>
      </c>
      <c r="Y93" s="340">
        <f>SUM(F93:X93)</f>
        <v>179761.40000000002</v>
      </c>
      <c r="Z93" s="247"/>
      <c r="AA93" s="247"/>
      <c r="AB93" s="244">
        <f aca="true" t="shared" si="786" ref="AB93:AB107">F93</f>
        <v>0</v>
      </c>
      <c r="AC93" s="364">
        <f aca="true" t="shared" si="787" ref="AC93:AQ94">G93</f>
        <v>1400</v>
      </c>
      <c r="AD93" s="364">
        <f t="shared" si="787"/>
        <v>9000</v>
      </c>
      <c r="AE93" s="364">
        <f t="shared" si="787"/>
        <v>9000</v>
      </c>
      <c r="AF93" s="364">
        <f t="shared" si="787"/>
        <v>10232.64</v>
      </c>
      <c r="AG93" s="364">
        <f t="shared" si="787"/>
        <v>11130.24</v>
      </c>
      <c r="AH93" s="364">
        <f t="shared" si="787"/>
        <v>10367.28</v>
      </c>
      <c r="AI93" s="364">
        <f t="shared" si="787"/>
        <v>11152.68</v>
      </c>
      <c r="AJ93" s="364">
        <f t="shared" si="787"/>
        <v>11848.32</v>
      </c>
      <c r="AK93" s="244">
        <f t="shared" si="787"/>
        <v>11130.24</v>
      </c>
      <c r="AL93" s="244">
        <f t="shared" si="787"/>
        <v>10500</v>
      </c>
      <c r="AM93" s="244">
        <f t="shared" si="787"/>
        <v>10500</v>
      </c>
      <c r="AN93" s="244">
        <f t="shared" si="787"/>
        <v>10500</v>
      </c>
      <c r="AO93" s="244">
        <f t="shared" si="787"/>
        <v>10500</v>
      </c>
      <c r="AP93" s="244">
        <f t="shared" si="787"/>
        <v>10500</v>
      </c>
      <c r="AQ93" s="244">
        <f t="shared" si="787"/>
        <v>10500</v>
      </c>
      <c r="AR93" s="244">
        <f aca="true" t="shared" si="788" ref="AR93:AT94">V93</f>
        <v>10500</v>
      </c>
      <c r="AS93" s="244">
        <f t="shared" si="788"/>
        <v>10500</v>
      </c>
      <c r="AT93" s="244">
        <f t="shared" si="788"/>
        <v>10500</v>
      </c>
      <c r="AU93" s="244"/>
      <c r="AV93" s="244">
        <f>IF(AV$90=$E93,SUM(AB93:AE93),0)</f>
        <v>0</v>
      </c>
      <c r="AW93" s="244">
        <v>43635.2</v>
      </c>
      <c r="AX93" s="244">
        <f>IF(AX$90=$E93,SUM(AD93:AG93),0)</f>
        <v>0</v>
      </c>
      <c r="AY93" s="244">
        <f>IF(AY$90=$E93,SUM(AE93:AH93),0)</f>
        <v>0</v>
      </c>
      <c r="AZ93" s="244">
        <f>IF(AZ$90=$E93,SUM(AF93:AI93),0)</f>
        <v>0</v>
      </c>
      <c r="BA93" s="244">
        <v>0</v>
      </c>
      <c r="BB93" s="244">
        <v>43758</v>
      </c>
      <c r="BC93" s="364">
        <f>IF(BC$90=$E93,SUM(AI93:AL93),0)</f>
        <v>0</v>
      </c>
      <c r="BD93" s="244">
        <f>IF(BD$90=$E93,SUM(AJ93:AM93),0)</f>
        <v>0</v>
      </c>
      <c r="BE93" s="244">
        <v>0</v>
      </c>
      <c r="BF93" s="244">
        <v>43758</v>
      </c>
      <c r="BG93" s="244">
        <f>IF(BG$90=$E93,SUM(AM93:AP93),0)</f>
        <v>0</v>
      </c>
      <c r="BH93" s="244">
        <f>IF(BH$90=$E93,SUM(AN93:$AP93),0)</f>
        <v>0</v>
      </c>
      <c r="BI93" s="244">
        <v>0</v>
      </c>
      <c r="BJ93" s="244">
        <v>43758</v>
      </c>
      <c r="BK93" s="244">
        <v>0</v>
      </c>
      <c r="BL93" s="244">
        <f t="shared" si="785"/>
        <v>0</v>
      </c>
      <c r="BM93" s="244">
        <f t="shared" si="785"/>
        <v>0</v>
      </c>
      <c r="BN93" s="244">
        <v>4852.200000000012</v>
      </c>
      <c r="BO93" s="364">
        <f t="shared" si="601"/>
        <v>0</v>
      </c>
      <c r="BP93" s="253"/>
    </row>
    <row r="94" spans="1:68" ht="14.45" customHeight="1" outlineLevel="1">
      <c r="A94" t="s">
        <v>145</v>
      </c>
      <c r="B94" s="245"/>
      <c r="C94" s="247"/>
      <c r="D94" s="364">
        <v>92670.68</v>
      </c>
      <c r="E94" s="332" t="s">
        <v>181</v>
      </c>
      <c r="F94" s="332"/>
      <c r="G94" s="366"/>
      <c r="H94" s="371"/>
      <c r="I94" s="392" t="s">
        <v>116</v>
      </c>
      <c r="J94" s="392">
        <v>0</v>
      </c>
      <c r="K94" s="392">
        <v>2358.88</v>
      </c>
      <c r="L94" s="392">
        <f>6461.28-205.12</f>
        <v>6256.16</v>
      </c>
      <c r="M94" s="392">
        <f>6500+205.12-346.4+51.28</f>
        <v>6410</v>
      </c>
      <c r="N94" s="392">
        <f>6000+346.4+140.52</f>
        <v>6486.92</v>
      </c>
      <c r="O94" s="392">
        <v>6358.72</v>
      </c>
      <c r="P94" s="392">
        <v>7200</v>
      </c>
      <c r="Q94" s="392">
        <v>7200</v>
      </c>
      <c r="R94" s="392">
        <v>7200</v>
      </c>
      <c r="S94" s="392">
        <v>7200</v>
      </c>
      <c r="T94" s="392">
        <v>7200</v>
      </c>
      <c r="U94" s="392">
        <v>7200</v>
      </c>
      <c r="V94" s="392">
        <v>7200</v>
      </c>
      <c r="W94" s="392">
        <v>7200</v>
      </c>
      <c r="X94" s="392">
        <v>7200</v>
      </c>
      <c r="Y94" s="340">
        <f aca="true" t="shared" si="789" ref="Y94:Y101">SUM(F94:X94)</f>
        <v>92670.68</v>
      </c>
      <c r="Z94" s="247"/>
      <c r="AA94" s="247"/>
      <c r="AB94" s="244">
        <f t="shared" si="786"/>
        <v>0</v>
      </c>
      <c r="AC94" s="364">
        <f t="shared" si="787"/>
        <v>0</v>
      </c>
      <c r="AD94" s="364">
        <f t="shared" si="787"/>
        <v>0</v>
      </c>
      <c r="AE94" s="364" t="str">
        <f t="shared" si="787"/>
        <v xml:space="preserve"> </v>
      </c>
      <c r="AF94" s="364">
        <f t="shared" si="787"/>
        <v>0</v>
      </c>
      <c r="AG94" s="364">
        <f t="shared" si="787"/>
        <v>2358.88</v>
      </c>
      <c r="AH94" s="364">
        <f t="shared" si="787"/>
        <v>6256.16</v>
      </c>
      <c r="AI94" s="364">
        <f t="shared" si="787"/>
        <v>6410</v>
      </c>
      <c r="AJ94" s="364">
        <f t="shared" si="787"/>
        <v>6486.92</v>
      </c>
      <c r="AK94" s="244">
        <f t="shared" si="787"/>
        <v>6358.72</v>
      </c>
      <c r="AL94" s="244">
        <f t="shared" si="787"/>
        <v>7200</v>
      </c>
      <c r="AM94" s="244">
        <f t="shared" si="787"/>
        <v>7200</v>
      </c>
      <c r="AN94" s="244">
        <f t="shared" si="787"/>
        <v>7200</v>
      </c>
      <c r="AO94" s="244">
        <f t="shared" si="787"/>
        <v>7200</v>
      </c>
      <c r="AP94" s="244">
        <f t="shared" si="787"/>
        <v>7200</v>
      </c>
      <c r="AQ94" s="244">
        <f t="shared" si="787"/>
        <v>7200</v>
      </c>
      <c r="AR94" s="244">
        <f t="shared" si="788"/>
        <v>7200</v>
      </c>
      <c r="AS94" s="244">
        <f t="shared" si="788"/>
        <v>7200</v>
      </c>
      <c r="AT94" s="244">
        <f t="shared" si="788"/>
        <v>7200</v>
      </c>
      <c r="AU94" s="244"/>
      <c r="AV94" s="244">
        <f>IF(AV$90=$E94,SUM(AB94:AE94),0)</f>
        <v>0</v>
      </c>
      <c r="AW94" s="244">
        <f aca="true" t="shared" si="790" ref="AW94:AY95">IF(AW$90=$E94,SUM(AC94:AF94),0)</f>
        <v>0</v>
      </c>
      <c r="AX94" s="244">
        <f t="shared" si="790"/>
        <v>0</v>
      </c>
      <c r="AY94" s="244">
        <f t="shared" si="790"/>
        <v>0</v>
      </c>
      <c r="AZ94" s="244">
        <f aca="true" t="shared" si="791" ref="AZ94:BF95">IF(AZ$3=$E94,$D94,0)</f>
        <v>0</v>
      </c>
      <c r="BA94" s="244">
        <v>25000</v>
      </c>
      <c r="BB94" s="244">
        <f>IF(BB$90=$E94,SUM(AH94:AK94),0)</f>
        <v>0</v>
      </c>
      <c r="BC94" s="244">
        <f>IF(BC$90=$E94,SUM(AI94:AL94),0)</f>
        <v>0</v>
      </c>
      <c r="BD94" s="244">
        <f>IF(BD$90=$E94,SUM(AJ94:AM94),0)</f>
        <v>0</v>
      </c>
      <c r="BE94" s="244">
        <v>29991</v>
      </c>
      <c r="BF94" s="244">
        <f>IF(BF$90=$E94,SUM(AL94:AO94),0)</f>
        <v>0</v>
      </c>
      <c r="BG94" s="244">
        <f>IF(BG$90=$E94,SUM(AM94:AP94),0)</f>
        <v>0</v>
      </c>
      <c r="BH94" s="244">
        <f>IF(BH$90=$E94,SUM(AN94:$AP94),0)</f>
        <v>0</v>
      </c>
      <c r="BI94" s="244">
        <v>29991</v>
      </c>
      <c r="BJ94" s="244">
        <f>IF(BJ$90=$E94,SUM(AP94:$AP94),0)</f>
        <v>0</v>
      </c>
      <c r="BK94" s="244">
        <v>0</v>
      </c>
      <c r="BL94" s="244">
        <f t="shared" si="785"/>
        <v>0</v>
      </c>
      <c r="BM94" s="244">
        <v>7688.68</v>
      </c>
      <c r="BN94" s="244">
        <f t="shared" si="785"/>
        <v>0</v>
      </c>
      <c r="BO94" s="364">
        <f t="shared" si="601"/>
        <v>0</v>
      </c>
      <c r="BP94" s="301"/>
    </row>
    <row r="95" spans="1:67" s="297" customFormat="1" ht="14.45" customHeight="1" outlineLevel="1">
      <c r="A95" s="297" t="s">
        <v>147</v>
      </c>
      <c r="B95" s="378"/>
      <c r="C95" s="247"/>
      <c r="D95" s="364">
        <v>3812.94</v>
      </c>
      <c r="E95" s="332" t="s">
        <v>281</v>
      </c>
      <c r="F95" s="332"/>
      <c r="G95" s="366"/>
      <c r="H95" s="371"/>
      <c r="I95" s="347" t="s">
        <v>116</v>
      </c>
      <c r="J95" s="347">
        <v>0</v>
      </c>
      <c r="K95" s="347">
        <v>0</v>
      </c>
      <c r="L95" s="347">
        <v>0</v>
      </c>
      <c r="M95" s="347"/>
      <c r="N95" s="347">
        <v>0</v>
      </c>
      <c r="O95" s="347">
        <v>0</v>
      </c>
      <c r="P95" s="370">
        <v>500</v>
      </c>
      <c r="Q95" s="370">
        <v>500</v>
      </c>
      <c r="R95" s="370">
        <v>500</v>
      </c>
      <c r="S95" s="334">
        <v>500</v>
      </c>
      <c r="T95" s="334">
        <v>500</v>
      </c>
      <c r="U95" s="334">
        <v>1000</v>
      </c>
      <c r="V95" s="334">
        <v>312.94</v>
      </c>
      <c r="W95" s="334">
        <v>0</v>
      </c>
      <c r="X95" s="334">
        <v>0</v>
      </c>
      <c r="Y95" s="340">
        <f t="shared" si="789"/>
        <v>3812.94</v>
      </c>
      <c r="Z95" s="247"/>
      <c r="AA95" s="247"/>
      <c r="AB95" s="244">
        <f aca="true" t="shared" si="792" ref="AB95">F95</f>
        <v>0</v>
      </c>
      <c r="AC95" s="364">
        <f aca="true" t="shared" si="793" ref="AC95">G95</f>
        <v>0</v>
      </c>
      <c r="AD95" s="364">
        <f aca="true" t="shared" si="794" ref="AD95">H95</f>
        <v>0</v>
      </c>
      <c r="AE95" s="364" t="str">
        <f aca="true" t="shared" si="795" ref="AE95">I95</f>
        <v xml:space="preserve"> </v>
      </c>
      <c r="AF95" s="364">
        <f aca="true" t="shared" si="796" ref="AF95">J95</f>
        <v>0</v>
      </c>
      <c r="AG95" s="364">
        <f aca="true" t="shared" si="797" ref="AG95">K95</f>
        <v>0</v>
      </c>
      <c r="AH95" s="364">
        <f aca="true" t="shared" si="798" ref="AH95">L95</f>
        <v>0</v>
      </c>
      <c r="AI95" s="364">
        <f aca="true" t="shared" si="799" ref="AI95">M95</f>
        <v>0</v>
      </c>
      <c r="AJ95" s="364">
        <f aca="true" t="shared" si="800" ref="AJ95">N95</f>
        <v>0</v>
      </c>
      <c r="AK95" s="244">
        <f aca="true" t="shared" si="801" ref="AK95">O95</f>
        <v>0</v>
      </c>
      <c r="AL95" s="244">
        <f aca="true" t="shared" si="802" ref="AL95">P95</f>
        <v>500</v>
      </c>
      <c r="AM95" s="244">
        <f aca="true" t="shared" si="803" ref="AM95">Q95</f>
        <v>500</v>
      </c>
      <c r="AN95" s="244">
        <f aca="true" t="shared" si="804" ref="AN95">R95</f>
        <v>500</v>
      </c>
      <c r="AO95" s="244">
        <f aca="true" t="shared" si="805" ref="AO95">S95</f>
        <v>500</v>
      </c>
      <c r="AP95" s="244">
        <f aca="true" t="shared" si="806" ref="AP95">T95</f>
        <v>500</v>
      </c>
      <c r="AQ95" s="244">
        <f aca="true" t="shared" si="807" ref="AQ95">U95</f>
        <v>1000</v>
      </c>
      <c r="AR95" s="244">
        <f aca="true" t="shared" si="808" ref="AR95">V95</f>
        <v>312.94</v>
      </c>
      <c r="AS95" s="244">
        <f aca="true" t="shared" si="809" ref="AS95">W95</f>
        <v>0</v>
      </c>
      <c r="AT95" s="244">
        <f aca="true" t="shared" si="810" ref="AT95">X95</f>
        <v>0</v>
      </c>
      <c r="AU95" s="244"/>
      <c r="AV95" s="244">
        <f>IF(AV$90=$E95,SUM(AB95:AE95),0)</f>
        <v>0</v>
      </c>
      <c r="AW95" s="244">
        <f t="shared" si="790"/>
        <v>0</v>
      </c>
      <c r="AX95" s="244">
        <f t="shared" si="790"/>
        <v>0</v>
      </c>
      <c r="AY95" s="244">
        <f t="shared" si="790"/>
        <v>0</v>
      </c>
      <c r="AZ95" s="244">
        <f t="shared" si="791"/>
        <v>0</v>
      </c>
      <c r="BA95" s="244">
        <f t="shared" si="791"/>
        <v>0</v>
      </c>
      <c r="BB95" s="244">
        <f t="shared" si="791"/>
        <v>0</v>
      </c>
      <c r="BC95" s="244">
        <f t="shared" si="791"/>
        <v>0</v>
      </c>
      <c r="BD95" s="244">
        <f t="shared" si="791"/>
        <v>0</v>
      </c>
      <c r="BE95" s="244">
        <f t="shared" si="791"/>
        <v>0</v>
      </c>
      <c r="BF95" s="244">
        <f t="shared" si="791"/>
        <v>3812.94</v>
      </c>
      <c r="BG95" s="244">
        <f>IF(BG$90=$E95,SUM(AM95:AP95),0)</f>
        <v>0</v>
      </c>
      <c r="BH95" s="244">
        <f>IF(BH$90=$E95,SUM(AN95:$AP95),0)</f>
        <v>0</v>
      </c>
      <c r="BI95" s="244">
        <f>IF(BI$90=$E95,SUM(AO95:$AP95),0)</f>
        <v>0</v>
      </c>
      <c r="BJ95" s="244">
        <f>IF(BJ$90=$E95,SUM(AP95:$AP95),0)</f>
        <v>0</v>
      </c>
      <c r="BK95" s="244">
        <f>IF(BK$90=$E95,SUM($AP95:AQ95),0)</f>
        <v>0</v>
      </c>
      <c r="BL95" s="244">
        <f t="shared" si="785"/>
        <v>0</v>
      </c>
      <c r="BM95" s="244">
        <f t="shared" si="785"/>
        <v>0</v>
      </c>
      <c r="BN95" s="244">
        <f t="shared" si="785"/>
        <v>0</v>
      </c>
      <c r="BO95" s="364">
        <f aca="true" t="shared" si="811" ref="BO95">SUM(AB95:AT95)-SUM(AV95:BN95)</f>
        <v>0</v>
      </c>
    </row>
    <row r="96" spans="1:67" ht="14.45" customHeight="1" outlineLevel="1">
      <c r="A96" t="s">
        <v>155</v>
      </c>
      <c r="B96" s="256"/>
      <c r="C96" s="247"/>
      <c r="D96" s="335">
        <f aca="true" t="shared" si="812" ref="D96:D102">SUM(F96:X96)</f>
        <v>169717.44</v>
      </c>
      <c r="E96" s="332" t="s">
        <v>209</v>
      </c>
      <c r="F96" s="370">
        <v>10000</v>
      </c>
      <c r="G96" s="370">
        <v>12000</v>
      </c>
      <c r="H96" s="371">
        <v>11000</v>
      </c>
      <c r="I96" s="370">
        <v>12000</v>
      </c>
      <c r="J96" s="370">
        <v>4000</v>
      </c>
      <c r="K96" s="370">
        <v>0</v>
      </c>
      <c r="L96" s="370">
        <v>0</v>
      </c>
      <c r="M96" s="370">
        <v>0</v>
      </c>
      <c r="N96" s="370">
        <v>0</v>
      </c>
      <c r="O96" s="370">
        <v>12717.44</v>
      </c>
      <c r="P96" s="370">
        <v>12000</v>
      </c>
      <c r="Q96" s="370">
        <v>12000</v>
      </c>
      <c r="R96" s="370">
        <v>12000</v>
      </c>
      <c r="S96" s="370">
        <v>12000</v>
      </c>
      <c r="T96" s="370">
        <v>12000</v>
      </c>
      <c r="U96" s="370">
        <v>12000</v>
      </c>
      <c r="V96" s="370">
        <v>12000</v>
      </c>
      <c r="W96" s="370">
        <v>12000</v>
      </c>
      <c r="X96" s="370">
        <v>12000</v>
      </c>
      <c r="Y96" s="340">
        <f t="shared" si="789"/>
        <v>169717.44</v>
      </c>
      <c r="Z96" s="247"/>
      <c r="AA96" s="247"/>
      <c r="AB96" s="244">
        <f t="shared" si="786"/>
        <v>10000</v>
      </c>
      <c r="AC96" s="244">
        <f aca="true" t="shared" si="813" ref="AC96:AP96">G96</f>
        <v>12000</v>
      </c>
      <c r="AD96" s="244">
        <f t="shared" si="813"/>
        <v>11000</v>
      </c>
      <c r="AE96" s="244">
        <f t="shared" si="813"/>
        <v>12000</v>
      </c>
      <c r="AF96" s="244">
        <f t="shared" si="813"/>
        <v>4000</v>
      </c>
      <c r="AG96" s="244">
        <f t="shared" si="813"/>
        <v>0</v>
      </c>
      <c r="AH96" s="364">
        <f t="shared" si="813"/>
        <v>0</v>
      </c>
      <c r="AI96" s="364">
        <f t="shared" si="813"/>
        <v>0</v>
      </c>
      <c r="AJ96" s="364">
        <f t="shared" si="813"/>
        <v>0</v>
      </c>
      <c r="AK96" s="364">
        <f t="shared" si="813"/>
        <v>12717.44</v>
      </c>
      <c r="AL96" s="244">
        <f t="shared" si="813"/>
        <v>12000</v>
      </c>
      <c r="AM96" s="244">
        <f t="shared" si="813"/>
        <v>12000</v>
      </c>
      <c r="AN96" s="244">
        <f t="shared" si="813"/>
        <v>12000</v>
      </c>
      <c r="AO96" s="244">
        <f t="shared" si="813"/>
        <v>12000</v>
      </c>
      <c r="AP96" s="244">
        <f t="shared" si="813"/>
        <v>12000</v>
      </c>
      <c r="AQ96" s="244">
        <f aca="true" t="shared" si="814" ref="AQ96:AQ103">U96</f>
        <v>12000</v>
      </c>
      <c r="AR96" s="244">
        <f aca="true" t="shared" si="815" ref="AR96:AR103">V96</f>
        <v>12000</v>
      </c>
      <c r="AS96" s="244">
        <f aca="true" t="shared" si="816" ref="AS96:AS103">W96</f>
        <v>12000</v>
      </c>
      <c r="AT96" s="244">
        <f aca="true" t="shared" si="817" ref="AT96:AT103">X96</f>
        <v>12000</v>
      </c>
      <c r="AU96" s="244"/>
      <c r="AV96" s="244">
        <v>49000</v>
      </c>
      <c r="AW96" s="244">
        <f aca="true" t="shared" si="818" ref="AW96:AY97">IF(AW$90=$E96,SUM(AC96:AF96),0)</f>
        <v>0</v>
      </c>
      <c r="AX96" s="244">
        <f aca="true" t="shared" si="819" ref="AX96">IF(AX$90=$E96,SUM(AD96:AG96),0)</f>
        <v>0</v>
      </c>
      <c r="AY96" s="244">
        <f aca="true" t="shared" si="820" ref="AY96">IF(AY$90=$E96,SUM(AE96:AH96),0)</f>
        <v>0</v>
      </c>
      <c r="AZ96" s="244">
        <f aca="true" t="shared" si="821" ref="AZ96">IF(AZ$90=$E96,SUM(AF96:AI96),0)</f>
        <v>4000</v>
      </c>
      <c r="BA96" s="244">
        <f aca="true" t="shared" si="822" ref="BA96">IF(BA$90=$E96,SUM(AG96:AJ96),0)</f>
        <v>0</v>
      </c>
      <c r="BB96" s="244">
        <f aca="true" t="shared" si="823" ref="BB96">IF(BB$90=$E96,SUM(AH96:AK96),0)</f>
        <v>0</v>
      </c>
      <c r="BC96" s="244">
        <f aca="true" t="shared" si="824" ref="BC96">IF(BC$90=$E96,SUM(AI96:AL96),0)</f>
        <v>0</v>
      </c>
      <c r="BD96" s="244">
        <f aca="true" t="shared" si="825" ref="BD96">IF(BD$90=$E96,SUM(AJ96:AM96),0)</f>
        <v>36717.44</v>
      </c>
      <c r="BE96" s="244">
        <f aca="true" t="shared" si="826" ref="BE96">IF(BE$90=$E96,SUM(AK96:AN96),0)</f>
        <v>0</v>
      </c>
      <c r="BF96" s="244">
        <f aca="true" t="shared" si="827" ref="BF96">IF(BF$90=$E96,SUM(AL96:AO96),0)</f>
        <v>0</v>
      </c>
      <c r="BG96" s="244">
        <f aca="true" t="shared" si="828" ref="BG96">IF(BG$90=$E96,SUM(AM96:AP96),0)</f>
        <v>0</v>
      </c>
      <c r="BH96" s="244">
        <f aca="true" t="shared" si="829" ref="BH96">IF(BH$90=$E96,SUM(AN96:AQ96),0)</f>
        <v>48000</v>
      </c>
      <c r="BI96" s="244">
        <f aca="true" t="shared" si="830" ref="BI96">IF(BI$90=$E96,SUM(AO96:AR96),0)</f>
        <v>0</v>
      </c>
      <c r="BJ96" s="244">
        <f aca="true" t="shared" si="831" ref="BJ96">IF(BJ$90=$E96,SUM(AP96:AS96),0)</f>
        <v>0</v>
      </c>
      <c r="BK96" s="244">
        <f aca="true" t="shared" si="832" ref="BK96">IF(BK$90=$E96,SUM(AQ96:AT96),0)</f>
        <v>0</v>
      </c>
      <c r="BL96" s="244">
        <v>32000</v>
      </c>
      <c r="BM96" s="244">
        <f aca="true" t="shared" si="833" ref="BM96">IF(BM$90=$E96,SUM(AS96:AV96),0)</f>
        <v>0</v>
      </c>
      <c r="BN96" s="244">
        <f aca="true" t="shared" si="834" ref="BN96">IF(BN$90=$E96,SUM(AT96:AW96),0)</f>
        <v>0</v>
      </c>
      <c r="BO96" s="244">
        <f t="shared" si="601"/>
        <v>0</v>
      </c>
    </row>
    <row r="97" spans="1:68" s="297" customFormat="1" ht="14.45" customHeight="1" outlineLevel="1">
      <c r="A97" s="297" t="s">
        <v>155</v>
      </c>
      <c r="B97" s="256"/>
      <c r="C97" s="247"/>
      <c r="D97" s="335">
        <f t="shared" si="812"/>
        <v>97251.8</v>
      </c>
      <c r="E97" s="332" t="s">
        <v>181</v>
      </c>
      <c r="F97" s="370">
        <v>0</v>
      </c>
      <c r="G97" s="370">
        <v>0</v>
      </c>
      <c r="H97" s="371">
        <v>0</v>
      </c>
      <c r="I97" s="370">
        <v>0</v>
      </c>
      <c r="J97" s="370">
        <v>0</v>
      </c>
      <c r="K97" s="370">
        <v>2706.88</v>
      </c>
      <c r="L97" s="370">
        <v>7628.48</v>
      </c>
      <c r="M97" s="370">
        <v>7505.44</v>
      </c>
      <c r="N97" s="370">
        <v>7874.56</v>
      </c>
      <c r="O97" s="370">
        <v>6736.44</v>
      </c>
      <c r="P97" s="370">
        <v>7200</v>
      </c>
      <c r="Q97" s="370">
        <v>7200</v>
      </c>
      <c r="R97" s="370">
        <v>7200</v>
      </c>
      <c r="S97" s="370">
        <v>7200</v>
      </c>
      <c r="T97" s="334">
        <v>7200</v>
      </c>
      <c r="U97" s="334">
        <v>7200</v>
      </c>
      <c r="V97" s="334">
        <v>7200</v>
      </c>
      <c r="W97" s="334">
        <v>7200</v>
      </c>
      <c r="X97" s="334">
        <v>7200</v>
      </c>
      <c r="Y97" s="340">
        <f t="shared" si="789"/>
        <v>97251.8</v>
      </c>
      <c r="Z97" s="247"/>
      <c r="AA97" s="247"/>
      <c r="AB97" s="244">
        <f aca="true" t="shared" si="835" ref="AB97">F97</f>
        <v>0</v>
      </c>
      <c r="AC97" s="244">
        <f aca="true" t="shared" si="836" ref="AC97">G97</f>
        <v>0</v>
      </c>
      <c r="AD97" s="244">
        <f aca="true" t="shared" si="837" ref="AD97">H97</f>
        <v>0</v>
      </c>
      <c r="AE97" s="244">
        <f aca="true" t="shared" si="838" ref="AE97">I97</f>
        <v>0</v>
      </c>
      <c r="AF97" s="244">
        <f aca="true" t="shared" si="839" ref="AF97">J97</f>
        <v>0</v>
      </c>
      <c r="AG97" s="244">
        <f aca="true" t="shared" si="840" ref="AG97">K97</f>
        <v>2706.88</v>
      </c>
      <c r="AH97" s="244">
        <f aca="true" t="shared" si="841" ref="AH97">L97</f>
        <v>7628.48</v>
      </c>
      <c r="AI97" s="364">
        <f aca="true" t="shared" si="842" ref="AI97">M97</f>
        <v>7505.44</v>
      </c>
      <c r="AJ97" s="364">
        <f aca="true" t="shared" si="843" ref="AJ97">N97</f>
        <v>7874.56</v>
      </c>
      <c r="AK97" s="244">
        <f aca="true" t="shared" si="844" ref="AK97">O97</f>
        <v>6736.44</v>
      </c>
      <c r="AL97" s="244">
        <f aca="true" t="shared" si="845" ref="AL97">P97</f>
        <v>7200</v>
      </c>
      <c r="AM97" s="244">
        <f aca="true" t="shared" si="846" ref="AM97">Q97</f>
        <v>7200</v>
      </c>
      <c r="AN97" s="244">
        <f aca="true" t="shared" si="847" ref="AN97">R97</f>
        <v>7200</v>
      </c>
      <c r="AO97" s="244">
        <f aca="true" t="shared" si="848" ref="AO97">S97</f>
        <v>7200</v>
      </c>
      <c r="AP97" s="244">
        <f aca="true" t="shared" si="849" ref="AP97">T97</f>
        <v>7200</v>
      </c>
      <c r="AQ97" s="244">
        <f t="shared" si="814"/>
        <v>7200</v>
      </c>
      <c r="AR97" s="244">
        <f t="shared" si="815"/>
        <v>7200</v>
      </c>
      <c r="AS97" s="244">
        <f t="shared" si="816"/>
        <v>7200</v>
      </c>
      <c r="AT97" s="244">
        <f t="shared" si="817"/>
        <v>7200</v>
      </c>
      <c r="AU97" s="244"/>
      <c r="AV97" s="244">
        <f aca="true" t="shared" si="850" ref="AV97:AV107">IF(AV$90=$E97,SUM(AB97:AE97),0)</f>
        <v>0</v>
      </c>
      <c r="AW97" s="244">
        <f t="shared" si="818"/>
        <v>0</v>
      </c>
      <c r="AX97" s="244">
        <f t="shared" si="818"/>
        <v>0</v>
      </c>
      <c r="AY97" s="244">
        <f t="shared" si="818"/>
        <v>0</v>
      </c>
      <c r="AZ97" s="244">
        <f>IF(AZ$90=$E97,SUM(AF97:AI97),0)</f>
        <v>0</v>
      </c>
      <c r="BA97" s="244">
        <v>29991</v>
      </c>
      <c r="BB97" s="244">
        <f>IF(BB$90=$E97,SUM(AH97:AK97),0)</f>
        <v>0</v>
      </c>
      <c r="BC97" s="244">
        <f>IF(BC$90=$E97,SUM(AI97:AL97),0)</f>
        <v>0</v>
      </c>
      <c r="BD97" s="244">
        <f>IF(BD$90=$E97,SUM(AJ97:AM97),0)</f>
        <v>0</v>
      </c>
      <c r="BE97" s="244">
        <v>29991</v>
      </c>
      <c r="BF97" s="244">
        <f>IF(BF$90=$E97,SUM(AL97:AO97),0)</f>
        <v>0</v>
      </c>
      <c r="BG97" s="244">
        <f>IF(BG$90=$E97,SUM(AM97:AP97),0)</f>
        <v>0</v>
      </c>
      <c r="BH97" s="244">
        <f>IF(BH$90=$E97,SUM(AN97:$AP97),0)</f>
        <v>0</v>
      </c>
      <c r="BI97" s="244">
        <v>28800</v>
      </c>
      <c r="BJ97" s="244">
        <f>IF(BJ$90=$E97,SUM(AP97:$AP97),0)</f>
        <v>0</v>
      </c>
      <c r="BK97" s="244">
        <f>IF(BK$90=$E97,SUM($AP97:AQ97),0)</f>
        <v>0</v>
      </c>
      <c r="BL97" s="244">
        <f>IF(BL$90=$E97,SUM($AP97:AR97),0)</f>
        <v>0</v>
      </c>
      <c r="BM97" s="244">
        <v>8469.8</v>
      </c>
      <c r="BN97" s="244">
        <f>IF(BN$90=$E97,SUM($AP97:AT97),0)</f>
        <v>0</v>
      </c>
      <c r="BO97" s="364">
        <f t="shared" si="601"/>
        <v>0</v>
      </c>
      <c r="BP97" s="253"/>
    </row>
    <row r="98" spans="1:67" ht="14.45" customHeight="1" outlineLevel="1">
      <c r="A98" t="s">
        <v>155</v>
      </c>
      <c r="B98" s="256"/>
      <c r="C98" s="247"/>
      <c r="D98" s="335">
        <f t="shared" si="812"/>
        <v>15389.66</v>
      </c>
      <c r="E98" s="332" t="s">
        <v>179</v>
      </c>
      <c r="F98" s="366"/>
      <c r="G98" s="370">
        <v>0</v>
      </c>
      <c r="H98" s="371">
        <v>375</v>
      </c>
      <c r="I98" s="370">
        <v>4500</v>
      </c>
      <c r="J98" s="370">
        <v>4848.48</v>
      </c>
      <c r="K98" s="370">
        <v>4771.52</v>
      </c>
      <c r="L98" s="370">
        <v>894.66</v>
      </c>
      <c r="M98" s="370">
        <v>0</v>
      </c>
      <c r="N98" s="370">
        <v>0</v>
      </c>
      <c r="O98" s="370">
        <v>0</v>
      </c>
      <c r="P98" s="370">
        <v>0</v>
      </c>
      <c r="Q98" s="370">
        <v>0</v>
      </c>
      <c r="R98" s="370">
        <v>0</v>
      </c>
      <c r="S98" s="370">
        <v>0</v>
      </c>
      <c r="T98" s="334">
        <v>0</v>
      </c>
      <c r="U98" s="334">
        <v>0</v>
      </c>
      <c r="V98" s="334">
        <v>0</v>
      </c>
      <c r="W98" s="334">
        <v>0</v>
      </c>
      <c r="X98" s="334">
        <v>0</v>
      </c>
      <c r="Y98" s="340">
        <f t="shared" si="789"/>
        <v>15389.66</v>
      </c>
      <c r="Z98" s="247"/>
      <c r="AA98" s="247"/>
      <c r="AB98" s="244">
        <f t="shared" si="786"/>
        <v>0</v>
      </c>
      <c r="AC98" s="244">
        <f aca="true" t="shared" si="851" ref="AC98:AP102">G98</f>
        <v>0</v>
      </c>
      <c r="AD98" s="244">
        <f t="shared" si="851"/>
        <v>375</v>
      </c>
      <c r="AE98" s="244">
        <f t="shared" si="851"/>
        <v>4500</v>
      </c>
      <c r="AF98" s="244">
        <f t="shared" si="851"/>
        <v>4848.48</v>
      </c>
      <c r="AG98" s="244">
        <f t="shared" si="851"/>
        <v>4771.52</v>
      </c>
      <c r="AH98" s="244">
        <f t="shared" si="851"/>
        <v>894.66</v>
      </c>
      <c r="AI98" s="244">
        <f t="shared" si="851"/>
        <v>0</v>
      </c>
      <c r="AJ98" s="364">
        <f t="shared" si="851"/>
        <v>0</v>
      </c>
      <c r="AK98" s="244">
        <f t="shared" si="851"/>
        <v>0</v>
      </c>
      <c r="AL98" s="244">
        <f t="shared" si="851"/>
        <v>0</v>
      </c>
      <c r="AM98" s="244">
        <f t="shared" si="851"/>
        <v>0</v>
      </c>
      <c r="AN98" s="244">
        <f t="shared" si="851"/>
        <v>0</v>
      </c>
      <c r="AO98" s="244">
        <f t="shared" si="851"/>
        <v>0</v>
      </c>
      <c r="AP98" s="244">
        <f t="shared" si="851"/>
        <v>0</v>
      </c>
      <c r="AQ98" s="244">
        <f t="shared" si="814"/>
        <v>0</v>
      </c>
      <c r="AR98" s="244">
        <f t="shared" si="815"/>
        <v>0</v>
      </c>
      <c r="AS98" s="244">
        <f t="shared" si="816"/>
        <v>0</v>
      </c>
      <c r="AT98" s="244">
        <f t="shared" si="817"/>
        <v>0</v>
      </c>
      <c r="AU98" s="244"/>
      <c r="AV98" s="244">
        <f t="shared" si="850"/>
        <v>0</v>
      </c>
      <c r="AW98" s="244">
        <f>IF(AW$90=$E98,SUM(AC98:AF98),0)</f>
        <v>0</v>
      </c>
      <c r="AX98" s="244">
        <f>IF(AX$90=$E98,SUM(AD98:AG98),0)</f>
        <v>14495</v>
      </c>
      <c r="AY98" s="244">
        <v>894.66</v>
      </c>
      <c r="AZ98" s="244">
        <v>0</v>
      </c>
      <c r="BA98" s="244">
        <f>IF(BA$90=$E98,SUM(AG98:AJ98),0)</f>
        <v>0</v>
      </c>
      <c r="BB98" s="244">
        <v>0</v>
      </c>
      <c r="BC98" s="244">
        <f>IF(BC$90=$E98,SUM(AI98:AL98),0)</f>
        <v>0</v>
      </c>
      <c r="BD98" s="244">
        <f>IF(BD$90=$E98,SUM(AJ98:AM98),0)</f>
        <v>0</v>
      </c>
      <c r="BE98" s="244">
        <f>IF(BE$90=$E98,SUM(AK98:AN98),0)</f>
        <v>0</v>
      </c>
      <c r="BF98" s="244">
        <v>0</v>
      </c>
      <c r="BG98" s="244">
        <f>IF(BG$90=$E98,SUM(AM98:AP98),0)</f>
        <v>0</v>
      </c>
      <c r="BH98" s="244">
        <f>IF(BH$90=$E98,SUM(AN98:$AP98),0)</f>
        <v>0</v>
      </c>
      <c r="BI98" s="244">
        <f>IF(BI$90=$E98,SUM(AO98:$AP98),0)</f>
        <v>0</v>
      </c>
      <c r="BJ98" s="244">
        <f>IF(BJ$90=$E98,SUM(AP98:$AP98),0)</f>
        <v>0</v>
      </c>
      <c r="BK98" s="244">
        <f>IF(BK$90=$E98,SUM($AP98:AQ98),0)</f>
        <v>0</v>
      </c>
      <c r="BL98" s="244">
        <f>IF(BL$90=$E98,SUM($AP98:AR98),0)</f>
        <v>0</v>
      </c>
      <c r="BM98" s="244">
        <f>IF(BM$90=$E98,SUM($AP98:AS98),0)</f>
        <v>0</v>
      </c>
      <c r="BN98" s="244">
        <f>IF(BN$90=$E98,SUM($AP98:AT98),0)</f>
        <v>0</v>
      </c>
      <c r="BO98" s="244">
        <f t="shared" si="601"/>
        <v>0</v>
      </c>
    </row>
    <row r="99" spans="1:67" ht="14.45" customHeight="1" outlineLevel="1">
      <c r="A99" t="s">
        <v>155</v>
      </c>
      <c r="B99" s="256"/>
      <c r="C99" s="247"/>
      <c r="D99" s="335">
        <f t="shared" si="812"/>
        <v>172073.22999999998</v>
      </c>
      <c r="E99" s="332" t="s">
        <v>207</v>
      </c>
      <c r="F99" s="366"/>
      <c r="G99" s="370">
        <v>6666.67</v>
      </c>
      <c r="H99" s="371">
        <v>10500</v>
      </c>
      <c r="I99" s="370">
        <v>10500</v>
      </c>
      <c r="J99" s="370">
        <v>11489.28</v>
      </c>
      <c r="K99" s="370">
        <v>11130.24</v>
      </c>
      <c r="L99" s="370">
        <v>6103.68</v>
      </c>
      <c r="M99" s="370">
        <v>0</v>
      </c>
      <c r="N99" s="370">
        <v>10053.119999999999</v>
      </c>
      <c r="O99" s="370">
        <v>11130.24</v>
      </c>
      <c r="P99" s="370">
        <v>10500</v>
      </c>
      <c r="Q99" s="370">
        <v>10500</v>
      </c>
      <c r="R99" s="370">
        <v>10500</v>
      </c>
      <c r="S99" s="370">
        <v>10500</v>
      </c>
      <c r="T99" s="334">
        <v>10500</v>
      </c>
      <c r="U99" s="334">
        <v>10500</v>
      </c>
      <c r="V99" s="334">
        <v>10500</v>
      </c>
      <c r="W99" s="334">
        <v>10500</v>
      </c>
      <c r="X99" s="334">
        <v>10500</v>
      </c>
      <c r="Y99" s="340">
        <f t="shared" si="789"/>
        <v>172073.22999999998</v>
      </c>
      <c r="Z99" s="247"/>
      <c r="AA99" s="247"/>
      <c r="AB99" s="244">
        <f t="shared" si="786"/>
        <v>0</v>
      </c>
      <c r="AC99" s="244">
        <f t="shared" si="851"/>
        <v>6666.67</v>
      </c>
      <c r="AD99" s="244">
        <f t="shared" si="851"/>
        <v>10500</v>
      </c>
      <c r="AE99" s="244">
        <f t="shared" si="851"/>
        <v>10500</v>
      </c>
      <c r="AF99" s="244">
        <f t="shared" si="851"/>
        <v>11489.28</v>
      </c>
      <c r="AG99" s="244">
        <f t="shared" si="851"/>
        <v>11130.24</v>
      </c>
      <c r="AH99" s="244">
        <f t="shared" si="851"/>
        <v>6103.68</v>
      </c>
      <c r="AI99" s="244">
        <f t="shared" si="851"/>
        <v>0</v>
      </c>
      <c r="AJ99" s="364">
        <f t="shared" si="851"/>
        <v>10053.119999999999</v>
      </c>
      <c r="AK99" s="244">
        <f t="shared" si="851"/>
        <v>11130.24</v>
      </c>
      <c r="AL99" s="244">
        <f t="shared" si="851"/>
        <v>10500</v>
      </c>
      <c r="AM99" s="244">
        <f t="shared" si="851"/>
        <v>10500</v>
      </c>
      <c r="AN99" s="244">
        <f t="shared" si="851"/>
        <v>10500</v>
      </c>
      <c r="AO99" s="244">
        <f t="shared" si="851"/>
        <v>10500</v>
      </c>
      <c r="AP99" s="244">
        <f t="shared" si="851"/>
        <v>10500</v>
      </c>
      <c r="AQ99" s="244">
        <f t="shared" si="814"/>
        <v>10500</v>
      </c>
      <c r="AR99" s="244">
        <f t="shared" si="815"/>
        <v>10500</v>
      </c>
      <c r="AS99" s="244">
        <f t="shared" si="816"/>
        <v>10500</v>
      </c>
      <c r="AT99" s="244">
        <f t="shared" si="817"/>
        <v>10500</v>
      </c>
      <c r="AU99" s="244"/>
      <c r="AV99" s="244">
        <f t="shared" si="850"/>
        <v>0</v>
      </c>
      <c r="AW99" s="244">
        <v>42000</v>
      </c>
      <c r="AX99" s="244">
        <f>IF(AX$90=$E99,SUM(AD99:AG99),0)</f>
        <v>0</v>
      </c>
      <c r="AY99" s="244">
        <v>7000</v>
      </c>
      <c r="AZ99" s="244">
        <f>IF(AZ$90=$E99,SUM(AF99:AI99),0)</f>
        <v>0</v>
      </c>
      <c r="BA99" s="244">
        <v>3440.43</v>
      </c>
      <c r="BB99" s="244">
        <v>3949.44</v>
      </c>
      <c r="BC99" s="244">
        <v>0</v>
      </c>
      <c r="BD99" s="244">
        <v>43758</v>
      </c>
      <c r="BE99" s="244">
        <v>0</v>
      </c>
      <c r="BF99" s="244">
        <v>0</v>
      </c>
      <c r="BG99" s="244">
        <v>0</v>
      </c>
      <c r="BH99" s="244">
        <v>42000</v>
      </c>
      <c r="BI99" s="244">
        <v>0</v>
      </c>
      <c r="BJ99" s="244">
        <v>0</v>
      </c>
      <c r="BK99" s="244">
        <v>0</v>
      </c>
      <c r="BL99" s="244">
        <v>29925.36</v>
      </c>
      <c r="BM99" s="244">
        <v>0</v>
      </c>
      <c r="BN99" s="244">
        <v>0</v>
      </c>
      <c r="BO99" s="364">
        <f t="shared" si="601"/>
        <v>0</v>
      </c>
    </row>
    <row r="100" spans="1:68" ht="14.45" customHeight="1" outlineLevel="1">
      <c r="A100" t="s">
        <v>155</v>
      </c>
      <c r="B100" s="256"/>
      <c r="C100" s="247"/>
      <c r="D100" s="335">
        <f t="shared" si="812"/>
        <v>117745.96</v>
      </c>
      <c r="E100" s="332" t="s">
        <v>207</v>
      </c>
      <c r="F100" s="366"/>
      <c r="G100" s="370">
        <v>1760</v>
      </c>
      <c r="H100" s="371">
        <v>4400</v>
      </c>
      <c r="I100" s="370">
        <v>0</v>
      </c>
      <c r="J100" s="370">
        <v>8981.92</v>
      </c>
      <c r="K100" s="370">
        <v>7628.48</v>
      </c>
      <c r="L100" s="370">
        <v>7136.32</v>
      </c>
      <c r="M100" s="370">
        <v>7351.64</v>
      </c>
      <c r="N100" s="370">
        <v>8059.12</v>
      </c>
      <c r="O100" s="370">
        <v>7628.48</v>
      </c>
      <c r="P100" s="370">
        <v>7200</v>
      </c>
      <c r="Q100" s="370">
        <v>7200</v>
      </c>
      <c r="R100" s="370">
        <v>7200</v>
      </c>
      <c r="S100" s="370">
        <v>7200</v>
      </c>
      <c r="T100" s="334">
        <v>7200</v>
      </c>
      <c r="U100" s="334">
        <v>7200</v>
      </c>
      <c r="V100" s="334">
        <v>7200</v>
      </c>
      <c r="W100" s="334">
        <v>7200</v>
      </c>
      <c r="X100" s="334">
        <v>7200</v>
      </c>
      <c r="Y100" s="340">
        <f t="shared" si="789"/>
        <v>117745.96</v>
      </c>
      <c r="Z100" s="247"/>
      <c r="AA100" s="247"/>
      <c r="AB100" s="244">
        <f t="shared" si="786"/>
        <v>0</v>
      </c>
      <c r="AC100" s="244">
        <f t="shared" si="851"/>
        <v>1760</v>
      </c>
      <c r="AD100" s="244">
        <f t="shared" si="851"/>
        <v>4400</v>
      </c>
      <c r="AE100" s="244">
        <f t="shared" si="851"/>
        <v>0</v>
      </c>
      <c r="AF100" s="244">
        <f t="shared" si="851"/>
        <v>8981.92</v>
      </c>
      <c r="AG100" s="244">
        <f t="shared" si="851"/>
        <v>7628.48</v>
      </c>
      <c r="AH100" s="244">
        <f t="shared" si="851"/>
        <v>7136.32</v>
      </c>
      <c r="AI100" s="364">
        <f t="shared" si="851"/>
        <v>7351.64</v>
      </c>
      <c r="AJ100" s="364">
        <f t="shared" si="851"/>
        <v>8059.12</v>
      </c>
      <c r="AK100" s="244">
        <f t="shared" si="851"/>
        <v>7628.48</v>
      </c>
      <c r="AL100" s="244">
        <f t="shared" si="851"/>
        <v>7200</v>
      </c>
      <c r="AM100" s="244">
        <f t="shared" si="851"/>
        <v>7200</v>
      </c>
      <c r="AN100" s="244">
        <f t="shared" si="851"/>
        <v>7200</v>
      </c>
      <c r="AO100" s="244">
        <f t="shared" si="851"/>
        <v>7200</v>
      </c>
      <c r="AP100" s="244">
        <f t="shared" si="851"/>
        <v>7200</v>
      </c>
      <c r="AQ100" s="244">
        <f t="shared" si="814"/>
        <v>7200</v>
      </c>
      <c r="AR100" s="244">
        <f t="shared" si="815"/>
        <v>7200</v>
      </c>
      <c r="AS100" s="244">
        <f t="shared" si="816"/>
        <v>7200</v>
      </c>
      <c r="AT100" s="244">
        <f t="shared" si="817"/>
        <v>7200</v>
      </c>
      <c r="AU100" s="244"/>
      <c r="AV100" s="244">
        <f t="shared" si="850"/>
        <v>0</v>
      </c>
      <c r="AW100" s="244">
        <v>6160</v>
      </c>
      <c r="AX100" s="244">
        <f>IF(AX$90=$E100,SUM(AD100:AG100),0)</f>
        <v>0</v>
      </c>
      <c r="AY100" s="244">
        <v>29991</v>
      </c>
      <c r="AZ100" s="244">
        <f>IF(AZ$90=$E100,SUM(AF100:AI100),0)</f>
        <v>0</v>
      </c>
      <c r="BA100" s="244">
        <v>0</v>
      </c>
      <c r="BB100" s="244">
        <f>IF(BB$90=$E100,SUM(AH100:AK100),0)</f>
        <v>0</v>
      </c>
      <c r="BC100" s="244">
        <v>29991</v>
      </c>
      <c r="BD100" s="244">
        <f>IF(BD$90=$E100,SUM(AJ100:AM100),0)</f>
        <v>0</v>
      </c>
      <c r="BE100" s="244">
        <v>0</v>
      </c>
      <c r="BF100" s="244">
        <f>IF(BF$90=$E100,SUM(AL100:AO100),0)</f>
        <v>0</v>
      </c>
      <c r="BG100" s="244">
        <f>28800</f>
        <v>28800</v>
      </c>
      <c r="BH100" s="244">
        <v>0</v>
      </c>
      <c r="BI100" s="244">
        <v>0</v>
      </c>
      <c r="BJ100" s="244">
        <v>0</v>
      </c>
      <c r="BK100" s="244">
        <v>22803.96</v>
      </c>
      <c r="BL100" s="244">
        <v>0</v>
      </c>
      <c r="BM100" s="244">
        <v>0</v>
      </c>
      <c r="BN100" s="244">
        <v>0</v>
      </c>
      <c r="BO100" s="364">
        <f t="shared" si="601"/>
        <v>0</v>
      </c>
      <c r="BP100" s="301"/>
    </row>
    <row r="101" spans="1:67" ht="14.45" customHeight="1" outlineLevel="1">
      <c r="A101" t="s">
        <v>155</v>
      </c>
      <c r="B101" s="256"/>
      <c r="C101" s="247"/>
      <c r="D101" s="335">
        <f t="shared" si="812"/>
        <v>125177.14</v>
      </c>
      <c r="E101" s="332" t="s">
        <v>207</v>
      </c>
      <c r="F101" s="366"/>
      <c r="G101" s="370">
        <v>1760</v>
      </c>
      <c r="H101" s="371">
        <f>2200*3</f>
        <v>6600</v>
      </c>
      <c r="I101" s="370">
        <f aca="true" t="shared" si="852" ref="I101">2200*3</f>
        <v>6600</v>
      </c>
      <c r="J101" s="370">
        <v>7874.56</v>
      </c>
      <c r="K101" s="370">
        <v>7628.48</v>
      </c>
      <c r="L101" s="370">
        <v>6767.2</v>
      </c>
      <c r="M101" s="370">
        <v>7520.82</v>
      </c>
      <c r="N101" s="370">
        <v>7997.6</v>
      </c>
      <c r="O101" s="370">
        <v>7628.4800000000005</v>
      </c>
      <c r="P101" s="370">
        <v>7200</v>
      </c>
      <c r="Q101" s="370">
        <v>7200</v>
      </c>
      <c r="R101" s="370">
        <v>7200</v>
      </c>
      <c r="S101" s="370">
        <v>7200</v>
      </c>
      <c r="T101" s="334">
        <v>7200</v>
      </c>
      <c r="U101" s="334">
        <v>7200</v>
      </c>
      <c r="V101" s="334">
        <v>7200</v>
      </c>
      <c r="W101" s="334">
        <v>7200</v>
      </c>
      <c r="X101" s="334">
        <v>7200</v>
      </c>
      <c r="Y101" s="340">
        <f t="shared" si="789"/>
        <v>125177.14</v>
      </c>
      <c r="Z101" s="247"/>
      <c r="AA101" s="247"/>
      <c r="AB101" s="244">
        <f t="shared" si="786"/>
        <v>0</v>
      </c>
      <c r="AC101" s="244">
        <f t="shared" si="851"/>
        <v>1760</v>
      </c>
      <c r="AD101" s="244">
        <f t="shared" si="851"/>
        <v>6600</v>
      </c>
      <c r="AE101" s="244">
        <f t="shared" si="851"/>
        <v>6600</v>
      </c>
      <c r="AF101" s="244">
        <f t="shared" si="851"/>
        <v>7874.56</v>
      </c>
      <c r="AG101" s="244">
        <f t="shared" si="851"/>
        <v>7628.48</v>
      </c>
      <c r="AH101" s="244">
        <f t="shared" si="851"/>
        <v>6767.2</v>
      </c>
      <c r="AI101" s="364">
        <f t="shared" si="851"/>
        <v>7520.82</v>
      </c>
      <c r="AJ101" s="364">
        <f t="shared" si="851"/>
        <v>7997.6</v>
      </c>
      <c r="AK101" s="244">
        <f t="shared" si="851"/>
        <v>7628.4800000000005</v>
      </c>
      <c r="AL101" s="244">
        <f t="shared" si="851"/>
        <v>7200</v>
      </c>
      <c r="AM101" s="244">
        <f t="shared" si="851"/>
        <v>7200</v>
      </c>
      <c r="AN101" s="244">
        <f t="shared" si="851"/>
        <v>7200</v>
      </c>
      <c r="AO101" s="244">
        <f t="shared" si="851"/>
        <v>7200</v>
      </c>
      <c r="AP101" s="244">
        <f t="shared" si="851"/>
        <v>7200</v>
      </c>
      <c r="AQ101" s="244">
        <f>U101</f>
        <v>7200</v>
      </c>
      <c r="AR101" s="244">
        <f t="shared" si="815"/>
        <v>7200</v>
      </c>
      <c r="AS101" s="244">
        <f t="shared" si="816"/>
        <v>7200</v>
      </c>
      <c r="AT101" s="244">
        <f t="shared" si="817"/>
        <v>7200</v>
      </c>
      <c r="AU101" s="244"/>
      <c r="AV101" s="244">
        <f t="shared" si="850"/>
        <v>0</v>
      </c>
      <c r="AW101" s="244">
        <v>32185.6</v>
      </c>
      <c r="AX101" s="244">
        <f>IF(AX$90=$E101,SUM(AD101:AG101),0)</f>
        <v>0</v>
      </c>
      <c r="AY101" s="244">
        <f>IF(AY$90=$E101,SUM(AE101:AH101),0)</f>
        <v>0</v>
      </c>
      <c r="AZ101" s="244">
        <f>IF(AZ$90=$E101,SUM(AF101:AI101),0)</f>
        <v>0</v>
      </c>
      <c r="BA101" s="244">
        <v>0</v>
      </c>
      <c r="BB101" s="244">
        <v>29991</v>
      </c>
      <c r="BC101" s="244">
        <f>IF(BC$90=$E101,SUM(AI101:AL101),0)</f>
        <v>0</v>
      </c>
      <c r="BD101" s="244">
        <f>IF(BD$90=$E101,SUM(AJ101:AM101),0)</f>
        <v>0</v>
      </c>
      <c r="BE101" s="244">
        <v>0</v>
      </c>
      <c r="BF101" s="244">
        <v>29991</v>
      </c>
      <c r="BG101" s="244">
        <f>IF(BG$90=$E101,SUM(AM101:AP101),0)</f>
        <v>0</v>
      </c>
      <c r="BH101" s="244">
        <f>IF(BH$90=$E101,SUM(AN101:$AP101),0)</f>
        <v>0</v>
      </c>
      <c r="BI101" s="244">
        <v>0</v>
      </c>
      <c r="BJ101" s="244">
        <v>29991</v>
      </c>
      <c r="BK101" s="244">
        <v>0</v>
      </c>
      <c r="BL101" s="244">
        <v>0</v>
      </c>
      <c r="BM101" s="244">
        <v>0</v>
      </c>
      <c r="BN101" s="244">
        <v>3018.54</v>
      </c>
      <c r="BO101" s="364">
        <f t="shared" si="601"/>
        <v>0</v>
      </c>
    </row>
    <row r="102" spans="1:68" s="297" customFormat="1" ht="14.45" customHeight="1" outlineLevel="1">
      <c r="A102" s="297" t="s">
        <v>155</v>
      </c>
      <c r="B102" s="256"/>
      <c r="C102" s="247"/>
      <c r="D102" s="335">
        <f t="shared" si="812"/>
        <v>104826.01999999999</v>
      </c>
      <c r="E102" s="332" t="s">
        <v>211</v>
      </c>
      <c r="F102" s="366"/>
      <c r="G102" s="370"/>
      <c r="H102" s="371"/>
      <c r="I102" s="370">
        <v>2666.56</v>
      </c>
      <c r="J102" s="370">
        <v>4615.2</v>
      </c>
      <c r="K102" s="370">
        <v>6230.52</v>
      </c>
      <c r="L102" s="370">
        <v>5435.68</v>
      </c>
      <c r="M102" s="370">
        <v>6153.6</v>
      </c>
      <c r="N102" s="370">
        <v>7295.98</v>
      </c>
      <c r="O102" s="370">
        <v>7628.4800000000005</v>
      </c>
      <c r="P102" s="370">
        <v>7200</v>
      </c>
      <c r="Q102" s="370">
        <v>7200</v>
      </c>
      <c r="R102" s="370">
        <v>7200</v>
      </c>
      <c r="S102" s="370">
        <v>7200</v>
      </c>
      <c r="T102" s="334">
        <v>7200</v>
      </c>
      <c r="U102" s="334">
        <v>7200</v>
      </c>
      <c r="V102" s="334">
        <v>7200</v>
      </c>
      <c r="W102" s="334">
        <v>7200</v>
      </c>
      <c r="X102" s="334">
        <v>7200</v>
      </c>
      <c r="Y102" s="340">
        <f>SUM(F102:X102)</f>
        <v>104826.01999999999</v>
      </c>
      <c r="Z102" s="247"/>
      <c r="AA102" s="247"/>
      <c r="AB102" s="244">
        <f aca="true" t="shared" si="853" ref="AB102:AB103">F102</f>
        <v>0</v>
      </c>
      <c r="AC102" s="244">
        <f aca="true" t="shared" si="854" ref="AC102:AC103">G102</f>
        <v>0</v>
      </c>
      <c r="AD102" s="244">
        <f aca="true" t="shared" si="855" ref="AD102:AD103">H102</f>
        <v>0</v>
      </c>
      <c r="AE102" s="244">
        <f aca="true" t="shared" si="856" ref="AE102:AE103">I102</f>
        <v>2666.56</v>
      </c>
      <c r="AF102" s="244">
        <f aca="true" t="shared" si="857" ref="AF102:AF103">J102</f>
        <v>4615.2</v>
      </c>
      <c r="AG102" s="244">
        <f aca="true" t="shared" si="858" ref="AG102:AG103">K102</f>
        <v>6230.52</v>
      </c>
      <c r="AH102" s="244">
        <f aca="true" t="shared" si="859" ref="AH102:AH103">L102</f>
        <v>5435.68</v>
      </c>
      <c r="AI102" s="364">
        <f aca="true" t="shared" si="860" ref="AI102:AI103">M102</f>
        <v>6153.6</v>
      </c>
      <c r="AJ102" s="364">
        <f t="shared" si="851"/>
        <v>7295.98</v>
      </c>
      <c r="AK102" s="244">
        <f aca="true" t="shared" si="861" ref="AK102:AP102">O102</f>
        <v>7628.4800000000005</v>
      </c>
      <c r="AL102" s="244">
        <f t="shared" si="861"/>
        <v>7200</v>
      </c>
      <c r="AM102" s="244">
        <f t="shared" si="861"/>
        <v>7200</v>
      </c>
      <c r="AN102" s="244">
        <f t="shared" si="861"/>
        <v>7200</v>
      </c>
      <c r="AO102" s="244">
        <f t="shared" si="861"/>
        <v>7200</v>
      </c>
      <c r="AP102" s="244">
        <f t="shared" si="861"/>
        <v>7200</v>
      </c>
      <c r="AQ102" s="244">
        <f>U102</f>
        <v>7200</v>
      </c>
      <c r="AR102" s="244">
        <f t="shared" si="815"/>
        <v>7200</v>
      </c>
      <c r="AS102" s="244">
        <f t="shared" si="816"/>
        <v>7200</v>
      </c>
      <c r="AT102" s="244">
        <f t="shared" si="817"/>
        <v>7200</v>
      </c>
      <c r="AU102" s="244"/>
      <c r="AV102" s="244">
        <f t="shared" si="850"/>
        <v>0</v>
      </c>
      <c r="AW102" s="244">
        <f aca="true" t="shared" si="862" ref="AW102:AW107">IF(AW$90=$E102,SUM(AC102:AF102),0)</f>
        <v>0</v>
      </c>
      <c r="AX102" s="244">
        <f>IF(AX$90=$E102,SUM(AD102:AG102),0)</f>
        <v>0</v>
      </c>
      <c r="AY102" s="244">
        <v>3384.48</v>
      </c>
      <c r="AZ102" s="244">
        <v>24999</v>
      </c>
      <c r="BA102" s="244">
        <f>IF(BA$90=$E102,SUM(AG102:AJ102),0)</f>
        <v>0</v>
      </c>
      <c r="BB102" s="244">
        <f>IF(BB$90=$E102,SUM(AH102:AK102),0)</f>
        <v>0</v>
      </c>
      <c r="BC102" s="244">
        <v>0</v>
      </c>
      <c r="BD102" s="244">
        <v>29991</v>
      </c>
      <c r="BE102" s="244">
        <f>IF(BE$90=$E102,SUM(AK102:AN102),0)</f>
        <v>0</v>
      </c>
      <c r="BF102" s="244">
        <f>IF(BF$90=$E102,SUM(AL102:AO102),0)</f>
        <v>0</v>
      </c>
      <c r="BG102" s="244">
        <v>0</v>
      </c>
      <c r="BH102" s="244">
        <v>29991</v>
      </c>
      <c r="BI102" s="244">
        <f>IF(BI$90=$E102,SUM(AO102:$AP102),0)</f>
        <v>0</v>
      </c>
      <c r="BJ102" s="244">
        <f>IF(BJ$90=$E102,SUM(AP102:$AP102),0)</f>
        <v>0</v>
      </c>
      <c r="BK102" s="244">
        <v>0</v>
      </c>
      <c r="BL102" s="244">
        <v>16460.54</v>
      </c>
      <c r="BM102" s="244">
        <v>0</v>
      </c>
      <c r="BN102" s="244">
        <v>0</v>
      </c>
      <c r="BO102" s="364">
        <f t="shared" si="601"/>
        <v>0</v>
      </c>
      <c r="BP102" s="253"/>
    </row>
    <row r="103" spans="1:67" s="297" customFormat="1" ht="14.45" customHeight="1">
      <c r="A103" s="297" t="s">
        <v>158</v>
      </c>
      <c r="B103" s="256"/>
      <c r="C103" s="247"/>
      <c r="D103" s="335">
        <f aca="true" t="shared" si="863" ref="D103">SUM(F103:U103)</f>
        <v>9999</v>
      </c>
      <c r="E103" s="332" t="s">
        <v>179</v>
      </c>
      <c r="F103" s="366"/>
      <c r="G103" s="370"/>
      <c r="H103" s="371"/>
      <c r="I103" s="370" t="s">
        <v>116</v>
      </c>
      <c r="J103" s="370"/>
      <c r="K103" s="370">
        <v>0</v>
      </c>
      <c r="L103" s="370">
        <v>0</v>
      </c>
      <c r="M103" s="370">
        <v>0</v>
      </c>
      <c r="N103" s="370">
        <v>0</v>
      </c>
      <c r="O103" s="370">
        <v>9999</v>
      </c>
      <c r="P103" s="370"/>
      <c r="Q103" s="370"/>
      <c r="R103" s="370"/>
      <c r="S103" s="370"/>
      <c r="T103" s="334"/>
      <c r="U103" s="334"/>
      <c r="V103" s="334"/>
      <c r="W103" s="334"/>
      <c r="X103" s="334"/>
      <c r="Y103" s="340">
        <f>SUM(F103:X103)</f>
        <v>9999</v>
      </c>
      <c r="Z103" s="247"/>
      <c r="AA103" s="247"/>
      <c r="AB103" s="244">
        <f t="shared" si="853"/>
        <v>0</v>
      </c>
      <c r="AC103" s="244">
        <f t="shared" si="854"/>
        <v>0</v>
      </c>
      <c r="AD103" s="244">
        <f t="shared" si="855"/>
        <v>0</v>
      </c>
      <c r="AE103" s="244" t="str">
        <f t="shared" si="856"/>
        <v xml:space="preserve"> </v>
      </c>
      <c r="AF103" s="244">
        <f t="shared" si="857"/>
        <v>0</v>
      </c>
      <c r="AG103" s="244">
        <f t="shared" si="858"/>
        <v>0</v>
      </c>
      <c r="AH103" s="244">
        <f t="shared" si="859"/>
        <v>0</v>
      </c>
      <c r="AI103" s="364">
        <f t="shared" si="860"/>
        <v>0</v>
      </c>
      <c r="AJ103" s="364">
        <f aca="true" t="shared" si="864" ref="AJ103">N103</f>
        <v>0</v>
      </c>
      <c r="AK103" s="244">
        <f aca="true" t="shared" si="865" ref="AK103">O103</f>
        <v>9999</v>
      </c>
      <c r="AL103" s="244">
        <f aca="true" t="shared" si="866" ref="AL103">P103</f>
        <v>0</v>
      </c>
      <c r="AM103" s="244">
        <f aca="true" t="shared" si="867" ref="AM103">Q103</f>
        <v>0</v>
      </c>
      <c r="AN103" s="244">
        <f aca="true" t="shared" si="868" ref="AN103">R103</f>
        <v>0</v>
      </c>
      <c r="AO103" s="244">
        <f aca="true" t="shared" si="869" ref="AO103">S103</f>
        <v>0</v>
      </c>
      <c r="AP103" s="244">
        <f aca="true" t="shared" si="870" ref="AP103">T103</f>
        <v>0</v>
      </c>
      <c r="AQ103" s="244">
        <f t="shared" si="814"/>
        <v>0</v>
      </c>
      <c r="AR103" s="244">
        <f t="shared" si="815"/>
        <v>0</v>
      </c>
      <c r="AS103" s="244">
        <f t="shared" si="816"/>
        <v>0</v>
      </c>
      <c r="AT103" s="244">
        <f t="shared" si="817"/>
        <v>0</v>
      </c>
      <c r="AU103" s="244"/>
      <c r="AV103" s="244">
        <f t="shared" si="850"/>
        <v>0</v>
      </c>
      <c r="AW103" s="244">
        <f t="shared" si="862"/>
        <v>0</v>
      </c>
      <c r="AX103" s="244">
        <v>9999</v>
      </c>
      <c r="AY103" s="244">
        <f>IF(AY$90=$E103,SUM(AE103:AH103),0)</f>
        <v>0</v>
      </c>
      <c r="AZ103" s="244">
        <f>IF(AZ$90=$E103,SUM(AF103:AI103),0)</f>
        <v>0</v>
      </c>
      <c r="BA103" s="244">
        <f>IF(BA$90=$E103,SUM(AG103:AJ103),0)</f>
        <v>0</v>
      </c>
      <c r="BB103" s="244">
        <v>0</v>
      </c>
      <c r="BC103" s="244">
        <f>IF(BC$90=$E103,SUM(AI103:AL103),0)</f>
        <v>0</v>
      </c>
      <c r="BD103" s="244">
        <f>IF(BD$90=$E103,SUM(AJ103:AM103),0)</f>
        <v>0</v>
      </c>
      <c r="BE103" s="244">
        <f>IF(BE$90=$E103,SUM(AK103:AN103),0)</f>
        <v>0</v>
      </c>
      <c r="BF103" s="244">
        <f>IF(BF$90=$E103,SUM(AL103:AO103),0)</f>
        <v>0</v>
      </c>
      <c r="BG103" s="244">
        <f>IF(BG$90=$E103,SUM(AM103:AP103),0)</f>
        <v>0</v>
      </c>
      <c r="BH103" s="244">
        <f>IF(BH$90=$E103,SUM(AN103:$AP103),0)</f>
        <v>0</v>
      </c>
      <c r="BI103" s="244">
        <f>IF(BI$90=$E103,SUM(AO103:$AP103),0)</f>
        <v>0</v>
      </c>
      <c r="BJ103" s="244">
        <f>IF(BJ$90=$E103,SUM(AP103:$AP103),0)</f>
        <v>0</v>
      </c>
      <c r="BK103" s="244">
        <f>IF(BK$90=$E103,SUM($AP103:AQ103),0)</f>
        <v>0</v>
      </c>
      <c r="BL103" s="244">
        <v>0</v>
      </c>
      <c r="BM103" s="244">
        <v>0</v>
      </c>
      <c r="BN103" s="244">
        <v>0</v>
      </c>
      <c r="BO103" s="244">
        <f t="shared" si="601"/>
        <v>0</v>
      </c>
    </row>
    <row r="104" spans="1:67" s="297" customFormat="1" ht="14.45" customHeight="1">
      <c r="A104" s="297" t="s">
        <v>143</v>
      </c>
      <c r="B104" s="245"/>
      <c r="C104" s="247"/>
      <c r="D104" s="369">
        <v>318.43</v>
      </c>
      <c r="E104" s="247" t="s">
        <v>233</v>
      </c>
      <c r="F104" s="346"/>
      <c r="G104" s="346"/>
      <c r="H104" s="346"/>
      <c r="I104" s="332"/>
      <c r="J104" s="332"/>
      <c r="K104" s="333">
        <v>0</v>
      </c>
      <c r="L104" s="333">
        <v>0</v>
      </c>
      <c r="M104" s="333">
        <v>1</v>
      </c>
      <c r="N104" s="333">
        <v>0</v>
      </c>
      <c r="O104" s="333">
        <v>0</v>
      </c>
      <c r="P104" s="333">
        <v>0</v>
      </c>
      <c r="Q104" s="333">
        <v>0</v>
      </c>
      <c r="R104" s="333">
        <v>0</v>
      </c>
      <c r="S104" s="333">
        <v>0</v>
      </c>
      <c r="T104" s="333">
        <v>0</v>
      </c>
      <c r="U104" s="333">
        <v>0</v>
      </c>
      <c r="V104" s="333"/>
      <c r="W104" s="333"/>
      <c r="X104" s="333"/>
      <c r="Y104" s="353">
        <f aca="true" t="shared" si="871" ref="Y104">SUM(F104:U104)</f>
        <v>1</v>
      </c>
      <c r="Z104" s="247"/>
      <c r="AA104" s="247"/>
      <c r="AB104" s="244">
        <f aca="true" t="shared" si="872" ref="AB104">F104*$D104</f>
        <v>0</v>
      </c>
      <c r="AC104" s="244">
        <f aca="true" t="shared" si="873" ref="AC104">G104*$D104</f>
        <v>0</v>
      </c>
      <c r="AD104" s="244">
        <f aca="true" t="shared" si="874" ref="AD104">H104*$D104</f>
        <v>0</v>
      </c>
      <c r="AE104" s="244">
        <f aca="true" t="shared" si="875" ref="AE104">I104*$D104</f>
        <v>0</v>
      </c>
      <c r="AF104" s="244">
        <f>J104*$D104</f>
        <v>0</v>
      </c>
      <c r="AG104" s="364">
        <f>K104*$D104</f>
        <v>0</v>
      </c>
      <c r="AH104" s="364">
        <f aca="true" t="shared" si="876" ref="AH104">L104*$D104</f>
        <v>0</v>
      </c>
      <c r="AI104" s="364">
        <f aca="true" t="shared" si="877" ref="AI104">M104*$D104</f>
        <v>318.43</v>
      </c>
      <c r="AJ104" s="364">
        <f aca="true" t="shared" si="878" ref="AJ104">N104*$D104</f>
        <v>0</v>
      </c>
      <c r="AK104" s="364">
        <f aca="true" t="shared" si="879" ref="AK104">O104*$D104</f>
        <v>0</v>
      </c>
      <c r="AL104" s="364">
        <f aca="true" t="shared" si="880" ref="AL104">P104*$D104</f>
        <v>0</v>
      </c>
      <c r="AM104" s="364">
        <f aca="true" t="shared" si="881" ref="AM104">Q104*$D104</f>
        <v>0</v>
      </c>
      <c r="AN104" s="364">
        <f aca="true" t="shared" si="882" ref="AN104">R104*$D104</f>
        <v>0</v>
      </c>
      <c r="AO104" s="364">
        <f aca="true" t="shared" si="883" ref="AO104">S104*$D104</f>
        <v>0</v>
      </c>
      <c r="AP104" s="364">
        <f aca="true" t="shared" si="884" ref="AP104">T104*$D104</f>
        <v>0</v>
      </c>
      <c r="AQ104" s="244">
        <f>U104*$D104</f>
        <v>0</v>
      </c>
      <c r="AR104" s="364">
        <f aca="true" t="shared" si="885" ref="AR104:AS106">V104*$D104</f>
        <v>0</v>
      </c>
      <c r="AS104" s="244">
        <f t="shared" si="885"/>
        <v>0</v>
      </c>
      <c r="AT104" s="364">
        <f aca="true" t="shared" si="886" ref="AT104:AT106">X104*$D104</f>
        <v>0</v>
      </c>
      <c r="AU104" s="244"/>
      <c r="AV104" s="244">
        <f t="shared" si="850"/>
        <v>0</v>
      </c>
      <c r="AW104" s="244">
        <f t="shared" si="862"/>
        <v>0</v>
      </c>
      <c r="AX104" s="244">
        <f aca="true" t="shared" si="887" ref="AX104:BM106">IF(AX$3=$E104,$D104,0)</f>
        <v>0</v>
      </c>
      <c r="AY104" s="244">
        <f t="shared" si="887"/>
        <v>0</v>
      </c>
      <c r="AZ104" s="244">
        <f t="shared" si="887"/>
        <v>0</v>
      </c>
      <c r="BA104" s="244">
        <f t="shared" si="887"/>
        <v>0</v>
      </c>
      <c r="BB104" s="244">
        <f t="shared" si="887"/>
        <v>0</v>
      </c>
      <c r="BC104" s="244">
        <f t="shared" si="887"/>
        <v>318.43</v>
      </c>
      <c r="BD104" s="244">
        <f t="shared" si="887"/>
        <v>0</v>
      </c>
      <c r="BE104" s="244">
        <f t="shared" si="887"/>
        <v>0</v>
      </c>
      <c r="BF104" s="244">
        <f t="shared" si="887"/>
        <v>0</v>
      </c>
      <c r="BG104" s="244">
        <f t="shared" si="887"/>
        <v>0</v>
      </c>
      <c r="BH104" s="244">
        <f t="shared" si="887"/>
        <v>0</v>
      </c>
      <c r="BI104" s="244">
        <f t="shared" si="887"/>
        <v>0</v>
      </c>
      <c r="BJ104" s="244">
        <f t="shared" si="887"/>
        <v>0</v>
      </c>
      <c r="BK104" s="244">
        <f t="shared" si="887"/>
        <v>0</v>
      </c>
      <c r="BL104" s="244">
        <f t="shared" si="887"/>
        <v>0</v>
      </c>
      <c r="BM104" s="244">
        <f t="shared" si="887"/>
        <v>0</v>
      </c>
      <c r="BN104" s="244">
        <f aca="true" t="shared" si="888" ref="BN104:BN106">IF(BN$3=$E104,$D104,0)</f>
        <v>0</v>
      </c>
      <c r="BO104" s="364">
        <f t="shared" si="601"/>
        <v>0</v>
      </c>
    </row>
    <row r="105" spans="1:67" s="297" customFormat="1" ht="14.45" customHeight="1">
      <c r="A105" s="297" t="s">
        <v>143</v>
      </c>
      <c r="B105" s="245"/>
      <c r="C105" s="247"/>
      <c r="D105" s="369">
        <v>884.24</v>
      </c>
      <c r="E105" s="247" t="s">
        <v>233</v>
      </c>
      <c r="F105" s="346"/>
      <c r="G105" s="346"/>
      <c r="H105" s="346"/>
      <c r="I105" s="332"/>
      <c r="J105" s="332"/>
      <c r="K105" s="333">
        <v>0</v>
      </c>
      <c r="L105" s="333">
        <v>0</v>
      </c>
      <c r="M105" s="333">
        <v>1</v>
      </c>
      <c r="N105" s="333">
        <v>0</v>
      </c>
      <c r="O105" s="333">
        <v>0</v>
      </c>
      <c r="P105" s="333">
        <v>0</v>
      </c>
      <c r="Q105" s="333">
        <v>0</v>
      </c>
      <c r="R105" s="333">
        <v>0</v>
      </c>
      <c r="S105" s="333">
        <v>0</v>
      </c>
      <c r="T105" s="333">
        <v>0</v>
      </c>
      <c r="U105" s="333">
        <v>0</v>
      </c>
      <c r="V105" s="333"/>
      <c r="W105" s="333"/>
      <c r="X105" s="333"/>
      <c r="Y105" s="353">
        <f aca="true" t="shared" si="889" ref="Y105">SUM(F105:U105)</f>
        <v>1</v>
      </c>
      <c r="Z105" s="247"/>
      <c r="AA105" s="247"/>
      <c r="AB105" s="244">
        <f aca="true" t="shared" si="890" ref="AB105">F105*$D105</f>
        <v>0</v>
      </c>
      <c r="AC105" s="244">
        <f aca="true" t="shared" si="891" ref="AC105">G105*$D105</f>
        <v>0</v>
      </c>
      <c r="AD105" s="244">
        <f aca="true" t="shared" si="892" ref="AD105">H105*$D105</f>
        <v>0</v>
      </c>
      <c r="AE105" s="244">
        <f aca="true" t="shared" si="893" ref="AE105">I105*$D105</f>
        <v>0</v>
      </c>
      <c r="AF105" s="244">
        <f aca="true" t="shared" si="894" ref="AF105">J105*$D105</f>
        <v>0</v>
      </c>
      <c r="AG105" s="364">
        <f aca="true" t="shared" si="895" ref="AG105">K105*$D105</f>
        <v>0</v>
      </c>
      <c r="AH105" s="364">
        <f aca="true" t="shared" si="896" ref="AH105">L105*$D105</f>
        <v>0</v>
      </c>
      <c r="AI105" s="364">
        <f aca="true" t="shared" si="897" ref="AI105">M105*$D105</f>
        <v>884.24</v>
      </c>
      <c r="AJ105" s="364">
        <f aca="true" t="shared" si="898" ref="AJ105">N105*$D105</f>
        <v>0</v>
      </c>
      <c r="AK105" s="364">
        <f aca="true" t="shared" si="899" ref="AK105">O105*$D105</f>
        <v>0</v>
      </c>
      <c r="AL105" s="364">
        <f aca="true" t="shared" si="900" ref="AL105">P105*$D105</f>
        <v>0</v>
      </c>
      <c r="AM105" s="364">
        <f aca="true" t="shared" si="901" ref="AM105">Q105*$D105</f>
        <v>0</v>
      </c>
      <c r="AN105" s="364">
        <f aca="true" t="shared" si="902" ref="AN105">R105*$D105</f>
        <v>0</v>
      </c>
      <c r="AO105" s="364">
        <f aca="true" t="shared" si="903" ref="AO105">S105*$D105</f>
        <v>0</v>
      </c>
      <c r="AP105" s="364">
        <f aca="true" t="shared" si="904" ref="AP105">T105*$D105</f>
        <v>0</v>
      </c>
      <c r="AQ105" s="244">
        <f>U105*$D105</f>
        <v>0</v>
      </c>
      <c r="AR105" s="364">
        <f t="shared" si="885"/>
        <v>0</v>
      </c>
      <c r="AS105" s="244">
        <f t="shared" si="885"/>
        <v>0</v>
      </c>
      <c r="AT105" s="364">
        <f t="shared" si="886"/>
        <v>0</v>
      </c>
      <c r="AU105" s="244"/>
      <c r="AV105" s="244">
        <f aca="true" t="shared" si="905" ref="AV105">IF(AV$90=$E105,SUM(AB105:AE105),0)</f>
        <v>0</v>
      </c>
      <c r="AW105" s="244">
        <f t="shared" si="862"/>
        <v>0</v>
      </c>
      <c r="AX105" s="244">
        <f t="shared" si="887"/>
        <v>0</v>
      </c>
      <c r="AY105" s="244">
        <f t="shared" si="887"/>
        <v>0</v>
      </c>
      <c r="AZ105" s="244">
        <f t="shared" si="887"/>
        <v>0</v>
      </c>
      <c r="BA105" s="244">
        <f t="shared" si="887"/>
        <v>0</v>
      </c>
      <c r="BB105" s="244">
        <f t="shared" si="887"/>
        <v>0</v>
      </c>
      <c r="BC105" s="244">
        <f t="shared" si="887"/>
        <v>884.24</v>
      </c>
      <c r="BD105" s="244">
        <f t="shared" si="887"/>
        <v>0</v>
      </c>
      <c r="BE105" s="244">
        <f t="shared" si="887"/>
        <v>0</v>
      </c>
      <c r="BF105" s="244">
        <f t="shared" si="887"/>
        <v>0</v>
      </c>
      <c r="BG105" s="244">
        <f t="shared" si="887"/>
        <v>0</v>
      </c>
      <c r="BH105" s="244">
        <f t="shared" si="887"/>
        <v>0</v>
      </c>
      <c r="BI105" s="244">
        <f t="shared" si="887"/>
        <v>0</v>
      </c>
      <c r="BJ105" s="244">
        <f t="shared" si="887"/>
        <v>0</v>
      </c>
      <c r="BK105" s="244">
        <f t="shared" si="887"/>
        <v>0</v>
      </c>
      <c r="BL105" s="244">
        <f t="shared" si="887"/>
        <v>0</v>
      </c>
      <c r="BM105" s="244">
        <f t="shared" si="887"/>
        <v>0</v>
      </c>
      <c r="BN105" s="244">
        <f t="shared" si="888"/>
        <v>0</v>
      </c>
      <c r="BO105" s="364">
        <f t="shared" si="601"/>
        <v>0</v>
      </c>
    </row>
    <row r="106" spans="1:67" s="297" customFormat="1" ht="14.45" customHeight="1">
      <c r="A106" s="297" t="s">
        <v>143</v>
      </c>
      <c r="B106" s="245"/>
      <c r="C106" s="247"/>
      <c r="D106" s="369">
        <v>0</v>
      </c>
      <c r="E106" s="247" t="s">
        <v>259</v>
      </c>
      <c r="F106" s="346"/>
      <c r="G106" s="346"/>
      <c r="H106" s="346"/>
      <c r="I106" s="332"/>
      <c r="J106" s="332"/>
      <c r="K106" s="333">
        <v>0</v>
      </c>
      <c r="L106" s="333">
        <v>0</v>
      </c>
      <c r="M106" s="333">
        <v>0</v>
      </c>
      <c r="N106" s="333">
        <v>0</v>
      </c>
      <c r="O106" s="333">
        <v>0</v>
      </c>
      <c r="P106" s="333">
        <v>0</v>
      </c>
      <c r="Q106" s="333">
        <v>0</v>
      </c>
      <c r="R106" s="333">
        <v>0</v>
      </c>
      <c r="S106" s="333">
        <v>0</v>
      </c>
      <c r="T106" s="333">
        <v>0</v>
      </c>
      <c r="U106" s="333">
        <v>0</v>
      </c>
      <c r="V106" s="333"/>
      <c r="W106" s="333"/>
      <c r="X106" s="333"/>
      <c r="Y106" s="353">
        <f aca="true" t="shared" si="906" ref="Y106">SUM(F106:U106)</f>
        <v>0</v>
      </c>
      <c r="Z106" s="247"/>
      <c r="AA106" s="247"/>
      <c r="AB106" s="244">
        <f aca="true" t="shared" si="907" ref="AB106">F106*$D106</f>
        <v>0</v>
      </c>
      <c r="AC106" s="244">
        <f aca="true" t="shared" si="908" ref="AC106">G106*$D106</f>
        <v>0</v>
      </c>
      <c r="AD106" s="244">
        <f aca="true" t="shared" si="909" ref="AD106">H106*$D106</f>
        <v>0</v>
      </c>
      <c r="AE106" s="244">
        <f aca="true" t="shared" si="910" ref="AE106">I106*$D106</f>
        <v>0</v>
      </c>
      <c r="AF106" s="244">
        <f aca="true" t="shared" si="911" ref="AF106">J106*$D106</f>
        <v>0</v>
      </c>
      <c r="AG106" s="364">
        <f aca="true" t="shared" si="912" ref="AG106">K106*$D106</f>
        <v>0</v>
      </c>
      <c r="AH106" s="364">
        <f aca="true" t="shared" si="913" ref="AH106">L106*$D106</f>
        <v>0</v>
      </c>
      <c r="AI106" s="364">
        <f aca="true" t="shared" si="914" ref="AI106">M106*$D106</f>
        <v>0</v>
      </c>
      <c r="AJ106" s="364">
        <f aca="true" t="shared" si="915" ref="AJ106">N106*$D106</f>
        <v>0</v>
      </c>
      <c r="AK106" s="364">
        <f aca="true" t="shared" si="916" ref="AK106">O106*$D106</f>
        <v>0</v>
      </c>
      <c r="AL106" s="364">
        <f aca="true" t="shared" si="917" ref="AL106">P106*$D106</f>
        <v>0</v>
      </c>
      <c r="AM106" s="364">
        <f aca="true" t="shared" si="918" ref="AM106">Q106*$D106</f>
        <v>0</v>
      </c>
      <c r="AN106" s="364">
        <f aca="true" t="shared" si="919" ref="AN106">R106*$D106</f>
        <v>0</v>
      </c>
      <c r="AO106" s="364">
        <f aca="true" t="shared" si="920" ref="AO106">S106*$D106</f>
        <v>0</v>
      </c>
      <c r="AP106" s="364">
        <f aca="true" t="shared" si="921" ref="AP106">T106*$D106</f>
        <v>0</v>
      </c>
      <c r="AQ106" s="244">
        <f>U106*$D106</f>
        <v>0</v>
      </c>
      <c r="AR106" s="364">
        <f t="shared" si="885"/>
        <v>0</v>
      </c>
      <c r="AS106" s="244">
        <f t="shared" si="885"/>
        <v>0</v>
      </c>
      <c r="AT106" s="364">
        <f t="shared" si="886"/>
        <v>0</v>
      </c>
      <c r="AU106" s="244"/>
      <c r="AV106" s="244">
        <f t="shared" si="850"/>
        <v>0</v>
      </c>
      <c r="AW106" s="244">
        <f t="shared" si="862"/>
        <v>0</v>
      </c>
      <c r="AX106" s="244">
        <f t="shared" si="887"/>
        <v>0</v>
      </c>
      <c r="AY106" s="244">
        <f t="shared" si="887"/>
        <v>0</v>
      </c>
      <c r="AZ106" s="244">
        <f t="shared" si="887"/>
        <v>0</v>
      </c>
      <c r="BA106" s="244">
        <f t="shared" si="887"/>
        <v>0</v>
      </c>
      <c r="BB106" s="244">
        <f t="shared" si="887"/>
        <v>0</v>
      </c>
      <c r="BC106" s="244">
        <f t="shared" si="887"/>
        <v>0</v>
      </c>
      <c r="BD106" s="244">
        <f t="shared" si="887"/>
        <v>0</v>
      </c>
      <c r="BE106" s="244">
        <f t="shared" si="887"/>
        <v>0</v>
      </c>
      <c r="BF106" s="244">
        <f t="shared" si="887"/>
        <v>0</v>
      </c>
      <c r="BG106" s="244">
        <f t="shared" si="887"/>
        <v>0</v>
      </c>
      <c r="BH106" s="244">
        <f t="shared" si="887"/>
        <v>0</v>
      </c>
      <c r="BI106" s="244">
        <f t="shared" si="887"/>
        <v>0</v>
      </c>
      <c r="BJ106" s="244">
        <f t="shared" si="887"/>
        <v>0</v>
      </c>
      <c r="BK106" s="244">
        <f t="shared" si="887"/>
        <v>0</v>
      </c>
      <c r="BL106" s="244">
        <f t="shared" si="887"/>
        <v>0</v>
      </c>
      <c r="BM106" s="244">
        <f t="shared" si="887"/>
        <v>0</v>
      </c>
      <c r="BN106" s="244">
        <f t="shared" si="888"/>
        <v>0</v>
      </c>
      <c r="BO106" s="364">
        <f t="shared" si="601"/>
        <v>0</v>
      </c>
    </row>
    <row r="107" spans="1:67" ht="14.45" customHeight="1" outlineLevel="1">
      <c r="A107" t="s">
        <v>143</v>
      </c>
      <c r="B107" s="245"/>
      <c r="C107" s="247"/>
      <c r="D107" s="364">
        <f>SUM(F107:X107)</f>
        <v>126751.6</v>
      </c>
      <c r="E107" s="332" t="s">
        <v>211</v>
      </c>
      <c r="F107" s="247"/>
      <c r="G107" s="340"/>
      <c r="H107" s="354"/>
      <c r="I107" s="340">
        <v>0</v>
      </c>
      <c r="J107" s="358">
        <v>8041.6</v>
      </c>
      <c r="K107" s="358">
        <v>8903.2</v>
      </c>
      <c r="L107" s="358">
        <v>8185.2</v>
      </c>
      <c r="M107" s="358">
        <v>8616</v>
      </c>
      <c r="N107" s="358">
        <v>9190.4</v>
      </c>
      <c r="O107" s="340">
        <v>8903.2</v>
      </c>
      <c r="P107" s="340">
        <v>8400</v>
      </c>
      <c r="Q107" s="340">
        <v>8400</v>
      </c>
      <c r="R107" s="340">
        <v>8400</v>
      </c>
      <c r="S107" s="340">
        <v>8000</v>
      </c>
      <c r="T107" s="340">
        <v>8112</v>
      </c>
      <c r="U107" s="340">
        <v>8400</v>
      </c>
      <c r="V107" s="340">
        <v>8400</v>
      </c>
      <c r="W107" s="340">
        <v>8400</v>
      </c>
      <c r="X107" s="340">
        <v>8400</v>
      </c>
      <c r="Y107" s="340">
        <f>SUM(F107:X107)</f>
        <v>126751.6</v>
      </c>
      <c r="Z107" s="247"/>
      <c r="AA107" s="247"/>
      <c r="AB107" s="244">
        <f t="shared" si="786"/>
        <v>0</v>
      </c>
      <c r="AC107" s="244">
        <f aca="true" t="shared" si="922" ref="AC107:AP107">G107</f>
        <v>0</v>
      </c>
      <c r="AD107" s="244">
        <f t="shared" si="922"/>
        <v>0</v>
      </c>
      <c r="AE107" s="244">
        <f t="shared" si="922"/>
        <v>0</v>
      </c>
      <c r="AF107" s="244">
        <f t="shared" si="922"/>
        <v>8041.6</v>
      </c>
      <c r="AG107" s="364">
        <f t="shared" si="922"/>
        <v>8903.2</v>
      </c>
      <c r="AH107" s="364">
        <f t="shared" si="922"/>
        <v>8185.2</v>
      </c>
      <c r="AI107" s="364">
        <f t="shared" si="922"/>
        <v>8616</v>
      </c>
      <c r="AJ107" s="364">
        <f t="shared" si="922"/>
        <v>9190.4</v>
      </c>
      <c r="AK107" s="364">
        <f t="shared" si="922"/>
        <v>8903.2</v>
      </c>
      <c r="AL107" s="364">
        <f t="shared" si="922"/>
        <v>8400</v>
      </c>
      <c r="AM107" s="364">
        <f t="shared" si="922"/>
        <v>8400</v>
      </c>
      <c r="AN107" s="364">
        <f t="shared" si="922"/>
        <v>8400</v>
      </c>
      <c r="AO107" s="364">
        <f t="shared" si="922"/>
        <v>8000</v>
      </c>
      <c r="AP107" s="364">
        <f t="shared" si="922"/>
        <v>8112</v>
      </c>
      <c r="AQ107" s="364">
        <f aca="true" t="shared" si="923" ref="AQ107:AS107">U107</f>
        <v>8400</v>
      </c>
      <c r="AR107" s="364">
        <f t="shared" si="923"/>
        <v>8400</v>
      </c>
      <c r="AS107" s="364">
        <f t="shared" si="923"/>
        <v>8400</v>
      </c>
      <c r="AT107" s="364">
        <f aca="true" t="shared" si="924" ref="AT107">X107</f>
        <v>8400</v>
      </c>
      <c r="AU107" s="244"/>
      <c r="AV107" s="244">
        <f t="shared" si="850"/>
        <v>0</v>
      </c>
      <c r="AW107" s="244">
        <f t="shared" si="862"/>
        <v>0</v>
      </c>
      <c r="AX107" s="244">
        <f>IF(AX$90=$E107,SUM(AD107:AG107),0)</f>
        <v>0</v>
      </c>
      <c r="AY107" s="244">
        <v>34607.6</v>
      </c>
      <c r="AZ107" s="244">
        <f aca="true" t="shared" si="925" ref="AZ107:BN107">IF(AZ$90=$E107,SUM(AF107:AI107),0)</f>
        <v>0</v>
      </c>
      <c r="BA107" s="244">
        <f t="shared" si="925"/>
        <v>0</v>
      </c>
      <c r="BB107" s="244">
        <f t="shared" si="925"/>
        <v>0</v>
      </c>
      <c r="BC107" s="244">
        <v>0</v>
      </c>
      <c r="BD107" s="244">
        <v>35002.5</v>
      </c>
      <c r="BE107" s="244">
        <f t="shared" si="925"/>
        <v>0</v>
      </c>
      <c r="BF107" s="244">
        <f t="shared" si="925"/>
        <v>0</v>
      </c>
      <c r="BG107" s="244">
        <f t="shared" si="925"/>
        <v>32912</v>
      </c>
      <c r="BH107" s="244">
        <f t="shared" si="925"/>
        <v>0</v>
      </c>
      <c r="BI107" s="244">
        <f t="shared" si="925"/>
        <v>0</v>
      </c>
      <c r="BJ107" s="244">
        <f t="shared" si="925"/>
        <v>0</v>
      </c>
      <c r="BK107" s="244">
        <f>IF(BK$90=$E107,SUM(AQ107:AT107),0)-9477.6+107.1</f>
        <v>24229.5</v>
      </c>
      <c r="BL107" s="244">
        <f t="shared" si="925"/>
        <v>0</v>
      </c>
      <c r="BM107" s="244">
        <f t="shared" si="925"/>
        <v>0</v>
      </c>
      <c r="BN107" s="244">
        <f t="shared" si="925"/>
        <v>0</v>
      </c>
      <c r="BO107" s="364">
        <f t="shared" si="601"/>
        <v>0</v>
      </c>
    </row>
    <row r="108" spans="3:67" ht="14.45" customHeight="1">
      <c r="C108" s="247"/>
      <c r="D108" s="247"/>
      <c r="E108" s="247"/>
      <c r="F108" s="247"/>
      <c r="G108" s="340"/>
      <c r="H108" s="354"/>
      <c r="I108" s="340"/>
      <c r="J108" s="340"/>
      <c r="K108" s="340"/>
      <c r="L108" s="340"/>
      <c r="M108" s="340"/>
      <c r="N108" s="340"/>
      <c r="O108" s="340"/>
      <c r="P108" s="340"/>
      <c r="Q108" s="340"/>
      <c r="R108" s="340"/>
      <c r="S108" s="340"/>
      <c r="T108" s="340"/>
      <c r="U108" s="340"/>
      <c r="V108" s="340"/>
      <c r="W108" s="340"/>
      <c r="X108" s="340"/>
      <c r="Y108" s="340"/>
      <c r="Z108" s="247"/>
      <c r="AA108" s="247"/>
      <c r="AB108" s="244"/>
      <c r="AC108" s="244"/>
      <c r="AD108" s="244"/>
      <c r="AE108" s="244"/>
      <c r="AF108" s="244"/>
      <c r="AG108" s="244"/>
      <c r="AH108" s="244"/>
      <c r="AI108" s="247"/>
      <c r="AJ108" s="247"/>
      <c r="AK108" s="247"/>
      <c r="AL108" s="247"/>
      <c r="AM108" s="247"/>
      <c r="AN108" s="247"/>
      <c r="AO108" s="247"/>
      <c r="AP108" s="247"/>
      <c r="AQ108" s="247"/>
      <c r="AR108" s="247"/>
      <c r="AS108" s="247"/>
      <c r="AT108" s="247"/>
      <c r="AU108" s="247"/>
      <c r="AV108" s="244"/>
      <c r="AW108" s="244"/>
      <c r="AX108" s="244"/>
      <c r="AY108" s="244"/>
      <c r="AZ108" s="244"/>
      <c r="BA108" s="244"/>
      <c r="BB108" s="244"/>
      <c r="BC108" s="244"/>
      <c r="BD108" s="247"/>
      <c r="BE108" s="247"/>
      <c r="BF108" s="247"/>
      <c r="BG108" s="247"/>
      <c r="BH108" s="247"/>
      <c r="BI108" s="247"/>
      <c r="BJ108" s="247"/>
      <c r="BK108" s="247"/>
      <c r="BL108" s="247"/>
      <c r="BM108" s="247"/>
      <c r="BN108" s="247"/>
      <c r="BO108" s="244">
        <f t="shared" si="601"/>
        <v>0</v>
      </c>
    </row>
    <row r="109" spans="1:67" ht="14.45" customHeight="1">
      <c r="A109" s="236" t="s">
        <v>203</v>
      </c>
      <c r="B109" s="236"/>
      <c r="C109" s="247"/>
      <c r="D109" s="247"/>
      <c r="E109" s="247"/>
      <c r="F109" s="247"/>
      <c r="G109" s="340"/>
      <c r="H109" s="354"/>
      <c r="I109" s="340"/>
      <c r="J109" s="340"/>
      <c r="K109" s="340"/>
      <c r="L109" s="340"/>
      <c r="M109" s="340"/>
      <c r="N109" s="340"/>
      <c r="O109" s="340"/>
      <c r="P109" s="340"/>
      <c r="Q109" s="340"/>
      <c r="R109" s="340"/>
      <c r="S109" s="340"/>
      <c r="T109" s="340"/>
      <c r="U109" s="340"/>
      <c r="V109" s="340"/>
      <c r="W109" s="340"/>
      <c r="X109" s="340"/>
      <c r="Y109" s="340"/>
      <c r="Z109" s="247"/>
      <c r="AA109" s="247"/>
      <c r="AB109" s="244"/>
      <c r="AC109" s="244"/>
      <c r="AD109" s="244"/>
      <c r="AE109" s="244"/>
      <c r="AF109" s="244"/>
      <c r="AG109" s="244"/>
      <c r="AH109" s="244"/>
      <c r="AI109" s="247"/>
      <c r="AJ109" s="247"/>
      <c r="AK109" s="247"/>
      <c r="AL109" s="247"/>
      <c r="AM109" s="247"/>
      <c r="AN109" s="247"/>
      <c r="AO109" s="247"/>
      <c r="AP109" s="247"/>
      <c r="AQ109" s="247"/>
      <c r="AR109" s="247"/>
      <c r="AS109" s="247"/>
      <c r="AT109" s="247"/>
      <c r="AU109" s="247"/>
      <c r="AV109" s="244"/>
      <c r="AW109" s="244"/>
      <c r="AX109" s="244"/>
      <c r="AY109" s="244"/>
      <c r="AZ109" s="244"/>
      <c r="BA109" s="244"/>
      <c r="BB109" s="244"/>
      <c r="BC109" s="244"/>
      <c r="BD109" s="247"/>
      <c r="BE109" s="247"/>
      <c r="BF109" s="247"/>
      <c r="BG109" s="247"/>
      <c r="BH109" s="247"/>
      <c r="BI109" s="247"/>
      <c r="BJ109" s="247"/>
      <c r="BK109" s="247"/>
      <c r="BL109" s="247"/>
      <c r="BM109" s="247"/>
      <c r="BN109" s="247"/>
      <c r="BO109" s="244">
        <f t="shared" si="601"/>
        <v>0</v>
      </c>
    </row>
    <row r="110" spans="1:67" ht="14.45" customHeight="1">
      <c r="A110" t="s">
        <v>158</v>
      </c>
      <c r="B110" s="256"/>
      <c r="C110" s="247"/>
      <c r="D110" s="335">
        <v>18000</v>
      </c>
      <c r="E110" s="247"/>
      <c r="F110" s="364"/>
      <c r="G110" s="358">
        <v>1000</v>
      </c>
      <c r="H110" s="359">
        <v>0</v>
      </c>
      <c r="I110" s="358">
        <v>1672.1</v>
      </c>
      <c r="J110" s="358">
        <v>0</v>
      </c>
      <c r="K110" s="358">
        <v>0</v>
      </c>
      <c r="L110" s="358">
        <v>0</v>
      </c>
      <c r="M110" s="358">
        <v>0</v>
      </c>
      <c r="N110" s="358">
        <v>0</v>
      </c>
      <c r="O110" s="358">
        <v>0</v>
      </c>
      <c r="P110" s="358">
        <v>0</v>
      </c>
      <c r="Q110" s="358">
        <v>5000</v>
      </c>
      <c r="R110" s="358">
        <v>2000</v>
      </c>
      <c r="S110" s="358">
        <v>2000</v>
      </c>
      <c r="T110" s="358">
        <f>2000</f>
        <v>2000</v>
      </c>
      <c r="U110" s="358">
        <f>3000-1672.1</f>
        <v>1327.9</v>
      </c>
      <c r="V110" s="358"/>
      <c r="W110" s="358">
        <v>3000</v>
      </c>
      <c r="X110" s="358"/>
      <c r="Y110" s="358">
        <f>SUM(F110:X110)</f>
        <v>18000</v>
      </c>
      <c r="Z110" s="247"/>
      <c r="AA110" s="247"/>
      <c r="AB110" s="244">
        <f aca="true" t="shared" si="926" ref="AB110:AB111">F110</f>
        <v>0</v>
      </c>
      <c r="AC110" s="244">
        <f aca="true" t="shared" si="927" ref="AC110:AC111">G110</f>
        <v>1000</v>
      </c>
      <c r="AD110" s="244">
        <f aca="true" t="shared" si="928" ref="AD110:AD111">H110</f>
        <v>0</v>
      </c>
      <c r="AE110" s="244">
        <f aca="true" t="shared" si="929" ref="AE110:AE111">I110</f>
        <v>1672.1</v>
      </c>
      <c r="AF110" s="244">
        <f aca="true" t="shared" si="930" ref="AF110:AF111">J110</f>
        <v>0</v>
      </c>
      <c r="AG110" s="244">
        <f aca="true" t="shared" si="931" ref="AG110:AG111">K110</f>
        <v>0</v>
      </c>
      <c r="AH110" s="244">
        <f aca="true" t="shared" si="932" ref="AH110:AH111">L110</f>
        <v>0</v>
      </c>
      <c r="AI110" s="364">
        <f aca="true" t="shared" si="933" ref="AI110:AI111">M110</f>
        <v>0</v>
      </c>
      <c r="AJ110" s="364">
        <f aca="true" t="shared" si="934" ref="AJ110:AJ111">N110</f>
        <v>0</v>
      </c>
      <c r="AK110" s="244">
        <f aca="true" t="shared" si="935" ref="AK110:AK111">O110</f>
        <v>0</v>
      </c>
      <c r="AL110" s="244">
        <f aca="true" t="shared" si="936" ref="AL110:AL111">P110</f>
        <v>0</v>
      </c>
      <c r="AM110" s="244">
        <f aca="true" t="shared" si="937" ref="AM110:AM111">Q110</f>
        <v>5000</v>
      </c>
      <c r="AN110" s="244">
        <f aca="true" t="shared" si="938" ref="AN110:AN111">R110</f>
        <v>2000</v>
      </c>
      <c r="AO110" s="244">
        <f aca="true" t="shared" si="939" ref="AO110:AO111">S110</f>
        <v>2000</v>
      </c>
      <c r="AP110" s="244">
        <f aca="true" t="shared" si="940" ref="AP110:AP111">T110</f>
        <v>2000</v>
      </c>
      <c r="AQ110" s="244">
        <f>U110</f>
        <v>1327.9</v>
      </c>
      <c r="AR110" s="244">
        <f aca="true" t="shared" si="941" ref="AR110:AR111">V110</f>
        <v>0</v>
      </c>
      <c r="AS110" s="244">
        <f aca="true" t="shared" si="942" ref="AS110:AS111">W110</f>
        <v>3000</v>
      </c>
      <c r="AT110" s="244">
        <f aca="true" t="shared" si="943" ref="AT110:AT111">X110</f>
        <v>0</v>
      </c>
      <c r="AU110" s="244"/>
      <c r="AV110" s="244">
        <f aca="true" t="shared" si="944" ref="AV110:BJ111">AB110</f>
        <v>0</v>
      </c>
      <c r="AW110" s="244">
        <f t="shared" si="944"/>
        <v>1000</v>
      </c>
      <c r="AX110" s="244">
        <f t="shared" si="944"/>
        <v>0</v>
      </c>
      <c r="AY110" s="244">
        <f t="shared" si="944"/>
        <v>1672.1</v>
      </c>
      <c r="AZ110" s="244">
        <f t="shared" si="944"/>
        <v>0</v>
      </c>
      <c r="BA110" s="244">
        <f t="shared" si="944"/>
        <v>0</v>
      </c>
      <c r="BB110" s="244">
        <f t="shared" si="944"/>
        <v>0</v>
      </c>
      <c r="BC110" s="244">
        <f t="shared" si="944"/>
        <v>0</v>
      </c>
      <c r="BD110" s="244">
        <f t="shared" si="944"/>
        <v>0</v>
      </c>
      <c r="BE110" s="244">
        <f t="shared" si="944"/>
        <v>0</v>
      </c>
      <c r="BF110" s="244">
        <f t="shared" si="944"/>
        <v>0</v>
      </c>
      <c r="BG110" s="244">
        <f t="shared" si="944"/>
        <v>5000</v>
      </c>
      <c r="BH110" s="244">
        <f t="shared" si="944"/>
        <v>2000</v>
      </c>
      <c r="BI110" s="244">
        <f t="shared" si="944"/>
        <v>2000</v>
      </c>
      <c r="BJ110" s="244">
        <f t="shared" si="944"/>
        <v>2000</v>
      </c>
      <c r="BK110" s="244">
        <f aca="true" t="shared" si="945" ref="BK110:BK111">AQ110</f>
        <v>1327.9</v>
      </c>
      <c r="BL110" s="244">
        <f aca="true" t="shared" si="946" ref="BL110:BL111">AR110</f>
        <v>0</v>
      </c>
      <c r="BM110" s="244">
        <f aca="true" t="shared" si="947" ref="BM110:BM111">AS110</f>
        <v>3000</v>
      </c>
      <c r="BN110" s="244">
        <f aca="true" t="shared" si="948" ref="BN110:BN111">AT110</f>
        <v>0</v>
      </c>
      <c r="BO110" s="244">
        <f t="shared" si="601"/>
        <v>0</v>
      </c>
    </row>
    <row r="111" spans="1:67" ht="14.45" customHeight="1">
      <c r="A111" t="s">
        <v>156</v>
      </c>
      <c r="B111" s="256"/>
      <c r="C111" s="247"/>
      <c r="D111" s="335">
        <v>35000</v>
      </c>
      <c r="E111" s="247"/>
      <c r="F111" s="364"/>
      <c r="G111" s="358">
        <v>0</v>
      </c>
      <c r="H111" s="358">
        <v>0</v>
      </c>
      <c r="I111" s="358">
        <f>3399.77+118.74</f>
        <v>3518.5099999999998</v>
      </c>
      <c r="J111" s="358">
        <v>0</v>
      </c>
      <c r="K111" s="358">
        <v>276.14</v>
      </c>
      <c r="L111" s="358">
        <v>0</v>
      </c>
      <c r="M111" s="358">
        <f>15956.99</f>
        <v>15956.99</v>
      </c>
      <c r="N111" s="358">
        <v>4226.4</v>
      </c>
      <c r="O111" s="358">
        <v>5000</v>
      </c>
      <c r="P111" s="358">
        <v>500</v>
      </c>
      <c r="Q111" s="358">
        <v>1000</v>
      </c>
      <c r="R111" s="358">
        <f>8205.35-1000-1500-3000</f>
        <v>2705.3500000000004</v>
      </c>
      <c r="S111" s="358">
        <v>1000</v>
      </c>
      <c r="T111" s="340">
        <v>1000</v>
      </c>
      <c r="U111" s="358">
        <v>2436.26</v>
      </c>
      <c r="V111" s="340"/>
      <c r="W111" s="340"/>
      <c r="X111" s="340"/>
      <c r="Y111" s="358">
        <f>SUM(F111:U111)</f>
        <v>37619.65</v>
      </c>
      <c r="Z111" s="247"/>
      <c r="AA111" s="247"/>
      <c r="AB111" s="244">
        <f t="shared" si="926"/>
        <v>0</v>
      </c>
      <c r="AC111" s="244">
        <f t="shared" si="927"/>
        <v>0</v>
      </c>
      <c r="AD111" s="244">
        <f t="shared" si="928"/>
        <v>0</v>
      </c>
      <c r="AE111" s="244">
        <f t="shared" si="929"/>
        <v>3518.5099999999998</v>
      </c>
      <c r="AF111" s="244">
        <f t="shared" si="930"/>
        <v>0</v>
      </c>
      <c r="AG111" s="244">
        <f t="shared" si="931"/>
        <v>276.14</v>
      </c>
      <c r="AH111" s="244">
        <f t="shared" si="932"/>
        <v>0</v>
      </c>
      <c r="AI111" s="364">
        <f t="shared" si="933"/>
        <v>15956.99</v>
      </c>
      <c r="AJ111" s="364">
        <f t="shared" si="934"/>
        <v>4226.4</v>
      </c>
      <c r="AK111" s="244">
        <f t="shared" si="935"/>
        <v>5000</v>
      </c>
      <c r="AL111" s="244">
        <f t="shared" si="936"/>
        <v>500</v>
      </c>
      <c r="AM111" s="244">
        <f t="shared" si="937"/>
        <v>1000</v>
      </c>
      <c r="AN111" s="244">
        <f t="shared" si="938"/>
        <v>2705.3500000000004</v>
      </c>
      <c r="AO111" s="244">
        <f t="shared" si="939"/>
        <v>1000</v>
      </c>
      <c r="AP111" s="244">
        <f t="shared" si="940"/>
        <v>1000</v>
      </c>
      <c r="AQ111" s="244">
        <f>U111</f>
        <v>2436.26</v>
      </c>
      <c r="AR111" s="244">
        <f t="shared" si="941"/>
        <v>0</v>
      </c>
      <c r="AS111" s="244">
        <f t="shared" si="942"/>
        <v>0</v>
      </c>
      <c r="AT111" s="244">
        <f t="shared" si="943"/>
        <v>0</v>
      </c>
      <c r="AU111" s="244"/>
      <c r="AV111" s="244">
        <f t="shared" si="944"/>
        <v>0</v>
      </c>
      <c r="AW111" s="244">
        <f t="shared" si="944"/>
        <v>0</v>
      </c>
      <c r="AX111" s="244">
        <f t="shared" si="944"/>
        <v>0</v>
      </c>
      <c r="AY111" s="244">
        <f t="shared" si="944"/>
        <v>3518.5099999999998</v>
      </c>
      <c r="AZ111" s="244">
        <f t="shared" si="944"/>
        <v>0</v>
      </c>
      <c r="BA111" s="244">
        <f t="shared" si="944"/>
        <v>276.14</v>
      </c>
      <c r="BB111" s="244">
        <f t="shared" si="944"/>
        <v>0</v>
      </c>
      <c r="BC111" s="244">
        <f t="shared" si="944"/>
        <v>15956.99</v>
      </c>
      <c r="BD111" s="244">
        <f t="shared" si="944"/>
        <v>4226.4</v>
      </c>
      <c r="BE111" s="244">
        <f t="shared" si="944"/>
        <v>5000</v>
      </c>
      <c r="BF111" s="244">
        <f t="shared" si="944"/>
        <v>500</v>
      </c>
      <c r="BG111" s="244">
        <f t="shared" si="944"/>
        <v>1000</v>
      </c>
      <c r="BH111" s="244">
        <f t="shared" si="944"/>
        <v>2705.3500000000004</v>
      </c>
      <c r="BI111" s="244">
        <f t="shared" si="944"/>
        <v>1000</v>
      </c>
      <c r="BJ111" s="244">
        <f t="shared" si="944"/>
        <v>1000</v>
      </c>
      <c r="BK111" s="244">
        <f t="shared" si="945"/>
        <v>2436.26</v>
      </c>
      <c r="BL111" s="244">
        <f t="shared" si="946"/>
        <v>0</v>
      </c>
      <c r="BM111" s="244">
        <f t="shared" si="947"/>
        <v>0</v>
      </c>
      <c r="BN111" s="244">
        <f t="shared" si="948"/>
        <v>0</v>
      </c>
      <c r="BO111" s="244">
        <f t="shared" si="601"/>
        <v>0</v>
      </c>
    </row>
    <row r="112" spans="1:46" s="247" customFormat="1" ht="14.45" customHeight="1">
      <c r="A112" s="248"/>
      <c r="D112" s="249"/>
      <c r="H112" s="320"/>
      <c r="Y112" s="250"/>
      <c r="Z112" s="297"/>
      <c r="AA112" s="297"/>
      <c r="AB112" s="244"/>
      <c r="AC112" s="244"/>
      <c r="AD112" s="244"/>
      <c r="AE112" s="244"/>
      <c r="AF112" s="244"/>
      <c r="AG112" s="244"/>
      <c r="AH112" s="244"/>
      <c r="AI112" s="244"/>
      <c r="AJ112" s="244"/>
      <c r="AK112" s="244"/>
      <c r="AL112" s="244"/>
      <c r="AM112" s="244"/>
      <c r="AN112" s="244"/>
      <c r="AO112" s="244"/>
      <c r="AP112" s="244"/>
      <c r="AR112" s="244"/>
      <c r="AT112" s="244"/>
    </row>
    <row r="113" spans="2:28" ht="14.45" customHeight="1">
      <c r="B113" s="239"/>
      <c r="D113" s="251">
        <f>SUM(D4:D111)</f>
        <v>25860689.09</v>
      </c>
      <c r="E113" s="255"/>
      <c r="F113" s="255"/>
      <c r="G113" s="255"/>
      <c r="H113" s="320"/>
      <c r="I113" s="255"/>
      <c r="J113" s="255"/>
      <c r="K113" s="255"/>
      <c r="L113" s="255"/>
      <c r="M113" s="255"/>
      <c r="N113" s="255"/>
      <c r="O113" s="255"/>
      <c r="P113" s="255"/>
      <c r="Q113" s="255"/>
      <c r="R113" s="255"/>
      <c r="S113" s="247"/>
      <c r="T113" s="255"/>
      <c r="U113" s="352"/>
      <c r="V113" s="352"/>
      <c r="W113" s="352"/>
      <c r="X113" s="352"/>
      <c r="Y113" s="255"/>
      <c r="Z113" s="297"/>
      <c r="AA113" s="297"/>
      <c r="AB113" s="235" t="s">
        <v>116</v>
      </c>
    </row>
    <row r="114" spans="4:28" ht="14.45" customHeight="1">
      <c r="D114" s="254"/>
      <c r="E114" s="255"/>
      <c r="F114" s="255"/>
      <c r="G114" s="255"/>
      <c r="H114" s="320"/>
      <c r="I114" s="255"/>
      <c r="J114" s="255"/>
      <c r="K114" s="255"/>
      <c r="L114" s="255"/>
      <c r="M114" s="255"/>
      <c r="N114" s="255"/>
      <c r="O114" s="255"/>
      <c r="P114" s="255"/>
      <c r="Q114" s="255"/>
      <c r="R114" s="255"/>
      <c r="S114" s="255"/>
      <c r="T114" s="255"/>
      <c r="U114" s="255"/>
      <c r="V114" s="255"/>
      <c r="W114" s="255"/>
      <c r="X114" s="255"/>
      <c r="Y114" s="255"/>
      <c r="Z114" s="297"/>
      <c r="AA114" s="297"/>
      <c r="AB114" s="235"/>
    </row>
    <row r="115" spans="1:19" ht="14.45" customHeight="1">
      <c r="A115" s="297" t="s">
        <v>140</v>
      </c>
      <c r="B115" s="441"/>
      <c r="C115" s="441"/>
      <c r="D115" s="367">
        <f>SUMIF($A$4:$A$112,"="&amp;A115,$D$4:$D$112)</f>
        <v>7793016.09</v>
      </c>
      <c r="E115" s="247"/>
      <c r="F115" s="247"/>
      <c r="G115" s="247"/>
      <c r="H115" s="320"/>
      <c r="I115" s="247"/>
      <c r="J115" s="247"/>
      <c r="K115" s="247"/>
      <c r="L115" s="247"/>
      <c r="S115" s="301"/>
    </row>
    <row r="116" spans="1:12" ht="14.45" customHeight="1">
      <c r="A116" s="297" t="s">
        <v>141</v>
      </c>
      <c r="B116" s="441"/>
      <c r="C116" s="441"/>
      <c r="D116" s="367">
        <f>SUMIF($A$4:$A$112,"="&amp;A116,$D$4:$D$112)</f>
        <v>4198997.83</v>
      </c>
      <c r="E116" s="247"/>
      <c r="F116" s="247"/>
      <c r="G116" s="247"/>
      <c r="H116" s="320"/>
      <c r="I116" s="247"/>
      <c r="J116" s="247"/>
      <c r="K116" s="247"/>
      <c r="L116" s="247"/>
    </row>
    <row r="117" spans="1:20" ht="14.45" customHeight="1">
      <c r="A117" s="297" t="s">
        <v>143</v>
      </c>
      <c r="B117" s="441"/>
      <c r="C117" s="441"/>
      <c r="D117" s="367">
        <f>SUMIF($A$4:$A$112,"="&amp;A117,$D$4:$D$112)</f>
        <v>4297461.11</v>
      </c>
      <c r="E117" s="247"/>
      <c r="F117" s="247"/>
      <c r="G117" s="247"/>
      <c r="H117" s="320"/>
      <c r="I117" s="247"/>
      <c r="J117" s="247"/>
      <c r="K117" s="247"/>
      <c r="L117" s="247"/>
      <c r="T117" s="301"/>
    </row>
    <row r="118" spans="1:20" ht="14.45" customHeight="1">
      <c r="A118" s="297" t="s">
        <v>144</v>
      </c>
      <c r="B118" s="441"/>
      <c r="C118" s="441"/>
      <c r="D118" s="367">
        <f>SUMIF($A$4:$A$112,"="&amp;A118,$D$4:$D$112)</f>
        <v>2772876.18</v>
      </c>
      <c r="E118" s="247"/>
      <c r="F118" s="247"/>
      <c r="G118" s="247"/>
      <c r="H118" s="320"/>
      <c r="I118" s="247"/>
      <c r="J118" s="247"/>
      <c r="K118" s="247"/>
      <c r="L118" s="247"/>
      <c r="T118" s="301"/>
    </row>
    <row r="119" spans="1:12" ht="14.45" customHeight="1">
      <c r="A119" s="297" t="s">
        <v>145</v>
      </c>
      <c r="B119" s="441"/>
      <c r="C119" s="441"/>
      <c r="D119" s="367">
        <f>SUMIF($A$4:$A$112,"="&amp;A119,$D$4:$D$112)</f>
        <v>240932.08000000002</v>
      </c>
      <c r="E119" s="247"/>
      <c r="F119" s="247"/>
      <c r="G119" s="247"/>
      <c r="H119" s="320"/>
      <c r="I119" s="247"/>
      <c r="J119" s="247"/>
      <c r="K119" s="247"/>
      <c r="L119" s="247"/>
    </row>
    <row r="120" spans="2:12" s="297" customFormat="1" ht="14.45" customHeight="1">
      <c r="B120" s="306"/>
      <c r="C120" s="306"/>
      <c r="D120" s="307">
        <f>SUM(D115:D119)</f>
        <v>19303283.29</v>
      </c>
      <c r="E120" s="341">
        <f>'QFR - B'!G14</f>
        <v>19300000</v>
      </c>
      <c r="F120" s="244">
        <f>E120-D120</f>
        <v>-3283.289999999106</v>
      </c>
      <c r="G120" s="247"/>
      <c r="H120" s="320"/>
      <c r="I120" s="247"/>
      <c r="J120" s="247"/>
      <c r="K120" s="247"/>
      <c r="L120" s="247"/>
    </row>
    <row r="121" spans="1:12" ht="15">
      <c r="A121" s="297" t="s">
        <v>147</v>
      </c>
      <c r="B121" s="441"/>
      <c r="C121" s="441"/>
      <c r="D121" s="234">
        <f>SUMIF($A$4:$A$112,"="&amp;A121,$D$4:$D$112)</f>
        <v>799999.9999999999</v>
      </c>
      <c r="E121" s="247"/>
      <c r="F121" s="247"/>
      <c r="G121" s="247"/>
      <c r="H121" s="320"/>
      <c r="I121" s="247"/>
      <c r="J121" s="247"/>
      <c r="K121" s="247"/>
      <c r="L121" s="247"/>
    </row>
    <row r="122" spans="2:12" s="297" customFormat="1" ht="14.45" customHeight="1">
      <c r="B122" s="306"/>
      <c r="C122" s="306"/>
      <c r="D122" s="308">
        <f>D121</f>
        <v>799999.9999999999</v>
      </c>
      <c r="E122" s="341">
        <f>'QFR - B'!G20</f>
        <v>800000</v>
      </c>
      <c r="F122" s="244">
        <f>E122-D122</f>
        <v>0</v>
      </c>
      <c r="G122" s="247"/>
      <c r="H122" s="320"/>
      <c r="I122" s="247"/>
      <c r="J122" s="247"/>
      <c r="K122" s="247"/>
      <c r="L122" s="247"/>
    </row>
    <row r="123" spans="1:12" ht="14.45" customHeight="1">
      <c r="A123" s="297" t="s">
        <v>148</v>
      </c>
      <c r="B123" s="441"/>
      <c r="C123" s="441"/>
      <c r="D123" s="234">
        <f>SUMIF($A$4:$A$112,"="&amp;A123,$D$4:$D$112)</f>
        <v>734282.07</v>
      </c>
      <c r="E123" s="247"/>
      <c r="F123" s="247"/>
      <c r="G123" s="247"/>
      <c r="H123" s="320"/>
      <c r="I123" s="247"/>
      <c r="J123" s="247"/>
      <c r="K123" s="247"/>
      <c r="L123" s="247"/>
    </row>
    <row r="124" spans="1:12" ht="14.45" customHeight="1">
      <c r="A124" s="297" t="s">
        <v>149</v>
      </c>
      <c r="B124" s="441"/>
      <c r="C124" s="441"/>
      <c r="D124" s="234">
        <f>SUMIF($A$4:$A$112,"="&amp;A124,$D$4:$D$112)</f>
        <v>2700229</v>
      </c>
      <c r="E124" s="247"/>
      <c r="F124" s="247"/>
      <c r="G124" s="247"/>
      <c r="H124" s="320"/>
      <c r="I124" s="247"/>
      <c r="J124" s="247"/>
      <c r="K124" s="247"/>
      <c r="L124" s="247"/>
    </row>
    <row r="125" spans="2:12" s="297" customFormat="1" ht="14.45" customHeight="1">
      <c r="B125" s="306"/>
      <c r="C125" s="306"/>
      <c r="D125" s="308">
        <f>SUM(D123:D124)</f>
        <v>3434511.07</v>
      </c>
      <c r="E125" s="341">
        <f>'QFR - B'!G21</f>
        <v>3600000</v>
      </c>
      <c r="F125" s="244">
        <f>E125-D125</f>
        <v>165488.93000000017</v>
      </c>
      <c r="G125" s="247"/>
      <c r="H125" s="320"/>
      <c r="I125" s="247"/>
      <c r="J125" s="247"/>
      <c r="K125" s="247"/>
      <c r="L125" s="247"/>
    </row>
    <row r="126" spans="1:33" ht="14.45" customHeight="1">
      <c r="A126" s="297" t="s">
        <v>151</v>
      </c>
      <c r="B126" s="441"/>
      <c r="C126" s="441"/>
      <c r="D126" s="234">
        <f>SUMIF($A$4:$A$112,"="&amp;A126,$D$4:$D$112)</f>
        <v>367182.61</v>
      </c>
      <c r="E126" s="247"/>
      <c r="F126" s="247"/>
      <c r="G126" s="247"/>
      <c r="H126" s="320"/>
      <c r="I126" s="247"/>
      <c r="J126" s="247"/>
      <c r="K126" s="247"/>
      <c r="L126" s="247"/>
      <c r="AG126" s="367"/>
    </row>
    <row r="127" spans="1:12" ht="14.45" customHeight="1">
      <c r="A127" s="297" t="s">
        <v>152</v>
      </c>
      <c r="B127" s="441"/>
      <c r="C127" s="441"/>
      <c r="D127" s="234">
        <f>SUMIF($A$4:$A$112,"="&amp;A127,$D$4:$D$112)</f>
        <v>0</v>
      </c>
      <c r="E127" s="247"/>
      <c r="F127" s="247"/>
      <c r="G127" s="247"/>
      <c r="H127" s="320"/>
      <c r="I127" s="247"/>
      <c r="J127" s="247"/>
      <c r="K127" s="247"/>
      <c r="L127" s="247"/>
    </row>
    <row r="128" spans="1:12" ht="14.45" customHeight="1">
      <c r="A128" s="297" t="s">
        <v>153</v>
      </c>
      <c r="B128" s="441"/>
      <c r="C128" s="441"/>
      <c r="D128" s="234">
        <f>SUMIF($A$4:$A$112,"="&amp;A128,$D$4:$D$112)</f>
        <v>160000</v>
      </c>
      <c r="E128" s="247"/>
      <c r="F128" s="247"/>
      <c r="G128" s="247"/>
      <c r="H128" s="320"/>
      <c r="I128" s="247"/>
      <c r="J128" s="247"/>
      <c r="K128" s="247"/>
      <c r="L128" s="247"/>
    </row>
    <row r="129" spans="1:12" ht="14.45" customHeight="1">
      <c r="A129" s="297" t="s">
        <v>154</v>
      </c>
      <c r="B129" s="441"/>
      <c r="C129" s="441"/>
      <c r="D129" s="367">
        <f>SUMIF($A$4:$A$112,"="&amp;A129,$D$4:$D$112)</f>
        <v>695447.59</v>
      </c>
      <c r="E129" s="247"/>
      <c r="F129" s="247"/>
      <c r="G129" s="247"/>
      <c r="H129" s="320"/>
      <c r="I129" s="247"/>
      <c r="J129" s="247"/>
      <c r="K129" s="247"/>
      <c r="L129" s="247"/>
    </row>
    <row r="130" spans="2:12" s="297" customFormat="1" ht="14.45" customHeight="1">
      <c r="B130" s="306"/>
      <c r="C130" s="306"/>
      <c r="D130" s="308">
        <f>SUM(D126:D129)</f>
        <v>1222630.2</v>
      </c>
      <c r="E130" s="341">
        <f>'QFR - B'!G24</f>
        <v>1700000</v>
      </c>
      <c r="F130" s="244">
        <f>E130-D130</f>
        <v>477369.80000000005</v>
      </c>
      <c r="G130" s="247"/>
      <c r="H130" s="320"/>
      <c r="I130" s="247"/>
      <c r="J130" s="247"/>
      <c r="K130" s="247"/>
      <c r="L130" s="247"/>
    </row>
    <row r="131" spans="1:55" ht="14.45" customHeight="1">
      <c r="A131" s="297" t="s">
        <v>155</v>
      </c>
      <c r="B131" s="441"/>
      <c r="C131" s="441"/>
      <c r="D131" s="234">
        <f>SUMIF($A$4:$A$112,"="&amp;A131,$D$4:$D$112)</f>
        <v>802181.25</v>
      </c>
      <c r="E131" s="247"/>
      <c r="F131" s="247"/>
      <c r="G131" s="247"/>
      <c r="H131" s="320"/>
      <c r="I131" s="247"/>
      <c r="J131" s="247"/>
      <c r="K131" s="247"/>
      <c r="L131" s="247"/>
      <c r="BC131" s="367"/>
    </row>
    <row r="132" spans="1:12" ht="14.45" customHeight="1">
      <c r="A132" s="297" t="s">
        <v>156</v>
      </c>
      <c r="B132" s="441"/>
      <c r="C132" s="441"/>
      <c r="D132" s="234">
        <f>SUMIF($A$4:$A$112,"="&amp;A132,$D$4:$D$112)</f>
        <v>35000</v>
      </c>
      <c r="E132" s="247"/>
      <c r="F132" s="247"/>
      <c r="G132" s="247"/>
      <c r="H132" s="320"/>
      <c r="I132" s="247"/>
      <c r="J132" s="247"/>
      <c r="K132" s="247"/>
      <c r="L132" s="247"/>
    </row>
    <row r="133" spans="1:12" ht="14.45" customHeight="1">
      <c r="A133" s="297" t="s">
        <v>157</v>
      </c>
      <c r="B133" s="441"/>
      <c r="C133" s="441"/>
      <c r="D133" s="234">
        <f>SUMIF($A$4:$A$112,"="&amp;A133,$D$4:$D$112)</f>
        <v>120000</v>
      </c>
      <c r="E133" s="247"/>
      <c r="F133" s="247"/>
      <c r="G133" s="247"/>
      <c r="H133" s="320"/>
      <c r="I133" s="247"/>
      <c r="J133" s="247"/>
      <c r="K133" s="247"/>
      <c r="L133" s="247"/>
    </row>
    <row r="134" spans="1:12" ht="14.45" customHeight="1">
      <c r="A134" s="297" t="s">
        <v>158</v>
      </c>
      <c r="B134" s="441"/>
      <c r="C134" s="441"/>
      <c r="D134" s="234">
        <f>SUMIF($A$4:$A$112,"="&amp;A134,$D$4:$D$112)</f>
        <v>60287.56</v>
      </c>
      <c r="E134" s="247"/>
      <c r="F134" s="247"/>
      <c r="G134" s="247"/>
      <c r="H134" s="320"/>
      <c r="I134" s="247"/>
      <c r="J134" s="247"/>
      <c r="K134" s="247"/>
      <c r="L134" s="247"/>
    </row>
    <row r="135" spans="2:12" s="297" customFormat="1" ht="14.45" customHeight="1">
      <c r="B135" s="306"/>
      <c r="C135" s="306"/>
      <c r="D135" s="308">
        <f>SUM(D131:D134)</f>
        <v>1017468.81</v>
      </c>
      <c r="E135" s="341">
        <f>'QFR - B'!G27</f>
        <v>797500</v>
      </c>
      <c r="F135" s="244">
        <f>E135-D135</f>
        <v>-219968.81000000006</v>
      </c>
      <c r="G135" s="247"/>
      <c r="H135" s="320"/>
      <c r="I135" s="247"/>
      <c r="J135" s="247"/>
      <c r="K135" s="247"/>
      <c r="L135" s="247"/>
    </row>
    <row r="136" spans="1:4" ht="15">
      <c r="A136" s="297"/>
      <c r="D136" s="367"/>
    </row>
    <row r="137" spans="1:67" ht="15">
      <c r="A137" s="297"/>
      <c r="D137" s="367">
        <f aca="true" t="shared" si="949" ref="D137:U137">SUBTOTAL(9,D4:D136)</f>
        <v>103277164.91999999</v>
      </c>
      <c r="E137" s="367">
        <f t="shared" si="949"/>
        <v>26197500</v>
      </c>
      <c r="F137" s="367">
        <f t="shared" si="949"/>
        <v>429606.63000000105</v>
      </c>
      <c r="G137" s="367">
        <f t="shared" si="949"/>
        <v>24587.92</v>
      </c>
      <c r="H137" s="367">
        <f t="shared" si="949"/>
        <v>41876.83181818182</v>
      </c>
      <c r="I137" s="367">
        <f t="shared" si="949"/>
        <v>50463.81518772877</v>
      </c>
      <c r="J137" s="367">
        <f t="shared" si="949"/>
        <v>60088.85213019525</v>
      </c>
      <c r="K137" s="367">
        <f t="shared" si="949"/>
        <v>62773.326707991015</v>
      </c>
      <c r="L137" s="367">
        <f t="shared" si="949"/>
        <v>58780.928337349025</v>
      </c>
      <c r="M137" s="367">
        <f t="shared" si="949"/>
        <v>70679.76702094328</v>
      </c>
      <c r="N137" s="367">
        <f t="shared" si="949"/>
        <v>73039.63427353403</v>
      </c>
      <c r="O137" s="367">
        <f t="shared" si="949"/>
        <v>94868.42987262989</v>
      </c>
      <c r="P137" s="367">
        <f t="shared" si="949"/>
        <v>78414.5826765147</v>
      </c>
      <c r="Q137" s="367">
        <f t="shared" si="949"/>
        <v>83904.79009097334</v>
      </c>
      <c r="R137" s="367">
        <f t="shared" si="949"/>
        <v>82610.10056314526</v>
      </c>
      <c r="S137" s="367">
        <f t="shared" si="949"/>
        <v>80502.37623161491</v>
      </c>
      <c r="T137" s="367">
        <f t="shared" si="949"/>
        <v>80615.23508921929</v>
      </c>
      <c r="U137" s="367">
        <f t="shared" si="949"/>
        <v>82164.58999997938</v>
      </c>
      <c r="V137" s="367"/>
      <c r="W137" s="367"/>
      <c r="X137" s="367"/>
      <c r="Y137" s="367">
        <f aca="true" t="shared" si="950" ref="Y137:AT137">SUBTOTAL(9,Y4:Y136)</f>
        <v>1270884.52</v>
      </c>
      <c r="Z137" s="367">
        <f t="shared" si="950"/>
        <v>0</v>
      </c>
      <c r="AA137" s="367">
        <f t="shared" si="950"/>
        <v>0</v>
      </c>
      <c r="AB137" s="367">
        <f t="shared" si="950"/>
        <v>10000</v>
      </c>
      <c r="AC137" s="367">
        <f t="shared" si="950"/>
        <v>32521.487500000003</v>
      </c>
      <c r="AD137" s="379">
        <f t="shared" si="950"/>
        <v>70821.42113636364</v>
      </c>
      <c r="AE137" s="379">
        <f t="shared" si="950"/>
        <v>188272.41255054547</v>
      </c>
      <c r="AF137" s="379">
        <f t="shared" si="950"/>
        <v>897497.4312591938</v>
      </c>
      <c r="AG137" s="379">
        <f t="shared" si="950"/>
        <v>1112435.7902841694</v>
      </c>
      <c r="AH137" s="379">
        <f t="shared" si="950"/>
        <v>1148307.381623609</v>
      </c>
      <c r="AI137" s="379">
        <f t="shared" si="950"/>
        <v>510749.25959239056</v>
      </c>
      <c r="AJ137" s="379">
        <f t="shared" si="950"/>
        <v>1493909.7842999997</v>
      </c>
      <c r="AK137" s="379">
        <f t="shared" si="950"/>
        <v>3157947.579750001</v>
      </c>
      <c r="AL137" s="367">
        <f t="shared" si="950"/>
        <v>4083889.3835</v>
      </c>
      <c r="AM137" s="367">
        <f t="shared" si="950"/>
        <v>2731816.463865666</v>
      </c>
      <c r="AN137" s="367">
        <f t="shared" si="950"/>
        <v>2430649.082612628</v>
      </c>
      <c r="AO137" s="367">
        <f t="shared" si="950"/>
        <v>1383636.0566126278</v>
      </c>
      <c r="AP137" s="367">
        <f t="shared" si="950"/>
        <v>5162877.002412805</v>
      </c>
      <c r="AQ137" s="367">
        <f t="shared" si="950"/>
        <v>824065.4800000001</v>
      </c>
      <c r="AR137" s="367">
        <f t="shared" si="950"/>
        <v>287662.83150000003</v>
      </c>
      <c r="AS137" s="367">
        <f t="shared" si="950"/>
        <v>290349.8915</v>
      </c>
      <c r="AT137" s="367">
        <f t="shared" si="950"/>
        <v>77400</v>
      </c>
      <c r="AU137" s="367"/>
      <c r="AV137" s="367">
        <f aca="true" t="shared" si="951" ref="AV137:BK137">SUBTOTAL(9,AV4:AV136)</f>
        <v>49000</v>
      </c>
      <c r="AW137" s="367">
        <f t="shared" si="951"/>
        <v>194969.19</v>
      </c>
      <c r="AX137" s="367">
        <f t="shared" si="951"/>
        <v>348650.52</v>
      </c>
      <c r="AY137" s="367">
        <f t="shared" si="951"/>
        <v>10680765.78</v>
      </c>
      <c r="AZ137" s="367">
        <f t="shared" si="951"/>
        <v>243837.07</v>
      </c>
      <c r="BA137" s="367">
        <f t="shared" si="951"/>
        <v>3435262.4100000006</v>
      </c>
      <c r="BB137" s="367">
        <f t="shared" si="951"/>
        <v>370392.87</v>
      </c>
      <c r="BC137" s="367">
        <f t="shared" si="951"/>
        <v>176821.64999999997</v>
      </c>
      <c r="BD137" s="367">
        <f t="shared" si="951"/>
        <v>5479455.470000001</v>
      </c>
      <c r="BE137" s="367">
        <f t="shared" si="951"/>
        <v>2220007</v>
      </c>
      <c r="BF137" s="367">
        <f t="shared" si="951"/>
        <v>2018485.69</v>
      </c>
      <c r="BG137" s="367">
        <f t="shared" si="951"/>
        <v>97712</v>
      </c>
      <c r="BH137" s="367">
        <f t="shared" si="951"/>
        <v>124696.35</v>
      </c>
      <c r="BI137" s="367">
        <f t="shared" si="951"/>
        <v>61791</v>
      </c>
      <c r="BJ137" s="367">
        <f t="shared" si="951"/>
        <v>236749</v>
      </c>
      <c r="BK137" s="367">
        <f t="shared" si="951"/>
        <v>50797.62</v>
      </c>
      <c r="BL137" s="367"/>
      <c r="BM137" s="367"/>
      <c r="BN137" s="367"/>
      <c r="BO137" s="367">
        <f>SUBTOTAL(9,BO4:BO136)</f>
        <v>0</v>
      </c>
    </row>
    <row r="138" spans="6:66" ht="15">
      <c r="F138" s="368"/>
      <c r="AB138" s="252">
        <f>+AB137</f>
        <v>10000</v>
      </c>
      <c r="AC138" s="253">
        <f>+AB138+AC137</f>
        <v>42521.4875</v>
      </c>
      <c r="AD138" s="253">
        <f>+AC138+AD137</f>
        <v>113342.90863636365</v>
      </c>
      <c r="AE138" s="253">
        <f>+AD138+AE137</f>
        <v>301615.3211869091</v>
      </c>
      <c r="AF138" s="253">
        <f aca="true" t="shared" si="952" ref="AF138:AT138">+AE138+AF137</f>
        <v>1199112.752446103</v>
      </c>
      <c r="AG138" s="253">
        <f t="shared" si="952"/>
        <v>2311548.5427302723</v>
      </c>
      <c r="AH138" s="253">
        <f t="shared" si="952"/>
        <v>3459855.9243538813</v>
      </c>
      <c r="AI138" s="253">
        <f t="shared" si="952"/>
        <v>3970605.183946272</v>
      </c>
      <c r="AJ138" s="253">
        <f t="shared" si="952"/>
        <v>5464514.968246272</v>
      </c>
      <c r="AK138" s="253">
        <f t="shared" si="952"/>
        <v>8622462.547996273</v>
      </c>
      <c r="AL138" s="253">
        <f t="shared" si="952"/>
        <v>12706351.931496274</v>
      </c>
      <c r="AM138" s="253">
        <f t="shared" si="952"/>
        <v>15438168.39536194</v>
      </c>
      <c r="AN138" s="253">
        <f t="shared" si="952"/>
        <v>17868817.477974568</v>
      </c>
      <c r="AO138" s="253">
        <f t="shared" si="952"/>
        <v>19252453.534587197</v>
      </c>
      <c r="AP138" s="253">
        <f t="shared" si="952"/>
        <v>24415330.537</v>
      </c>
      <c r="AQ138" s="253">
        <f t="shared" si="952"/>
        <v>25239396.017</v>
      </c>
      <c r="AR138" s="253">
        <f t="shared" si="952"/>
        <v>25527058.848500002</v>
      </c>
      <c r="AS138" s="253">
        <f t="shared" si="952"/>
        <v>25817408.740000002</v>
      </c>
      <c r="AT138" s="253">
        <f t="shared" si="952"/>
        <v>25894808.740000002</v>
      </c>
      <c r="AV138" s="252">
        <f>+AV137</f>
        <v>49000</v>
      </c>
      <c r="AW138" s="253">
        <f>+AV138+AW137</f>
        <v>243969.19</v>
      </c>
      <c r="AX138" s="253">
        <f>+AW138+AX137</f>
        <v>592619.71</v>
      </c>
      <c r="AY138" s="253">
        <f>+AX138+AY137</f>
        <v>11273385.489999998</v>
      </c>
      <c r="AZ138" s="253">
        <f aca="true" t="shared" si="953" ref="AZ138:BN138">+AY138+AZ137</f>
        <v>11517222.559999999</v>
      </c>
      <c r="BA138" s="253">
        <f t="shared" si="953"/>
        <v>14952484.969999999</v>
      </c>
      <c r="BB138" s="253">
        <f t="shared" si="953"/>
        <v>15322877.839999998</v>
      </c>
      <c r="BC138" s="253">
        <f t="shared" si="953"/>
        <v>15499699.489999998</v>
      </c>
      <c r="BD138" s="253">
        <f t="shared" si="953"/>
        <v>20979154.96</v>
      </c>
      <c r="BE138" s="253">
        <f t="shared" si="953"/>
        <v>23199161.96</v>
      </c>
      <c r="BF138" s="253">
        <f t="shared" si="953"/>
        <v>25217647.650000002</v>
      </c>
      <c r="BG138" s="253">
        <f t="shared" si="953"/>
        <v>25315359.650000002</v>
      </c>
      <c r="BH138" s="253">
        <f t="shared" si="953"/>
        <v>25440056.000000004</v>
      </c>
      <c r="BI138" s="253">
        <f t="shared" si="953"/>
        <v>25501847.000000004</v>
      </c>
      <c r="BJ138" s="253">
        <f t="shared" si="953"/>
        <v>25738596.000000004</v>
      </c>
      <c r="BK138" s="253">
        <f t="shared" si="953"/>
        <v>25789393.620000005</v>
      </c>
      <c r="BL138" s="253">
        <f t="shared" si="953"/>
        <v>25789393.620000005</v>
      </c>
      <c r="BM138" s="253">
        <f t="shared" si="953"/>
        <v>25789393.620000005</v>
      </c>
      <c r="BN138" s="253">
        <f t="shared" si="953"/>
        <v>25789393.620000005</v>
      </c>
    </row>
    <row r="139" spans="4:62" ht="21">
      <c r="D139" s="348">
        <f>+D42+D43+D41</f>
        <v>355250</v>
      </c>
      <c r="N139" s="252"/>
      <c r="AI139" s="253"/>
      <c r="AJ139" s="253"/>
      <c r="BC139" s="253"/>
      <c r="BD139" s="253"/>
      <c r="BJ139" s="301"/>
    </row>
    <row r="140" spans="25:56" ht="15">
      <c r="Y140" s="300"/>
      <c r="AH140" s="252"/>
      <c r="AJ140" s="253"/>
      <c r="BC140" s="253"/>
      <c r="BD140" s="253"/>
    </row>
    <row r="141" spans="10:37" ht="15">
      <c r="J141" s="300"/>
      <c r="T141" s="300"/>
      <c r="AI141" s="253"/>
      <c r="AJ141" s="253"/>
      <c r="AK141" s="253"/>
    </row>
    <row r="142" spans="4:35" ht="15">
      <c r="D142" s="301"/>
      <c r="F142" s="253"/>
      <c r="H142" s="317"/>
      <c r="L142" s="233"/>
      <c r="M142" s="300"/>
      <c r="N142" s="300"/>
      <c r="P142" s="300"/>
      <c r="Y142" s="233"/>
      <c r="AH142" s="387"/>
      <c r="AI142" s="252"/>
    </row>
    <row r="143" spans="6:35" ht="15">
      <c r="F143" s="253"/>
      <c r="AI143" s="253"/>
    </row>
    <row r="144" spans="7:36" ht="15">
      <c r="G144" s="253"/>
      <c r="L144" s="253"/>
      <c r="P144" s="395"/>
      <c r="AD144" s="253"/>
      <c r="AJ144" s="253"/>
    </row>
    <row r="145" spans="7:35" ht="15">
      <c r="G145" s="253"/>
      <c r="L145" s="253"/>
      <c r="AI145" s="253"/>
    </row>
    <row r="146" spans="7:19" ht="15">
      <c r="G146" s="253"/>
      <c r="H146" s="357"/>
      <c r="K146" s="300"/>
      <c r="L146" s="300"/>
      <c r="M146" s="253"/>
      <c r="Q146" s="372"/>
      <c r="S146" s="233"/>
    </row>
    <row r="147" spans="7:18" ht="15">
      <c r="G147" s="253"/>
      <c r="Q147" s="442"/>
      <c r="R147" s="442"/>
    </row>
    <row r="148" spans="6:13" ht="15">
      <c r="F148" s="253"/>
      <c r="G148" s="253"/>
      <c r="M148" s="393"/>
    </row>
    <row r="149" spans="6:13" ht="15">
      <c r="F149" s="253"/>
      <c r="G149" s="253"/>
      <c r="J149" s="253"/>
      <c r="M149" s="253"/>
    </row>
    <row r="150" spans="6:13" ht="15">
      <c r="F150" s="253"/>
      <c r="I150" s="253"/>
      <c r="M150" s="253"/>
    </row>
    <row r="151" spans="6:9" ht="15">
      <c r="F151" s="253"/>
      <c r="I151" s="253"/>
    </row>
    <row r="152" spans="6:48" ht="15">
      <c r="F152" s="253"/>
      <c r="AV152" s="301"/>
    </row>
    <row r="153" ht="15">
      <c r="F153" s="253"/>
    </row>
    <row r="154" ht="15">
      <c r="F154" s="253"/>
    </row>
    <row r="155" ht="15">
      <c r="F155" s="253"/>
    </row>
    <row r="156" ht="15">
      <c r="F156" s="253"/>
    </row>
    <row r="158" ht="15">
      <c r="F158" s="253"/>
    </row>
    <row r="159" ht="15">
      <c r="F159" s="253"/>
    </row>
    <row r="163" ht="15">
      <c r="F163" s="253"/>
    </row>
    <row r="164" ht="15">
      <c r="H164" s="357"/>
    </row>
    <row r="166" ht="15">
      <c r="J166" s="253"/>
    </row>
  </sheetData>
  <autoFilter ref="A3:BO135"/>
  <mergeCells count="17">
    <mergeCell ref="Q147:R147"/>
    <mergeCell ref="B134:C134"/>
    <mergeCell ref="B127:C127"/>
    <mergeCell ref="B128:C128"/>
    <mergeCell ref="B129:C129"/>
    <mergeCell ref="B131:C131"/>
    <mergeCell ref="B132:C132"/>
    <mergeCell ref="B121:C121"/>
    <mergeCell ref="B123:C123"/>
    <mergeCell ref="B124:C124"/>
    <mergeCell ref="B126:C126"/>
    <mergeCell ref="B133:C133"/>
    <mergeCell ref="B115:C115"/>
    <mergeCell ref="B116:C116"/>
    <mergeCell ref="B117:C117"/>
    <mergeCell ref="B118:C118"/>
    <mergeCell ref="B119:C119"/>
  </mergeCells>
  <printOptions/>
  <pageMargins left="0.7" right="0.7" top="0.75" bottom="0.75" header="0.3" footer="0.3"/>
  <pageSetup fitToHeight="1" fitToWidth="1" horizontalDpi="600" verticalDpi="600" orientation="landscape" scale="14" r:id="rId3"/>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workbookViewId="0" topLeftCell="A1">
      <selection activeCell="I27" sqref="H27:I29"/>
    </sheetView>
  </sheetViews>
  <sheetFormatPr defaultColWidth="8.8515625" defaultRowHeight="15"/>
  <cols>
    <col min="1" max="1" width="47.00390625" style="0" customWidth="1"/>
    <col min="2" max="2" width="11.140625" style="0" customWidth="1"/>
    <col min="3" max="10" width="4.8515625" style="0" customWidth="1"/>
    <col min="11" max="19" width="4.8515625" style="297" customWidth="1"/>
  </cols>
  <sheetData>
    <row r="1" ht="15">
      <c r="A1" s="297"/>
    </row>
    <row r="2" spans="1:2" ht="15">
      <c r="A2" s="188" t="s">
        <v>94</v>
      </c>
      <c r="B2" t="s">
        <v>245</v>
      </c>
    </row>
    <row r="3" spans="1:12" ht="15">
      <c r="A3" s="42"/>
      <c r="B3" t="s">
        <v>244</v>
      </c>
      <c r="D3" t="s">
        <v>243</v>
      </c>
      <c r="L3" s="297" t="s">
        <v>243</v>
      </c>
    </row>
    <row r="4" ht="15">
      <c r="A4" s="44" t="s">
        <v>76</v>
      </c>
    </row>
    <row r="5" spans="1:19" ht="15">
      <c r="A5" s="49" t="s">
        <v>77</v>
      </c>
      <c r="B5" s="252" t="str">
        <f>IF('DFP-Com'!R15-'DFP-CASH'!R17=0,"ok","error")</f>
        <v>ok</v>
      </c>
      <c r="C5" t="str">
        <f>IF(SUM('DFP-CASH'!$C17:C17)&gt;SUM('DFP-Com'!$C15:D15),"error","ok")</f>
        <v>ok</v>
      </c>
      <c r="D5" s="297" t="str">
        <f>IF(SUM('DFP-CASH'!$C17:E17)&gt;SUM('DFP-Com'!$C15:E15),"error","ok")</f>
        <v>ok</v>
      </c>
      <c r="E5" s="297" t="str">
        <f>IF(SUM('DFP-CASH'!$C17:F17)&gt;SUM('DFP-Com'!$C15:F15),"error","ok")</f>
        <v>ok</v>
      </c>
      <c r="F5" s="297" t="str">
        <f>IF(SUM('DFP-CASH'!$C17:G17)&gt;SUM('DFP-Com'!$C15:G15),"error","ok")</f>
        <v>ok</v>
      </c>
      <c r="G5" s="297" t="str">
        <f>IF(SUM('DFP-CASH'!$C17:G17)&gt;SUM('DFP-Com'!$C15:G15),"error","ok")</f>
        <v>ok</v>
      </c>
      <c r="H5" s="297" t="str">
        <f>IF(SUM('DFP-CASH'!$C17:G17)&gt;SUM('DFP-Com'!$C15:G15),"error","ok")</f>
        <v>ok</v>
      </c>
      <c r="I5" s="297" t="str">
        <f>IF(SUM('DFP-CASH'!$C17:G17)&gt;SUM('DFP-Com'!$C15:G15),"error","ok")</f>
        <v>ok</v>
      </c>
      <c r="J5" s="297" t="str">
        <f>IF(SUM('DFP-CASH'!$C17:G17)&gt;SUM('DFP-Com'!$C15:G15),"error","ok")</f>
        <v>ok</v>
      </c>
      <c r="K5" s="297" t="str">
        <f>IF(SUM('DFP-CASH'!$C17:G17)&gt;SUM('DFP-Com'!$C15:G15),"error","ok")</f>
        <v>ok</v>
      </c>
      <c r="L5" s="297" t="str">
        <f>IF(SUM('DFP-CASH'!$C17:G17)&gt;SUM('DFP-Com'!$C15:G15),"error","ok")</f>
        <v>ok</v>
      </c>
      <c r="M5" s="297" t="str">
        <f>IF(SUM('DFP-CASH'!$C17:G17)&gt;SUM('DFP-Com'!$C15:G15),"error","ok")</f>
        <v>ok</v>
      </c>
      <c r="N5" s="297" t="str">
        <f>IF(SUM('DFP-CASH'!$C17:G17)&gt;SUM('DFP-Com'!$C15:G15),"error","ok")</f>
        <v>ok</v>
      </c>
      <c r="O5" s="297" t="str">
        <f>IF(SUM('DFP-CASH'!$C17:H17)&gt;SUM('DFP-Com'!$C15:H15),"error","ok")</f>
        <v>ok</v>
      </c>
      <c r="P5" s="297" t="str">
        <f>IF(SUM('DFP-CASH'!$C17:I17)&gt;SUM('DFP-Com'!$C15:I15),"error","ok")</f>
        <v>ok</v>
      </c>
      <c r="Q5" s="297" t="str">
        <f>IF(SUM('DFP-CASH'!$C17:J17)&gt;SUM('DFP-Com'!$C15:J15),"error","ok")</f>
        <v>ok</v>
      </c>
      <c r="R5" s="297" t="str">
        <f>IF(SUM('DFP-CASH'!$C17:K17)&gt;SUM('DFP-Com'!$C15:K15),"error","ok")</f>
        <v>ok</v>
      </c>
      <c r="S5" s="297" t="str">
        <f>IF(SUM('DFP-CASH'!$C17:L17)&gt;SUM('DFP-Com'!$C15:L15),"error","ok")</f>
        <v>ok</v>
      </c>
    </row>
    <row r="6" spans="1:19" ht="15">
      <c r="A6" s="200" t="s">
        <v>110</v>
      </c>
      <c r="B6" s="252" t="str">
        <f>IF('DFP-Com'!R16-'DFP-CASH'!R18=0,"ok","error")</f>
        <v>ok</v>
      </c>
      <c r="C6" s="297" t="str">
        <f>IF(SUM('DFP-CASH'!$C18:C18)&gt;SUM('DFP-Com'!$C16:D16),"error","ok")</f>
        <v>ok</v>
      </c>
      <c r="D6" s="297" t="str">
        <f>IF(SUM('DFP-CASH'!$C18:E18)&gt;SUM('DFP-Com'!$C16:E16),"error","ok")</f>
        <v>ok</v>
      </c>
      <c r="E6" s="297" t="str">
        <f>IF(SUM('DFP-CASH'!$C18:F18)&gt;SUM('DFP-Com'!$C16:F16),"error","ok")</f>
        <v>ok</v>
      </c>
      <c r="F6" s="297" t="str">
        <f>IF(SUM('DFP-CASH'!$C18:G18)&gt;SUM('DFP-Com'!$C16:G16),"error","ok")</f>
        <v>ok</v>
      </c>
      <c r="G6" s="297" t="str">
        <f>IF(SUM('DFP-CASH'!$C18:G18)&gt;SUM('DFP-Com'!$C16:G16),"error","ok")</f>
        <v>ok</v>
      </c>
      <c r="H6" s="297" t="str">
        <f>IF(SUM('DFP-CASH'!$C18:G18)&gt;SUM('DFP-Com'!$C16:G16),"error","ok")</f>
        <v>ok</v>
      </c>
      <c r="I6" s="297" t="str">
        <f>IF(SUM('DFP-CASH'!$C18:G18)&gt;SUM('DFP-Com'!$C16:G16),"error","ok")</f>
        <v>ok</v>
      </c>
      <c r="J6" s="297" t="str">
        <f>IF(SUM('DFP-CASH'!$C18:G18)&gt;SUM('DFP-Com'!$C16:G16),"error","ok")</f>
        <v>ok</v>
      </c>
      <c r="K6" s="297" t="str">
        <f>IF(SUM('DFP-CASH'!$C18:G18)&gt;SUM('DFP-Com'!$C16:G16),"error","ok")</f>
        <v>ok</v>
      </c>
      <c r="L6" s="297" t="str">
        <f>IF(SUM('DFP-CASH'!$C18:G18)&gt;SUM('DFP-Com'!$C16:G16),"error","ok")</f>
        <v>ok</v>
      </c>
      <c r="M6" s="297" t="str">
        <f>IF(SUM('DFP-CASH'!$C18:G18)&gt;SUM('DFP-Com'!$C16:G16),"error","ok")</f>
        <v>ok</v>
      </c>
      <c r="N6" s="297" t="str">
        <f>IF(SUM('DFP-CASH'!$C18:G18)&gt;SUM('DFP-Com'!$C16:G16),"error","ok")</f>
        <v>ok</v>
      </c>
      <c r="O6" s="297" t="str">
        <f>IF(SUM('DFP-CASH'!$C18:H18)&gt;SUM('DFP-Com'!$C16:H16),"error","ok")</f>
        <v>ok</v>
      </c>
      <c r="P6" s="297" t="str">
        <f>IF(SUM('DFP-CASH'!$C18:I18)&gt;SUM('DFP-Com'!$C16:I16),"error","ok")</f>
        <v>ok</v>
      </c>
      <c r="Q6" s="297" t="str">
        <f>IF(SUM('DFP-CASH'!$C18:J18)&gt;SUM('DFP-Com'!$C16:J16),"error","ok")</f>
        <v>ok</v>
      </c>
      <c r="R6" s="297" t="str">
        <f>IF(SUM('DFP-CASH'!$C18:K18)&gt;SUM('DFP-Com'!$C16:K16),"error","ok")</f>
        <v>ok</v>
      </c>
      <c r="S6" s="297" t="str">
        <f>IF(SUM('DFP-CASH'!$C18:L18)&gt;SUM('DFP-Com'!$C16:L16),"error","ok")</f>
        <v>ok</v>
      </c>
    </row>
    <row r="7" spans="1:19" ht="15">
      <c r="A7" s="200" t="s">
        <v>111</v>
      </c>
      <c r="B7" s="252" t="str">
        <f>IF('DFP-Com'!R17-'DFP-CASH'!R19=0,"ok","error")</f>
        <v>ok</v>
      </c>
      <c r="C7" s="297" t="str">
        <f>IF(SUM('DFP-CASH'!$C19:C19)&gt;SUM('DFP-Com'!$C17:D17),"error","ok")</f>
        <v>ok</v>
      </c>
      <c r="D7" s="297" t="str">
        <f>IF(SUM('DFP-CASH'!$C19:E19)&gt;SUM('DFP-Com'!$C17:E17),"error","ok")</f>
        <v>ok</v>
      </c>
      <c r="E7" s="297" t="str">
        <f>IF(SUM('DFP-CASH'!$C19:F19)&gt;SUM('DFP-Com'!$C17:F17),"error","ok")</f>
        <v>ok</v>
      </c>
      <c r="F7" s="297" t="str">
        <f>IF(SUM('DFP-CASH'!$C19:G19)&gt;SUM('DFP-Com'!$C17:G17),"error","ok")</f>
        <v>ok</v>
      </c>
      <c r="G7" s="297" t="str">
        <f>IF(SUM('DFP-CASH'!$C19:G19)&gt;SUM('DFP-Com'!$C17:G17),"error","ok")</f>
        <v>ok</v>
      </c>
      <c r="H7" s="297" t="str">
        <f>IF(SUM('DFP-CASH'!$C19:G19)&gt;SUM('DFP-Com'!$C17:G17),"error","ok")</f>
        <v>ok</v>
      </c>
      <c r="I7" s="297" t="str">
        <f>IF(SUM('DFP-CASH'!$C19:G19)&gt;SUM('DFP-Com'!$C17:G17),"error","ok")</f>
        <v>ok</v>
      </c>
      <c r="J7" s="297" t="str">
        <f>IF(SUM('DFP-CASH'!$C19:G19)&gt;SUM('DFP-Com'!$C17:G17),"error","ok")</f>
        <v>ok</v>
      </c>
      <c r="K7" s="297" t="str">
        <f>IF(SUM('DFP-CASH'!$C19:G19)&gt;SUM('DFP-Com'!$C17:G17),"error","ok")</f>
        <v>ok</v>
      </c>
      <c r="L7" s="297" t="str">
        <f>IF(SUM('DFP-CASH'!$C19:G19)&gt;SUM('DFP-Com'!$C17:G17),"error","ok")</f>
        <v>ok</v>
      </c>
      <c r="M7" s="297" t="str">
        <f>IF(SUM('DFP-CASH'!$C19:G19)&gt;SUM('DFP-Com'!$C17:G17),"error","ok")</f>
        <v>ok</v>
      </c>
      <c r="N7" s="297" t="str">
        <f>IF(SUM('DFP-CASH'!$C19:G19)&gt;SUM('DFP-Com'!$C17:G17),"error","ok")</f>
        <v>ok</v>
      </c>
      <c r="O7" s="297" t="str">
        <f>IF(SUM('DFP-CASH'!$C19:H19)&gt;SUM('DFP-Com'!$C17:H17),"error","ok")</f>
        <v>ok</v>
      </c>
      <c r="P7" s="297" t="str">
        <f>IF(SUM('DFP-CASH'!$C19:I19)&gt;SUM('DFP-Com'!$C17:I17),"error","ok")</f>
        <v>ok</v>
      </c>
      <c r="Q7" s="297" t="str">
        <f>IF(SUM('DFP-CASH'!$C19:J19)&gt;SUM('DFP-Com'!$C17:J17),"error","ok")</f>
        <v>ok</v>
      </c>
      <c r="R7" s="297" t="str">
        <f>IF(SUM('DFP-CASH'!$C19:K19)&gt;SUM('DFP-Com'!$C17:K17),"error","ok")</f>
        <v>ok</v>
      </c>
      <c r="S7" s="297" t="str">
        <f>IF(SUM('DFP-CASH'!$C19:L19)&gt;SUM('DFP-Com'!$C17:L17),"error","ok")</f>
        <v>ok</v>
      </c>
    </row>
    <row r="8" spans="1:19" ht="15">
      <c r="A8" s="200" t="s">
        <v>118</v>
      </c>
      <c r="B8" s="252" t="str">
        <f>IF('DFP-Com'!R18-'DFP-CASH'!R20=0,"ok","error")</f>
        <v>ok</v>
      </c>
      <c r="C8" s="297" t="str">
        <f>IF(SUM('DFP-CASH'!$C20:C20)&gt;SUM('DFP-Com'!$C18:D18),"error","ok")</f>
        <v>ok</v>
      </c>
      <c r="D8" s="297" t="str">
        <f>IF(SUM('DFP-CASH'!$C20:E20)&gt;SUM('DFP-Com'!$C18:E18),"error","ok")</f>
        <v>ok</v>
      </c>
      <c r="E8" s="297" t="str">
        <f>IF(SUM('DFP-CASH'!$C20:F20)&gt;SUM('DFP-Com'!$C18:F18),"error","ok")</f>
        <v>ok</v>
      </c>
      <c r="F8" s="297" t="str">
        <f>IF(SUM('DFP-CASH'!$C20:G20)&gt;SUM('DFP-Com'!$C18:G18),"error","ok")</f>
        <v>ok</v>
      </c>
      <c r="G8" s="297" t="str">
        <f>IF(SUM('DFP-CASH'!$C20:G20)&gt;SUM('DFP-Com'!$C18:G18),"error","ok")</f>
        <v>ok</v>
      </c>
      <c r="H8" s="297" t="str">
        <f>IF(SUM('DFP-CASH'!$C20:G20)&gt;SUM('DFP-Com'!$C18:G18),"error","ok")</f>
        <v>ok</v>
      </c>
      <c r="I8" s="297" t="str">
        <f>IF(SUM('DFP-CASH'!$C20:G20)&gt;SUM('DFP-Com'!$C18:G18),"error","ok")</f>
        <v>ok</v>
      </c>
      <c r="J8" s="297" t="str">
        <f>IF(SUM('DFP-CASH'!$C20:G20)&gt;SUM('DFP-Com'!$C18:G18),"error","ok")</f>
        <v>ok</v>
      </c>
      <c r="K8" s="297" t="str">
        <f>IF(SUM('DFP-CASH'!$C20:G20)&gt;SUM('DFP-Com'!$C18:G18),"error","ok")</f>
        <v>ok</v>
      </c>
      <c r="L8" s="297" t="str">
        <f>IF(SUM('DFP-CASH'!$C20:G20)&gt;SUM('DFP-Com'!$C18:G18),"error","ok")</f>
        <v>ok</v>
      </c>
      <c r="M8" s="297" t="str">
        <f>IF(SUM('DFP-CASH'!$C20:G20)&gt;SUM('DFP-Com'!$C18:G18),"error","ok")</f>
        <v>ok</v>
      </c>
      <c r="N8" s="297" t="str">
        <f>IF(SUM('DFP-CASH'!$C20:G20)&gt;SUM('DFP-Com'!$C18:G18),"error","ok")</f>
        <v>ok</v>
      </c>
      <c r="O8" s="297" t="str">
        <f>IF(SUM('DFP-CASH'!$C20:H20)&gt;SUM('DFP-Com'!$C18:H18),"error","ok")</f>
        <v>ok</v>
      </c>
      <c r="P8" s="297" t="str">
        <f>IF(SUM('DFP-CASH'!$C20:I20)&gt;SUM('DFP-Com'!$C18:I18),"error","ok")</f>
        <v>ok</v>
      </c>
      <c r="Q8" s="297" t="str">
        <f>IF(SUM('DFP-CASH'!$C20:J20)&gt;SUM('DFP-Com'!$C18:J18),"error","ok")</f>
        <v>ok</v>
      </c>
      <c r="R8" s="297" t="str">
        <f>IF(SUM('DFP-CASH'!$C20:K20)&gt;SUM('DFP-Com'!$C18:K18),"error","ok")</f>
        <v>ok</v>
      </c>
      <c r="S8" s="297" t="str">
        <f>IF(SUM('DFP-CASH'!$C20:L20)&gt;SUM('DFP-Com'!$C18:L18),"error","ok")</f>
        <v>ok</v>
      </c>
    </row>
    <row r="9" spans="1:19" ht="25.5">
      <c r="A9" s="49" t="s">
        <v>78</v>
      </c>
      <c r="B9" s="252" t="str">
        <f>IF('DFP-Com'!R19-'DFP-CASH'!R21=0,"ok","error")</f>
        <v>ok</v>
      </c>
      <c r="C9" s="297" t="str">
        <f>IF(SUM('DFP-CASH'!$C21:C21)&gt;SUM('DFP-Com'!$C19:D19),"error","ok")</f>
        <v>ok</v>
      </c>
      <c r="D9" s="297" t="str">
        <f>IF(SUM('DFP-CASH'!$C21:E21)&gt;SUM('DFP-Com'!$C19:E19),"error","ok")</f>
        <v>ok</v>
      </c>
      <c r="E9" s="297" t="str">
        <f>IF(SUM('DFP-CASH'!$C21:F21)&gt;SUM('DFP-Com'!$C19:F19),"error","ok")</f>
        <v>ok</v>
      </c>
      <c r="F9" s="297" t="str">
        <f>IF(SUM('DFP-CASH'!$C21:G21)&gt;SUM('DFP-Com'!$C19:G19),"error","ok")</f>
        <v>ok</v>
      </c>
      <c r="G9" s="297" t="str">
        <f>IF(SUM('DFP-CASH'!$C21:G21)&gt;SUM('DFP-Com'!$C19:G19),"error","ok")</f>
        <v>ok</v>
      </c>
      <c r="H9" s="297" t="str">
        <f>IF(SUM('DFP-CASH'!$C21:G21)&gt;SUM('DFP-Com'!$C19:G19),"error","ok")</f>
        <v>ok</v>
      </c>
      <c r="I9" s="297" t="str">
        <f>IF(SUM('DFP-CASH'!$C21:G21)&gt;SUM('DFP-Com'!$C19:G19),"error","ok")</f>
        <v>ok</v>
      </c>
      <c r="J9" s="297" t="str">
        <f>IF(SUM('DFP-CASH'!$C21:G21)&gt;SUM('DFP-Com'!$C19:G19),"error","ok")</f>
        <v>ok</v>
      </c>
      <c r="K9" s="297" t="str">
        <f>IF(SUM('DFP-CASH'!$C21:G21)&gt;SUM('DFP-Com'!$C19:G19),"error","ok")</f>
        <v>ok</v>
      </c>
      <c r="L9" s="297" t="str">
        <f>IF(SUM('DFP-CASH'!$C21:G21)&gt;SUM('DFP-Com'!$C19:G19),"error","ok")</f>
        <v>ok</v>
      </c>
      <c r="M9" s="297" t="str">
        <f>IF(SUM('DFP-CASH'!$C21:G21)&gt;SUM('DFP-Com'!$C19:G19),"error","ok")</f>
        <v>ok</v>
      </c>
      <c r="N9" s="297" t="str">
        <f>IF(SUM('DFP-CASH'!$C21:G21)&gt;SUM('DFP-Com'!$C19:G19),"error","ok")</f>
        <v>ok</v>
      </c>
      <c r="O9" s="297" t="str">
        <f>IF(SUM('DFP-CASH'!$C21:H21)&gt;SUM('DFP-Com'!$C19:H19),"error","ok")</f>
        <v>ok</v>
      </c>
      <c r="P9" s="297" t="str">
        <f>IF(SUM('DFP-CASH'!$C21:I21)&gt;SUM('DFP-Com'!$C19:I19),"error","ok")</f>
        <v>ok</v>
      </c>
      <c r="Q9" s="297" t="str">
        <f>IF(SUM('DFP-CASH'!$C21:J21)&gt;SUM('DFP-Com'!$C19:J19),"error","ok")</f>
        <v>ok</v>
      </c>
      <c r="R9" s="297" t="str">
        <f>IF(SUM('DFP-CASH'!$C21:K21)&gt;SUM('DFP-Com'!$C19:K19),"error","ok")</f>
        <v>ok</v>
      </c>
      <c r="S9" s="297" t="str">
        <f>IF(SUM('DFP-CASH'!$C21:L21)&gt;SUM('DFP-Com'!$C19:L19),"error","ok")</f>
        <v>ok</v>
      </c>
    </row>
    <row r="10" spans="1:19" ht="15">
      <c r="A10" s="200" t="s">
        <v>119</v>
      </c>
      <c r="B10" s="252" t="str">
        <f>IF('DFP-Com'!R20-'DFP-CASH'!R22=0,"ok","error")</f>
        <v>ok</v>
      </c>
      <c r="C10" s="297" t="str">
        <f>IF(SUM('DFP-CASH'!$C22:C22)&gt;SUM('DFP-Com'!$C20:D20),"error","ok")</f>
        <v>ok</v>
      </c>
      <c r="D10" s="297" t="str">
        <f>IF(SUM('DFP-CASH'!$C22:E22)&gt;SUM('DFP-Com'!$C20:E20),"error","ok")</f>
        <v>ok</v>
      </c>
      <c r="E10" s="297" t="str">
        <f>IF(SUM('DFP-CASH'!$C22:F22)&gt;SUM('DFP-Com'!$C20:F20),"error","ok")</f>
        <v>ok</v>
      </c>
      <c r="F10" s="297" t="str">
        <f>IF(SUM('DFP-CASH'!$C22:G22)&gt;SUM('DFP-Com'!$C20:G20),"error","ok")</f>
        <v>ok</v>
      </c>
      <c r="G10" s="297" t="str">
        <f>IF(SUM('DFP-CASH'!$C22:G22)&gt;SUM('DFP-Com'!$C20:G20),"error","ok")</f>
        <v>ok</v>
      </c>
      <c r="H10" s="297" t="str">
        <f>IF(SUM('DFP-CASH'!$C22:G22)&gt;SUM('DFP-Com'!$C20:G20),"error","ok")</f>
        <v>ok</v>
      </c>
      <c r="I10" s="297" t="str">
        <f>IF(SUM('DFP-CASH'!$C22:G22)&gt;SUM('DFP-Com'!$C20:G20),"error","ok")</f>
        <v>ok</v>
      </c>
      <c r="J10" s="297" t="str">
        <f>IF(SUM('DFP-CASH'!$C22:G22)&gt;SUM('DFP-Com'!$C20:G20),"error","ok")</f>
        <v>ok</v>
      </c>
      <c r="K10" s="297" t="str">
        <f>IF(SUM('DFP-CASH'!$C22:G22)&gt;SUM('DFP-Com'!$C20:G20),"error","ok")</f>
        <v>ok</v>
      </c>
      <c r="L10" s="297" t="str">
        <f>IF(SUM('DFP-CASH'!$C22:G22)&gt;SUM('DFP-Com'!$C20:G20),"error","ok")</f>
        <v>ok</v>
      </c>
      <c r="M10" s="297" t="str">
        <f>IF(SUM('DFP-CASH'!$C22:G22)&gt;SUM('DFP-Com'!$C20:G20),"error","ok")</f>
        <v>ok</v>
      </c>
      <c r="N10" s="297" t="str">
        <f>IF(SUM('DFP-CASH'!$C22:G22)&gt;SUM('DFP-Com'!$C20:G20),"error","ok")</f>
        <v>ok</v>
      </c>
      <c r="O10" s="297" t="str">
        <f>IF(SUM('DFP-CASH'!$C22:H22)&gt;SUM('DFP-Com'!$C20:H20),"error","ok")</f>
        <v>ok</v>
      </c>
      <c r="P10" s="297" t="str">
        <f>IF(SUM('DFP-CASH'!$C22:I22)&gt;SUM('DFP-Com'!$C20:I20),"error","ok")</f>
        <v>ok</v>
      </c>
      <c r="Q10" s="297" t="str">
        <f>IF(SUM('DFP-CASH'!$C22:J22)&gt;SUM('DFP-Com'!$C20:J20),"error","ok")</f>
        <v>ok</v>
      </c>
      <c r="R10" s="297" t="str">
        <f>IF(SUM('DFP-CASH'!$C22:K22)&gt;SUM('DFP-Com'!$C20:K20),"error","ok")</f>
        <v>ok</v>
      </c>
      <c r="S10" s="297" t="str">
        <f>IF(SUM('DFP-CASH'!$C22:L22)&gt;SUM('DFP-Com'!$C20:L20),"error","ok")</f>
        <v>ok</v>
      </c>
    </row>
    <row r="11" spans="1:19" ht="25.5">
      <c r="A11" s="49" t="s">
        <v>79</v>
      </c>
      <c r="B11" s="252" t="str">
        <f>IF('DFP-Com'!R21-'DFP-CASH'!R23=0,"ok","error")</f>
        <v>error</v>
      </c>
      <c r="C11" s="297" t="str">
        <f>IF(SUM('DFP-CASH'!$C23:C23)&gt;SUM('DFP-Com'!$C21:D21),"error","ok")</f>
        <v>ok</v>
      </c>
      <c r="D11" s="297" t="str">
        <f>IF(SUM('DFP-CASH'!$C23:E23)&gt;SUM('DFP-Com'!$C21:E21),"error","ok")</f>
        <v>ok</v>
      </c>
      <c r="E11" s="297" t="str">
        <f>IF(SUM('DFP-CASH'!$C23:F23)&gt;SUM('DFP-Com'!$C21:F21),"error","ok")</f>
        <v>ok</v>
      </c>
      <c r="F11" s="297" t="str">
        <f>IF(SUM('DFP-CASH'!$C23:G23)&gt;SUM('DFP-Com'!$C21:G21),"error","ok")</f>
        <v>ok</v>
      </c>
      <c r="G11" s="297" t="str">
        <f>IF(SUM('DFP-CASH'!$C23:G23)&gt;SUM('DFP-Com'!$C21:G21),"error","ok")</f>
        <v>ok</v>
      </c>
      <c r="H11" s="297" t="str">
        <f>IF(SUM('DFP-CASH'!$C23:G23)&gt;SUM('DFP-Com'!$C21:G21),"error","ok")</f>
        <v>ok</v>
      </c>
      <c r="I11" s="297" t="str">
        <f>IF(SUM('DFP-CASH'!$C23:G23)&gt;SUM('DFP-Com'!$C21:G21),"error","ok")</f>
        <v>ok</v>
      </c>
      <c r="J11" s="297" t="str">
        <f>IF(SUM('DFP-CASH'!$C23:G23)&gt;SUM('DFP-Com'!$C21:G21),"error","ok")</f>
        <v>ok</v>
      </c>
      <c r="K11" s="297" t="str">
        <f>IF(SUM('DFP-CASH'!$C23:G23)&gt;SUM('DFP-Com'!$C21:G21),"error","ok")</f>
        <v>ok</v>
      </c>
      <c r="L11" s="297" t="str">
        <f>IF(SUM('DFP-CASH'!$C23:G23)&gt;SUM('DFP-Com'!$C21:G21),"error","ok")</f>
        <v>ok</v>
      </c>
      <c r="M11" s="297" t="str">
        <f>IF(SUM('DFP-CASH'!$C23:G23)&gt;SUM('DFP-Com'!$C21:G21),"error","ok")</f>
        <v>ok</v>
      </c>
      <c r="N11" s="297" t="str">
        <f>IF(SUM('DFP-CASH'!$C23:G23)&gt;SUM('DFP-Com'!$C21:G21),"error","ok")</f>
        <v>ok</v>
      </c>
      <c r="O11" s="297" t="str">
        <f>IF(SUM('DFP-CASH'!$C23:H23)&gt;SUM('DFP-Com'!$C21:H21),"error","ok")</f>
        <v>ok</v>
      </c>
      <c r="P11" s="297" t="str">
        <f>IF(SUM('DFP-CASH'!$C23:I23)&gt;SUM('DFP-Com'!$C21:I21),"error","ok")</f>
        <v>ok</v>
      </c>
      <c r="Q11" s="297" t="str">
        <f>IF(SUM('DFP-CASH'!$C23:J23)&gt;SUM('DFP-Com'!$C21:J21),"error","ok")</f>
        <v>error</v>
      </c>
      <c r="R11" s="297" t="str">
        <f>IF(SUM('DFP-CASH'!$C23:K23)&gt;SUM('DFP-Com'!$C21:K21),"error","ok")</f>
        <v>error</v>
      </c>
      <c r="S11" s="297" t="str">
        <f>IF(SUM('DFP-CASH'!$C23:L23)&gt;SUM('DFP-Com'!$C21:L21),"error","ok")</f>
        <v>error</v>
      </c>
    </row>
    <row r="12" spans="1:19" ht="15">
      <c r="A12" s="200" t="s">
        <v>112</v>
      </c>
      <c r="B12" s="252" t="str">
        <f>IF('DFP-Com'!R22-'DFP-CASH'!R24=0,"ok","error")</f>
        <v>error</v>
      </c>
      <c r="C12" s="297" t="str">
        <f>IF(SUM('DFP-CASH'!$C24:C24)&gt;SUM('DFP-Com'!$C22:D22),"error","ok")</f>
        <v>ok</v>
      </c>
      <c r="D12" s="297" t="str">
        <f>IF(SUM('DFP-CASH'!$C24:E24)&gt;SUM('DFP-Com'!$C22:E22),"error","ok")</f>
        <v>ok</v>
      </c>
      <c r="E12" s="297" t="str">
        <f>IF(SUM('DFP-CASH'!$C24:F24)&gt;SUM('DFP-Com'!$C22:F22),"error","ok")</f>
        <v>ok</v>
      </c>
      <c r="F12" s="297" t="str">
        <f>IF(SUM('DFP-CASH'!$C24:G24)&gt;SUM('DFP-Com'!$C22:G22),"error","ok")</f>
        <v>ok</v>
      </c>
      <c r="G12" s="297" t="str">
        <f>IF(SUM('DFP-CASH'!$C24:G24)&gt;SUM('DFP-Com'!$C22:G22),"error","ok")</f>
        <v>ok</v>
      </c>
      <c r="H12" s="297" t="str">
        <f>IF(SUM('DFP-CASH'!$C24:G24)&gt;SUM('DFP-Com'!$C22:G22),"error","ok")</f>
        <v>ok</v>
      </c>
      <c r="I12" s="297" t="str">
        <f>IF(SUM('DFP-CASH'!$C24:G24)&gt;SUM('DFP-Com'!$C22:G22),"error","ok")</f>
        <v>ok</v>
      </c>
      <c r="J12" s="297" t="str">
        <f>IF(SUM('DFP-CASH'!$C24:G24)&gt;SUM('DFP-Com'!$C22:G22),"error","ok")</f>
        <v>ok</v>
      </c>
      <c r="K12" s="297" t="str">
        <f>IF(SUM('DFP-CASH'!$C24:G24)&gt;SUM('DFP-Com'!$C22:G22),"error","ok")</f>
        <v>ok</v>
      </c>
      <c r="L12" s="297" t="str">
        <f>IF(SUM('DFP-CASH'!$C24:G24)&gt;SUM('DFP-Com'!$C22:G22),"error","ok")</f>
        <v>ok</v>
      </c>
      <c r="M12" s="297" t="str">
        <f>IF(SUM('DFP-CASH'!$C24:G24)&gt;SUM('DFP-Com'!$C22:G22),"error","ok")</f>
        <v>ok</v>
      </c>
      <c r="N12" s="297" t="str">
        <f>IF(SUM('DFP-CASH'!$C24:G24)&gt;SUM('DFP-Com'!$C22:G22),"error","ok")</f>
        <v>ok</v>
      </c>
      <c r="O12" s="297" t="str">
        <f>IF(SUM('DFP-CASH'!$C24:H24)&gt;SUM('DFP-Com'!$C22:H22),"error","ok")</f>
        <v>ok</v>
      </c>
      <c r="P12" s="297" t="str">
        <f>IF(SUM('DFP-CASH'!$C24:I24)&gt;SUM('DFP-Com'!$C22:I22),"error","ok")</f>
        <v>ok</v>
      </c>
      <c r="Q12" s="297" t="str">
        <f>IF(SUM('DFP-CASH'!$C24:J24)&gt;SUM('DFP-Com'!$C22:J22),"error","ok")</f>
        <v>error</v>
      </c>
      <c r="R12" s="297" t="str">
        <f>IF(SUM('DFP-CASH'!$C24:K24)&gt;SUM('DFP-Com'!$C22:K22),"error","ok")</f>
        <v>error</v>
      </c>
      <c r="S12" s="297" t="str">
        <f>IF(SUM('DFP-CASH'!$C24:L24)&gt;SUM('DFP-Com'!$C22:L22),"error","ok")</f>
        <v>error</v>
      </c>
    </row>
    <row r="13" spans="1:19" ht="15">
      <c r="A13" s="200" t="s">
        <v>128</v>
      </c>
      <c r="B13" s="252" t="str">
        <f>IF('DFP-Com'!R23-'DFP-CASH'!R25=0,"ok","error")</f>
        <v>error</v>
      </c>
      <c r="C13" s="297" t="str">
        <f>IF(SUM('DFP-CASH'!$C25:C25)&gt;SUM('DFP-Com'!$C23:D23),"error","ok")</f>
        <v>ok</v>
      </c>
      <c r="D13" s="297" t="str">
        <f>IF(SUM('DFP-CASH'!$C25:E25)&gt;SUM('DFP-Com'!$C23:E23),"error","ok")</f>
        <v>ok</v>
      </c>
      <c r="E13" s="297" t="str">
        <f>IF(SUM('DFP-CASH'!$C25:F25)&gt;SUM('DFP-Com'!$C23:F23),"error","ok")</f>
        <v>ok</v>
      </c>
      <c r="F13" s="297" t="str">
        <f>IF(SUM('DFP-CASH'!$C25:G25)&gt;SUM('DFP-Com'!$C23:G23),"error","ok")</f>
        <v>ok</v>
      </c>
      <c r="G13" s="297" t="str">
        <f>IF(SUM('DFP-CASH'!$C25:G25)&gt;SUM('DFP-Com'!$C23:G23),"error","ok")</f>
        <v>ok</v>
      </c>
      <c r="H13" s="297" t="str">
        <f>IF(SUM('DFP-CASH'!$C25:G25)&gt;SUM('DFP-Com'!$C23:G23),"error","ok")</f>
        <v>ok</v>
      </c>
      <c r="I13" s="297" t="str">
        <f>IF(SUM('DFP-CASH'!$C25:G25)&gt;SUM('DFP-Com'!$C23:G23),"error","ok")</f>
        <v>ok</v>
      </c>
      <c r="J13" s="297" t="str">
        <f>IF(SUM('DFP-CASH'!$C25:G25)&gt;SUM('DFP-Com'!$C23:G23),"error","ok")</f>
        <v>ok</v>
      </c>
      <c r="K13" s="297" t="str">
        <f>IF(SUM('DFP-CASH'!$C25:G25)&gt;SUM('DFP-Com'!$C23:G23),"error","ok")</f>
        <v>ok</v>
      </c>
      <c r="L13" s="297" t="str">
        <f>IF(SUM('DFP-CASH'!$C25:G25)&gt;SUM('DFP-Com'!$C23:G23),"error","ok")</f>
        <v>ok</v>
      </c>
      <c r="M13" s="297" t="str">
        <f>IF(SUM('DFP-CASH'!$C25:G25)&gt;SUM('DFP-Com'!$C23:G23),"error","ok")</f>
        <v>ok</v>
      </c>
      <c r="N13" s="297" t="str">
        <f>IF(SUM('DFP-CASH'!$C25:G25)&gt;SUM('DFP-Com'!$C23:G23),"error","ok")</f>
        <v>ok</v>
      </c>
      <c r="O13" s="297" t="str">
        <f>IF(SUM('DFP-CASH'!$C25:H25)&gt;SUM('DFP-Com'!$C23:H23),"error","ok")</f>
        <v>ok</v>
      </c>
      <c r="P13" s="297" t="str">
        <f>IF(SUM('DFP-CASH'!$C25:I25)&gt;SUM('DFP-Com'!$C23:I23),"error","ok")</f>
        <v>ok</v>
      </c>
      <c r="Q13" s="297" t="str">
        <f>IF(SUM('DFP-CASH'!$C25:J25)&gt;SUM('DFP-Com'!$C23:J23),"error","ok")</f>
        <v>ok</v>
      </c>
      <c r="R13" s="297" t="str">
        <f>IF(SUM('DFP-CASH'!$C25:K25)&gt;SUM('DFP-Com'!$C23:K23),"error","ok")</f>
        <v>ok</v>
      </c>
      <c r="S13" s="297" t="str">
        <f>IF(SUM('DFP-CASH'!$C25:L25)&gt;SUM('DFP-Com'!$C23:L23),"error","ok")</f>
        <v>ok</v>
      </c>
    </row>
    <row r="14" spans="1:19" ht="15">
      <c r="A14" s="200" t="s">
        <v>127</v>
      </c>
      <c r="B14" s="252" t="str">
        <f>IF('DFP-Com'!R24-'DFP-CASH'!R26=0,"ok","error")</f>
        <v>ok</v>
      </c>
      <c r="C14" s="297" t="str">
        <f>IF(SUM('DFP-CASH'!$C26:C26)&gt;SUM('DFP-Com'!$C24:D24),"error","ok")</f>
        <v>ok</v>
      </c>
      <c r="D14" s="297" t="str">
        <f>IF(SUM('DFP-CASH'!$C26:E26)&gt;SUM('DFP-Com'!$C24:E24),"error","ok")</f>
        <v>ok</v>
      </c>
      <c r="E14" s="297" t="str">
        <f>IF(SUM('DFP-CASH'!$C26:F26)&gt;SUM('DFP-Com'!$C24:F24),"error","ok")</f>
        <v>ok</v>
      </c>
      <c r="F14" s="297" t="str">
        <f>IF(SUM('DFP-CASH'!$C26:G26)&gt;SUM('DFP-Com'!$C24:G24),"error","ok")</f>
        <v>ok</v>
      </c>
      <c r="G14" s="297" t="str">
        <f>IF(SUM('DFP-CASH'!$C26:G26)&gt;SUM('DFP-Com'!$C24:G24),"error","ok")</f>
        <v>ok</v>
      </c>
      <c r="H14" s="297" t="str">
        <f>IF(SUM('DFP-CASH'!$C26:G26)&gt;SUM('DFP-Com'!$C24:G24),"error","ok")</f>
        <v>ok</v>
      </c>
      <c r="I14" s="297" t="str">
        <f>IF(SUM('DFP-CASH'!$C26:G26)&gt;SUM('DFP-Com'!$C24:G24),"error","ok")</f>
        <v>ok</v>
      </c>
      <c r="J14" s="297" t="str">
        <f>IF(SUM('DFP-CASH'!$C26:G26)&gt;SUM('DFP-Com'!$C24:G24),"error","ok")</f>
        <v>ok</v>
      </c>
      <c r="K14" s="297" t="str">
        <f>IF(SUM('DFP-CASH'!$C26:G26)&gt;SUM('DFP-Com'!$C24:G24),"error","ok")</f>
        <v>ok</v>
      </c>
      <c r="L14" s="297" t="str">
        <f>IF(SUM('DFP-CASH'!$C26:G26)&gt;SUM('DFP-Com'!$C24:G24),"error","ok")</f>
        <v>ok</v>
      </c>
      <c r="M14" s="297" t="str">
        <f>IF(SUM('DFP-CASH'!$C26:G26)&gt;SUM('DFP-Com'!$C24:G24),"error","ok")</f>
        <v>ok</v>
      </c>
      <c r="N14" s="297" t="str">
        <f>IF(SUM('DFP-CASH'!$C26:G26)&gt;SUM('DFP-Com'!$C24:G24),"error","ok")</f>
        <v>ok</v>
      </c>
      <c r="O14" s="297" t="str">
        <f>IF(SUM('DFP-CASH'!$C26:H26)&gt;SUM('DFP-Com'!$C24:H24),"error","ok")</f>
        <v>ok</v>
      </c>
      <c r="P14" s="297" t="str">
        <f>IF(SUM('DFP-CASH'!$C26:I26)&gt;SUM('DFP-Com'!$C24:I24),"error","ok")</f>
        <v>ok</v>
      </c>
      <c r="Q14" s="297" t="str">
        <f>IF(SUM('DFP-CASH'!$C26:J26)&gt;SUM('DFP-Com'!$C24:J24),"error","ok")</f>
        <v>ok</v>
      </c>
      <c r="R14" s="297" t="str">
        <f>IF(SUM('DFP-CASH'!$C26:K26)&gt;SUM('DFP-Com'!$C24:K24),"error","ok")</f>
        <v>ok</v>
      </c>
      <c r="S14" s="297" t="str">
        <f>IF(SUM('DFP-CASH'!$C26:L26)&gt;SUM('DFP-Com'!$C24:L24),"error","ok")</f>
        <v>ok</v>
      </c>
    </row>
    <row r="15" spans="1:19" ht="15">
      <c r="A15" s="51" t="s">
        <v>62</v>
      </c>
      <c r="B15" s="252" t="str">
        <f>IF('DFP-Com'!R25-'DFP-CASH'!R27=0,"ok","error")</f>
        <v>ok</v>
      </c>
      <c r="C15" s="297" t="str">
        <f>IF(SUM('DFP-CASH'!$C27:C27)&gt;SUM('DFP-Com'!$C25:D25),"error","ok")</f>
        <v>ok</v>
      </c>
      <c r="D15" s="297" t="str">
        <f>IF(SUM('DFP-CASH'!$C27:E27)&gt;SUM('DFP-Com'!$C25:E25),"error","ok")</f>
        <v>ok</v>
      </c>
      <c r="E15" s="297" t="str">
        <f>IF(SUM('DFP-CASH'!$C27:F27)&gt;SUM('DFP-Com'!$C25:F25),"error","ok")</f>
        <v>ok</v>
      </c>
      <c r="F15" s="297" t="str">
        <f>IF(SUM('DFP-CASH'!$C27:G27)&gt;SUM('DFP-Com'!$C25:G25),"error","ok")</f>
        <v>ok</v>
      </c>
      <c r="G15" s="297" t="str">
        <f>IF(SUM('DFP-CASH'!$C27:G27)&gt;SUM('DFP-Com'!$C25:G25),"error","ok")</f>
        <v>ok</v>
      </c>
      <c r="H15" s="297" t="str">
        <f>IF(SUM('DFP-CASH'!$C27:G27)&gt;SUM('DFP-Com'!$C25:G25),"error","ok")</f>
        <v>ok</v>
      </c>
      <c r="I15" s="297" t="str">
        <f>IF(SUM('DFP-CASH'!$C27:G27)&gt;SUM('DFP-Com'!$C25:G25),"error","ok")</f>
        <v>ok</v>
      </c>
      <c r="J15" s="297" t="str">
        <f>IF(SUM('DFP-CASH'!$C27:G27)&gt;SUM('DFP-Com'!$C25:G25),"error","ok")</f>
        <v>ok</v>
      </c>
      <c r="K15" s="297" t="str">
        <f>IF(SUM('DFP-CASH'!$C27:G27)&gt;SUM('DFP-Com'!$C25:G25),"error","ok")</f>
        <v>ok</v>
      </c>
      <c r="L15" s="297" t="str">
        <f>IF(SUM('DFP-CASH'!$C27:G27)&gt;SUM('DFP-Com'!$C25:G25),"error","ok")</f>
        <v>ok</v>
      </c>
      <c r="M15" s="297" t="str">
        <f>IF(SUM('DFP-CASH'!$C27:G27)&gt;SUM('DFP-Com'!$C25:G25),"error","ok")</f>
        <v>ok</v>
      </c>
      <c r="N15" s="297" t="str">
        <f>IF(SUM('DFP-CASH'!$C27:G27)&gt;SUM('DFP-Com'!$C25:G25),"error","ok")</f>
        <v>ok</v>
      </c>
      <c r="O15" s="297" t="str">
        <f>IF(SUM('DFP-CASH'!$C27:H27)&gt;SUM('DFP-Com'!$C25:H25),"error","ok")</f>
        <v>ok</v>
      </c>
      <c r="P15" s="297" t="str">
        <f>IF(SUM('DFP-CASH'!$C27:I27)&gt;SUM('DFP-Com'!$C25:I25),"error","ok")</f>
        <v>ok</v>
      </c>
      <c r="Q15" s="297" t="str">
        <f>IF(SUM('DFP-CASH'!$C27:J27)&gt;SUM('DFP-Com'!$C25:J25),"error","ok")</f>
        <v>ok</v>
      </c>
      <c r="R15" s="297" t="str">
        <f>IF(SUM('DFP-CASH'!$C27:K27)&gt;SUM('DFP-Com'!$C25:K25),"error","ok")</f>
        <v>ok</v>
      </c>
      <c r="S15" s="297" t="str">
        <f>IF(SUM('DFP-CASH'!$C27:L27)&gt;SUM('DFP-Com'!$C25:L25),"error","ok")</f>
        <v>ok</v>
      </c>
    </row>
    <row r="16" spans="1:19" ht="15">
      <c r="A16" s="53"/>
      <c r="B16" s="252" t="str">
        <f>IF('DFP-Com'!R26-'DFP-CASH'!R28=0,"ok","error")</f>
        <v>ok</v>
      </c>
      <c r="C16" s="297" t="str">
        <f>IF(SUM('DFP-CASH'!$C28:C28)&gt;SUM('DFP-Com'!$C26:D26),"error","ok")</f>
        <v>ok</v>
      </c>
      <c r="D16" s="297" t="str">
        <f>IF(SUM('DFP-CASH'!$C28:E28)&gt;SUM('DFP-Com'!$C26:E26),"error","ok")</f>
        <v>ok</v>
      </c>
      <c r="E16" s="297" t="str">
        <f>IF(SUM('DFP-CASH'!$C28:F28)&gt;SUM('DFP-Com'!$C26:F26),"error","ok")</f>
        <v>ok</v>
      </c>
      <c r="F16" s="297" t="str">
        <f>IF(SUM('DFP-CASH'!$C28:G28)&gt;SUM('DFP-Com'!$C26:G26),"error","ok")</f>
        <v>ok</v>
      </c>
      <c r="G16" s="297" t="str">
        <f>IF(SUM('DFP-CASH'!$C28:G28)&gt;SUM('DFP-Com'!$C26:G26),"error","ok")</f>
        <v>ok</v>
      </c>
      <c r="H16" s="297" t="str">
        <f>IF(SUM('DFP-CASH'!$C28:G28)&gt;SUM('DFP-Com'!$C26:G26),"error","ok")</f>
        <v>ok</v>
      </c>
      <c r="I16" s="297" t="str">
        <f>IF(SUM('DFP-CASH'!$C28:G28)&gt;SUM('DFP-Com'!$C26:G26),"error","ok")</f>
        <v>ok</v>
      </c>
      <c r="J16" s="297" t="str">
        <f>IF(SUM('DFP-CASH'!$C28:G28)&gt;SUM('DFP-Com'!$C26:G26),"error","ok")</f>
        <v>ok</v>
      </c>
      <c r="K16" s="297" t="str">
        <f>IF(SUM('DFP-CASH'!$C28:G28)&gt;SUM('DFP-Com'!$C26:G26),"error","ok")</f>
        <v>ok</v>
      </c>
      <c r="L16" s="297" t="str">
        <f>IF(SUM('DFP-CASH'!$C28:G28)&gt;SUM('DFP-Com'!$C26:G26),"error","ok")</f>
        <v>ok</v>
      </c>
      <c r="M16" s="297" t="str">
        <f>IF(SUM('DFP-CASH'!$C28:G28)&gt;SUM('DFP-Com'!$C26:G26),"error","ok")</f>
        <v>ok</v>
      </c>
      <c r="N16" s="297" t="str">
        <f>IF(SUM('DFP-CASH'!$C28:G28)&gt;SUM('DFP-Com'!$C26:G26),"error","ok")</f>
        <v>ok</v>
      </c>
      <c r="O16" s="297" t="str">
        <f>IF(SUM('DFP-CASH'!$C28:H28)&gt;SUM('DFP-Com'!$C26:H26),"error","ok")</f>
        <v>ok</v>
      </c>
      <c r="P16" s="297" t="str">
        <f>IF(SUM('DFP-CASH'!$C28:I28)&gt;SUM('DFP-Com'!$C26:I26),"error","ok")</f>
        <v>ok</v>
      </c>
      <c r="Q16" s="297" t="str">
        <f>IF(SUM('DFP-CASH'!$C28:J28)&gt;SUM('DFP-Com'!$C26:J26),"error","ok")</f>
        <v>ok</v>
      </c>
      <c r="R16" s="297" t="str">
        <f>IF(SUM('DFP-CASH'!$C28:K28)&gt;SUM('DFP-Com'!$C26:K26),"error","ok")</f>
        <v>ok</v>
      </c>
      <c r="S16" s="297" t="str">
        <f>IF(SUM('DFP-CASH'!$C28:L28)&gt;SUM('DFP-Com'!$C26:L26),"error","ok")</f>
        <v>ok</v>
      </c>
    </row>
    <row r="17" spans="1:19" ht="15">
      <c r="A17" s="44" t="s">
        <v>82</v>
      </c>
      <c r="B17" s="252" t="str">
        <f>IF('DFP-Com'!R27-'DFP-CASH'!R29=0,"ok","error")</f>
        <v>ok</v>
      </c>
      <c r="C17" s="297" t="str">
        <f>IF(SUM('DFP-CASH'!$C29:C29)&gt;SUM('DFP-Com'!$C27:D27),"error","ok")</f>
        <v>ok</v>
      </c>
      <c r="D17" s="297" t="str">
        <f>IF(SUM('DFP-CASH'!$C29:E29)&gt;SUM('DFP-Com'!$C27:E27),"error","ok")</f>
        <v>ok</v>
      </c>
      <c r="E17" s="297" t="str">
        <f>IF(SUM('DFP-CASH'!$C29:F29)&gt;SUM('DFP-Com'!$C27:F27),"error","ok")</f>
        <v>ok</v>
      </c>
      <c r="F17" s="297" t="str">
        <f>IF(SUM('DFP-CASH'!$C29:G29)&gt;SUM('DFP-Com'!$C27:G27),"error","ok")</f>
        <v>ok</v>
      </c>
      <c r="G17" s="297" t="str">
        <f>IF(SUM('DFP-CASH'!$C29:G29)&gt;SUM('DFP-Com'!$C27:G27),"error","ok")</f>
        <v>ok</v>
      </c>
      <c r="H17" s="297" t="str">
        <f>IF(SUM('DFP-CASH'!$C29:G29)&gt;SUM('DFP-Com'!$C27:G27),"error","ok")</f>
        <v>ok</v>
      </c>
      <c r="I17" s="297" t="str">
        <f>IF(SUM('DFP-CASH'!$C29:G29)&gt;SUM('DFP-Com'!$C27:G27),"error","ok")</f>
        <v>ok</v>
      </c>
      <c r="J17" s="297" t="str">
        <f>IF(SUM('DFP-CASH'!$C29:G29)&gt;SUM('DFP-Com'!$C27:G27),"error","ok")</f>
        <v>ok</v>
      </c>
      <c r="K17" s="297" t="str">
        <f>IF(SUM('DFP-CASH'!$C29:G29)&gt;SUM('DFP-Com'!$C27:G27),"error","ok")</f>
        <v>ok</v>
      </c>
      <c r="L17" s="297" t="str">
        <f>IF(SUM('DFP-CASH'!$C29:G29)&gt;SUM('DFP-Com'!$C27:G27),"error","ok")</f>
        <v>ok</v>
      </c>
      <c r="M17" s="297" t="str">
        <f>IF(SUM('DFP-CASH'!$C29:G29)&gt;SUM('DFP-Com'!$C27:G27),"error","ok")</f>
        <v>ok</v>
      </c>
      <c r="N17" s="297" t="str">
        <f>IF(SUM('DFP-CASH'!$C29:G29)&gt;SUM('DFP-Com'!$C27:G27),"error","ok")</f>
        <v>ok</v>
      </c>
      <c r="O17" s="297" t="str">
        <f>IF(SUM('DFP-CASH'!$C29:H29)&gt;SUM('DFP-Com'!$C27:H27),"error","ok")</f>
        <v>ok</v>
      </c>
      <c r="P17" s="297" t="str">
        <f>IF(SUM('DFP-CASH'!$C29:I29)&gt;SUM('DFP-Com'!$C27:I27),"error","ok")</f>
        <v>ok</v>
      </c>
      <c r="Q17" s="297" t="str">
        <f>IF(SUM('DFP-CASH'!$C29:J29)&gt;SUM('DFP-Com'!$C27:J27),"error","ok")</f>
        <v>ok</v>
      </c>
      <c r="R17" s="297" t="str">
        <f>IF(SUM('DFP-CASH'!$C29:K29)&gt;SUM('DFP-Com'!$C27:K27),"error","ok")</f>
        <v>ok</v>
      </c>
      <c r="S17" s="297" t="str">
        <f>IF(SUM('DFP-CASH'!$C29:L29)&gt;SUM('DFP-Com'!$C27:L27),"error","ok")</f>
        <v>ok</v>
      </c>
    </row>
    <row r="18" spans="1:19" ht="15">
      <c r="A18" s="49" t="s">
        <v>129</v>
      </c>
      <c r="B18" s="252" t="str">
        <f>IF('DFP-Com'!R28-'DFP-CASH'!R30=0,"ok","error")</f>
        <v>error</v>
      </c>
      <c r="C18" s="297" t="str">
        <f>IF(SUM('DFP-CASH'!$C30:C30)&gt;SUM('DFP-Com'!$C28:D28),"error","ok")</f>
        <v>ok</v>
      </c>
      <c r="D18" s="297" t="str">
        <f>IF(SUM('DFP-CASH'!$C30:E30)&gt;SUM('DFP-Com'!$C28:E28),"error","ok")</f>
        <v>ok</v>
      </c>
      <c r="E18" s="297" t="str">
        <f>IF(SUM('DFP-CASH'!$C30:F30)&gt;SUM('DFP-Com'!$C28:F28),"error","ok")</f>
        <v>ok</v>
      </c>
      <c r="F18" s="297" t="str">
        <f>IF(SUM('DFP-CASH'!$C30:G30)&gt;SUM('DFP-Com'!$C28:G28),"error","ok")</f>
        <v>ok</v>
      </c>
      <c r="G18" s="297" t="str">
        <f>IF(SUM('DFP-CASH'!$C30:G30)&gt;SUM('DFP-Com'!$C28:G28),"error","ok")</f>
        <v>ok</v>
      </c>
      <c r="H18" s="297" t="str">
        <f>IF(SUM('DFP-CASH'!$C30:G30)&gt;SUM('DFP-Com'!$C28:G28),"error","ok")</f>
        <v>ok</v>
      </c>
      <c r="I18" s="297" t="str">
        <f>IF(SUM('DFP-CASH'!$C30:G30)&gt;SUM('DFP-Com'!$C28:G28),"error","ok")</f>
        <v>ok</v>
      </c>
      <c r="J18" s="297" t="str">
        <f>IF(SUM('DFP-CASH'!$C30:G30)&gt;SUM('DFP-Com'!$C28:G28),"error","ok")</f>
        <v>ok</v>
      </c>
      <c r="K18" s="297" t="str">
        <f>IF(SUM('DFP-CASH'!$C30:G30)&gt;SUM('DFP-Com'!$C28:G28),"error","ok")</f>
        <v>ok</v>
      </c>
      <c r="L18" s="297" t="str">
        <f>IF(SUM('DFP-CASH'!$C30:G30)&gt;SUM('DFP-Com'!$C28:G28),"error","ok")</f>
        <v>ok</v>
      </c>
      <c r="M18" s="297" t="str">
        <f>IF(SUM('DFP-CASH'!$C30:G30)&gt;SUM('DFP-Com'!$C28:G28),"error","ok")</f>
        <v>ok</v>
      </c>
      <c r="N18" s="297" t="str">
        <f>IF(SUM('DFP-CASH'!$C30:G30)&gt;SUM('DFP-Com'!$C28:G28),"error","ok")</f>
        <v>ok</v>
      </c>
      <c r="O18" s="297" t="str">
        <f>IF(SUM('DFP-CASH'!$C30:H30)&gt;SUM('DFP-Com'!$C28:H28),"error","ok")</f>
        <v>ok</v>
      </c>
      <c r="P18" s="297" t="str">
        <f>IF(SUM('DFP-CASH'!$C30:I30)&gt;SUM('DFP-Com'!$C28:I28),"error","ok")</f>
        <v>ok</v>
      </c>
      <c r="Q18" s="297" t="str">
        <f>IF(SUM('DFP-CASH'!$C30:J30)&gt;SUM('DFP-Com'!$C28:J28),"error","ok")</f>
        <v>ok</v>
      </c>
      <c r="R18" s="297" t="str">
        <f>IF(SUM('DFP-CASH'!$C30:K30)&gt;SUM('DFP-Com'!$C28:K28),"error","ok")</f>
        <v>ok</v>
      </c>
      <c r="S18" s="297" t="str">
        <f>IF(SUM('DFP-CASH'!$C30:L30)&gt;SUM('DFP-Com'!$C28:L28),"error","ok")</f>
        <v>ok</v>
      </c>
    </row>
    <row r="19" spans="1:19" ht="15">
      <c r="A19" s="200" t="s">
        <v>122</v>
      </c>
      <c r="B19" s="252" t="str">
        <f>IF('DFP-Com'!R29-'DFP-CASH'!R31=0,"ok","error")</f>
        <v>error</v>
      </c>
      <c r="C19" s="297" t="str">
        <f>IF(SUM('DFP-CASH'!$C31:C31)&gt;SUM('DFP-Com'!$C29:D29),"error","ok")</f>
        <v>ok</v>
      </c>
      <c r="D19" s="297" t="str">
        <f>IF(SUM('DFP-CASH'!$C31:E31)&gt;SUM('DFP-Com'!$C29:E29),"error","ok")</f>
        <v>ok</v>
      </c>
      <c r="E19" s="297" t="str">
        <f>IF(SUM('DFP-CASH'!$C31:F31)&gt;SUM('DFP-Com'!$C29:F29),"error","ok")</f>
        <v>ok</v>
      </c>
      <c r="F19" s="297" t="str">
        <f>IF(SUM('DFP-CASH'!$C31:G31)&gt;SUM('DFP-Com'!$C29:G29),"error","ok")</f>
        <v>ok</v>
      </c>
      <c r="G19" s="297" t="str">
        <f>IF(SUM('DFP-CASH'!$C31:G31)&gt;SUM('DFP-Com'!$C29:G29),"error","ok")</f>
        <v>ok</v>
      </c>
      <c r="H19" s="297" t="str">
        <f>IF(SUM('DFP-CASH'!$C31:G31)&gt;SUM('DFP-Com'!$C29:G29),"error","ok")</f>
        <v>ok</v>
      </c>
      <c r="I19" s="297" t="str">
        <f>IF(SUM('DFP-CASH'!$C31:G31)&gt;SUM('DFP-Com'!$C29:G29),"error","ok")</f>
        <v>ok</v>
      </c>
      <c r="J19" s="297" t="str">
        <f>IF(SUM('DFP-CASH'!$C31:G31)&gt;SUM('DFP-Com'!$C29:G29),"error","ok")</f>
        <v>ok</v>
      </c>
      <c r="K19" s="297" t="str">
        <f>IF(SUM('DFP-CASH'!$C31:G31)&gt;SUM('DFP-Com'!$C29:G29),"error","ok")</f>
        <v>ok</v>
      </c>
      <c r="L19" s="297" t="str">
        <f>IF(SUM('DFP-CASH'!$C31:G31)&gt;SUM('DFP-Com'!$C29:G29),"error","ok")</f>
        <v>ok</v>
      </c>
      <c r="M19" s="297" t="str">
        <f>IF(SUM('DFP-CASH'!$C31:G31)&gt;SUM('DFP-Com'!$C29:G29),"error","ok")</f>
        <v>ok</v>
      </c>
      <c r="N19" s="297" t="str">
        <f>IF(SUM('DFP-CASH'!$C31:G31)&gt;SUM('DFP-Com'!$C29:G29),"error","ok")</f>
        <v>ok</v>
      </c>
      <c r="O19" s="297" t="str">
        <f>IF(SUM('DFP-CASH'!$C31:H31)&gt;SUM('DFP-Com'!$C29:H29),"error","ok")</f>
        <v>ok</v>
      </c>
      <c r="P19" s="297" t="str">
        <f>IF(SUM('DFP-CASH'!$C31:I31)&gt;SUM('DFP-Com'!$C29:I29),"error","ok")</f>
        <v>ok</v>
      </c>
      <c r="Q19" s="297" t="str">
        <f>IF(SUM('DFP-CASH'!$C31:J31)&gt;SUM('DFP-Com'!$C29:J29),"error","ok")</f>
        <v>ok</v>
      </c>
      <c r="R19" s="297" t="str">
        <f>IF(SUM('DFP-CASH'!$C31:K31)&gt;SUM('DFP-Com'!$C29:K29),"error","ok")</f>
        <v>ok</v>
      </c>
      <c r="S19" s="297" t="str">
        <f>IF(SUM('DFP-CASH'!$C31:L31)&gt;SUM('DFP-Com'!$C29:L29),"error","ok")</f>
        <v>ok</v>
      </c>
    </row>
    <row r="20" spans="1:19" ht="25.5">
      <c r="A20" s="49" t="s">
        <v>86</v>
      </c>
      <c r="B20" s="252" t="str">
        <f>IF('DFP-Com'!R30-'DFP-CASH'!R32=0,"ok","error")</f>
        <v>error</v>
      </c>
      <c r="C20" s="297" t="str">
        <f>IF(SUM('DFP-CASH'!$C32:C32)&gt;SUM('DFP-Com'!$C30:D30),"error","ok")</f>
        <v>ok</v>
      </c>
      <c r="D20" s="297" t="str">
        <f>IF(SUM('DFP-CASH'!$C32:E32)&gt;SUM('DFP-Com'!$C30:E30),"error","ok")</f>
        <v>ok</v>
      </c>
      <c r="E20" s="297" t="str">
        <f>IF(SUM('DFP-CASH'!$C32:F32)&gt;SUM('DFP-Com'!$C30:F30),"error","ok")</f>
        <v>ok</v>
      </c>
      <c r="F20" s="297" t="str">
        <f>IF(SUM('DFP-CASH'!$C32:G32)&gt;SUM('DFP-Com'!$C30:G30),"error","ok")</f>
        <v>ok</v>
      </c>
      <c r="G20" s="297" t="str">
        <f>IF(SUM('DFP-CASH'!$C32:G32)&gt;SUM('DFP-Com'!$C30:G30),"error","ok")</f>
        <v>ok</v>
      </c>
      <c r="H20" s="297" t="str">
        <f>IF(SUM('DFP-CASH'!$C32:G32)&gt;SUM('DFP-Com'!$C30:G30),"error","ok")</f>
        <v>ok</v>
      </c>
      <c r="I20" s="297" t="str">
        <f>IF(SUM('DFP-CASH'!$C32:G32)&gt;SUM('DFP-Com'!$C30:G30),"error","ok")</f>
        <v>ok</v>
      </c>
      <c r="J20" s="297" t="str">
        <f>IF(SUM('DFP-CASH'!$C32:G32)&gt;SUM('DFP-Com'!$C30:G30),"error","ok")</f>
        <v>ok</v>
      </c>
      <c r="K20" s="297" t="str">
        <f>IF(SUM('DFP-CASH'!$C32:G32)&gt;SUM('DFP-Com'!$C30:G30),"error","ok")</f>
        <v>ok</v>
      </c>
      <c r="L20" s="297" t="str">
        <f>IF(SUM('DFP-CASH'!$C32:G32)&gt;SUM('DFP-Com'!$C30:G30),"error","ok")</f>
        <v>ok</v>
      </c>
      <c r="M20" s="297" t="str">
        <f>IF(SUM('DFP-CASH'!$C32:G32)&gt;SUM('DFP-Com'!$C30:G30),"error","ok")</f>
        <v>ok</v>
      </c>
      <c r="N20" s="297" t="str">
        <f>IF(SUM('DFP-CASH'!$C32:G32)&gt;SUM('DFP-Com'!$C30:G30),"error","ok")</f>
        <v>ok</v>
      </c>
      <c r="O20" s="297" t="str">
        <f>IF(SUM('DFP-CASH'!$C32:H32)&gt;SUM('DFP-Com'!$C30:H30),"error","ok")</f>
        <v>ok</v>
      </c>
      <c r="P20" s="297" t="str">
        <f>IF(SUM('DFP-CASH'!$C32:I32)&gt;SUM('DFP-Com'!$C30:I30),"error","ok")</f>
        <v>ok</v>
      </c>
      <c r="Q20" s="297" t="str">
        <f>IF(SUM('DFP-CASH'!$C32:J32)&gt;SUM('DFP-Com'!$C30:J30),"error","ok")</f>
        <v>ok</v>
      </c>
      <c r="R20" s="297" t="str">
        <f>IF(SUM('DFP-CASH'!$C32:K32)&gt;SUM('DFP-Com'!$C30:K30),"error","ok")</f>
        <v>ok</v>
      </c>
      <c r="S20" s="297" t="str">
        <f>IF(SUM('DFP-CASH'!$C32:L32)&gt;SUM('DFP-Com'!$C30:L30),"error","ok")</f>
        <v>ok</v>
      </c>
    </row>
    <row r="21" spans="1:19" ht="15">
      <c r="A21" s="200" t="s">
        <v>123</v>
      </c>
      <c r="B21" s="252" t="str">
        <f>IF('DFP-Com'!R31-'DFP-CASH'!R33=0,"ok","error")</f>
        <v>error</v>
      </c>
      <c r="C21" s="297" t="str">
        <f>IF(SUM('DFP-CASH'!$C33:C33)&gt;SUM('DFP-Com'!$C31:D31),"error","ok")</f>
        <v>ok</v>
      </c>
      <c r="D21" s="297" t="str">
        <f>IF(SUM('DFP-CASH'!$C33:E33)&gt;SUM('DFP-Com'!$C31:E31),"error","ok")</f>
        <v>ok</v>
      </c>
      <c r="E21" s="297" t="str">
        <f>IF(SUM('DFP-CASH'!$C33:F33)&gt;SUM('DFP-Com'!$C31:F31),"error","ok")</f>
        <v>ok</v>
      </c>
      <c r="F21" s="297" t="str">
        <f>IF(SUM('DFP-CASH'!$C33:G33)&gt;SUM('DFP-Com'!$C31:G31),"error","ok")</f>
        <v>ok</v>
      </c>
      <c r="G21" s="297" t="str">
        <f>IF(SUM('DFP-CASH'!$C33:G33)&gt;SUM('DFP-Com'!$C31:G31),"error","ok")</f>
        <v>ok</v>
      </c>
      <c r="H21" s="297" t="str">
        <f>IF(SUM('DFP-CASH'!$C33:G33)&gt;SUM('DFP-Com'!$C31:G31),"error","ok")</f>
        <v>ok</v>
      </c>
      <c r="I21" s="297" t="str">
        <f>IF(SUM('DFP-CASH'!$C33:G33)&gt;SUM('DFP-Com'!$C31:G31),"error","ok")</f>
        <v>ok</v>
      </c>
      <c r="J21" s="297" t="str">
        <f>IF(SUM('DFP-CASH'!$C33:G33)&gt;SUM('DFP-Com'!$C31:G31),"error","ok")</f>
        <v>ok</v>
      </c>
      <c r="K21" s="297" t="str">
        <f>IF(SUM('DFP-CASH'!$C33:G33)&gt;SUM('DFP-Com'!$C31:G31),"error","ok")</f>
        <v>ok</v>
      </c>
      <c r="L21" s="297" t="str">
        <f>IF(SUM('DFP-CASH'!$C33:G33)&gt;SUM('DFP-Com'!$C31:G31),"error","ok")</f>
        <v>ok</v>
      </c>
      <c r="M21" s="297" t="str">
        <f>IF(SUM('DFP-CASH'!$C33:G33)&gt;SUM('DFP-Com'!$C31:G31),"error","ok")</f>
        <v>ok</v>
      </c>
      <c r="N21" s="297" t="str">
        <f>IF(SUM('DFP-CASH'!$C33:G33)&gt;SUM('DFP-Com'!$C31:G31),"error","ok")</f>
        <v>ok</v>
      </c>
      <c r="O21" s="297" t="str">
        <f>IF(SUM('DFP-CASH'!$C33:H33)&gt;SUM('DFP-Com'!$C31:H31),"error","ok")</f>
        <v>ok</v>
      </c>
      <c r="P21" s="297" t="str">
        <f>IF(SUM('DFP-CASH'!$C33:I33)&gt;SUM('DFP-Com'!$C31:I31),"error","ok")</f>
        <v>ok</v>
      </c>
      <c r="Q21" s="297" t="str">
        <f>IF(SUM('DFP-CASH'!$C33:J33)&gt;SUM('DFP-Com'!$C31:J31),"error","ok")</f>
        <v>ok</v>
      </c>
      <c r="R21" s="297" t="str">
        <f>IF(SUM('DFP-CASH'!$C33:K33)&gt;SUM('DFP-Com'!$C31:K31),"error","ok")</f>
        <v>ok</v>
      </c>
      <c r="S21" s="297" t="str">
        <f>IF(SUM('DFP-CASH'!$C33:L33)&gt;SUM('DFP-Com'!$C31:L31),"error","ok")</f>
        <v>ok</v>
      </c>
    </row>
    <row r="22" spans="1:19" ht="15">
      <c r="A22" s="200" t="s">
        <v>124</v>
      </c>
      <c r="B22" s="252" t="str">
        <f>IF('DFP-Com'!R32-'DFP-CASH'!R34=0,"ok","error")</f>
        <v>error</v>
      </c>
      <c r="C22" s="297" t="str">
        <f>IF(SUM('DFP-CASH'!$C34:C34)&gt;SUM('DFP-Com'!$C32:D32),"error","ok")</f>
        <v>ok</v>
      </c>
      <c r="D22" s="297" t="str">
        <f>IF(SUM('DFP-CASH'!$C34:E34)&gt;SUM('DFP-Com'!$C32:E32),"error","ok")</f>
        <v>ok</v>
      </c>
      <c r="E22" s="297" t="str">
        <f>IF(SUM('DFP-CASH'!$C34:F34)&gt;SUM('DFP-Com'!$C32:F32),"error","ok")</f>
        <v>ok</v>
      </c>
      <c r="F22" s="297" t="str">
        <f>IF(SUM('DFP-CASH'!$C34:G34)&gt;SUM('DFP-Com'!$C32:G32),"error","ok")</f>
        <v>ok</v>
      </c>
      <c r="G22" s="297" t="str">
        <f>IF(SUM('DFP-CASH'!$C34:G34)&gt;SUM('DFP-Com'!$C32:G32),"error","ok")</f>
        <v>ok</v>
      </c>
      <c r="H22" s="297" t="str">
        <f>IF(SUM('DFP-CASH'!$C34:G34)&gt;SUM('DFP-Com'!$C32:G32),"error","ok")</f>
        <v>ok</v>
      </c>
      <c r="I22" s="297" t="str">
        <f>IF(SUM('DFP-CASH'!$C34:G34)&gt;SUM('DFP-Com'!$C32:G32),"error","ok")</f>
        <v>ok</v>
      </c>
      <c r="J22" s="297" t="str">
        <f>IF(SUM('DFP-CASH'!$C34:G34)&gt;SUM('DFP-Com'!$C32:G32),"error","ok")</f>
        <v>ok</v>
      </c>
      <c r="K22" s="297" t="str">
        <f>IF(SUM('DFP-CASH'!$C34:G34)&gt;SUM('DFP-Com'!$C32:G32),"error","ok")</f>
        <v>ok</v>
      </c>
      <c r="L22" s="297" t="str">
        <f>IF(SUM('DFP-CASH'!$C34:G34)&gt;SUM('DFP-Com'!$C32:G32),"error","ok")</f>
        <v>ok</v>
      </c>
      <c r="M22" s="297" t="str">
        <f>IF(SUM('DFP-CASH'!$C34:G34)&gt;SUM('DFP-Com'!$C32:G32),"error","ok")</f>
        <v>ok</v>
      </c>
      <c r="N22" s="297" t="str">
        <f>IF(SUM('DFP-CASH'!$C34:G34)&gt;SUM('DFP-Com'!$C32:G32),"error","ok")</f>
        <v>ok</v>
      </c>
      <c r="O22" s="297" t="str">
        <f>IF(SUM('DFP-CASH'!$C34:H34)&gt;SUM('DFP-Com'!$C32:H32),"error","ok")</f>
        <v>ok</v>
      </c>
      <c r="P22" s="297" t="str">
        <f>IF(SUM('DFP-CASH'!$C34:I34)&gt;SUM('DFP-Com'!$C32:I32),"error","ok")</f>
        <v>ok</v>
      </c>
      <c r="Q22" s="297" t="str">
        <f>IF(SUM('DFP-CASH'!$C34:J34)&gt;SUM('DFP-Com'!$C32:J32),"error","ok")</f>
        <v>ok</v>
      </c>
      <c r="R22" s="297" t="str">
        <f>IF(SUM('DFP-CASH'!$C34:K34)&gt;SUM('DFP-Com'!$C32:K32),"error","ok")</f>
        <v>ok</v>
      </c>
      <c r="S22" s="297" t="str">
        <f>IF(SUM('DFP-CASH'!$C34:L34)&gt;SUM('DFP-Com'!$C32:L32),"error","ok")</f>
        <v>ok</v>
      </c>
    </row>
    <row r="23" spans="1:19" ht="15">
      <c r="A23" s="200" t="s">
        <v>126</v>
      </c>
      <c r="B23" s="252" t="str">
        <f>IF('DFP-Com'!R33-'DFP-CASH'!R35=0,"ok","error")</f>
        <v>ok</v>
      </c>
      <c r="C23" s="297" t="str">
        <f>IF(SUM('DFP-CASH'!$C35:C35)&gt;SUM('DFP-Com'!$C33:D33),"error","ok")</f>
        <v>ok</v>
      </c>
      <c r="D23" s="297" t="str">
        <f>IF(SUM('DFP-CASH'!$C35:E35)&gt;SUM('DFP-Com'!$C33:E33),"error","ok")</f>
        <v>ok</v>
      </c>
      <c r="E23" s="297" t="str">
        <f>IF(SUM('DFP-CASH'!$C35:F35)&gt;SUM('DFP-Com'!$C33:F33),"error","ok")</f>
        <v>ok</v>
      </c>
      <c r="F23" s="297" t="str">
        <f>IF(SUM('DFP-CASH'!$C35:G35)&gt;SUM('DFP-Com'!$C33:G33),"error","ok")</f>
        <v>ok</v>
      </c>
      <c r="G23" s="297" t="str">
        <f>IF(SUM('DFP-CASH'!$C35:G35)&gt;SUM('DFP-Com'!$C33:G33),"error","ok")</f>
        <v>ok</v>
      </c>
      <c r="H23" s="297" t="str">
        <f>IF(SUM('DFP-CASH'!$C35:G35)&gt;SUM('DFP-Com'!$C33:G33),"error","ok")</f>
        <v>ok</v>
      </c>
      <c r="I23" s="297" t="str">
        <f>IF(SUM('DFP-CASH'!$C35:G35)&gt;SUM('DFP-Com'!$C33:G33),"error","ok")</f>
        <v>ok</v>
      </c>
      <c r="J23" s="297" t="str">
        <f>IF(SUM('DFP-CASH'!$C35:G35)&gt;SUM('DFP-Com'!$C33:G33),"error","ok")</f>
        <v>ok</v>
      </c>
      <c r="K23" s="297" t="str">
        <f>IF(SUM('DFP-CASH'!$C35:G35)&gt;SUM('DFP-Com'!$C33:G33),"error","ok")</f>
        <v>ok</v>
      </c>
      <c r="L23" s="297" t="str">
        <f>IF(SUM('DFP-CASH'!$C35:G35)&gt;SUM('DFP-Com'!$C33:G33),"error","ok")</f>
        <v>ok</v>
      </c>
      <c r="M23" s="297" t="str">
        <f>IF(SUM('DFP-CASH'!$C35:G35)&gt;SUM('DFP-Com'!$C33:G33),"error","ok")</f>
        <v>ok</v>
      </c>
      <c r="N23" s="297" t="str">
        <f>IF(SUM('DFP-CASH'!$C35:G35)&gt;SUM('DFP-Com'!$C33:G33),"error","ok")</f>
        <v>ok</v>
      </c>
      <c r="O23" s="297" t="str">
        <f>IF(SUM('DFP-CASH'!$C35:H35)&gt;SUM('DFP-Com'!$C33:H33),"error","ok")</f>
        <v>ok</v>
      </c>
      <c r="P23" s="297" t="str">
        <f>IF(SUM('DFP-CASH'!$C35:I35)&gt;SUM('DFP-Com'!$C33:I33),"error","ok")</f>
        <v>ok</v>
      </c>
      <c r="Q23" s="297" t="str">
        <f>IF(SUM('DFP-CASH'!$C35:J35)&gt;SUM('DFP-Com'!$C33:J33),"error","ok")</f>
        <v>ok</v>
      </c>
      <c r="R23" s="297" t="str">
        <f>IF(SUM('DFP-CASH'!$C35:K35)&gt;SUM('DFP-Com'!$C33:K33),"error","ok")</f>
        <v>ok</v>
      </c>
      <c r="S23" s="297" t="str">
        <f>IF(SUM('DFP-CASH'!$C35:L35)&gt;SUM('DFP-Com'!$C33:L33),"error","ok")</f>
        <v>ok</v>
      </c>
    </row>
    <row r="24" spans="1:19" ht="15">
      <c r="A24" s="58" t="s">
        <v>63</v>
      </c>
      <c r="B24" s="252" t="str">
        <f>IF('DFP-Com'!R34-'DFP-CASH'!R36=0,"ok","error")</f>
        <v>error</v>
      </c>
      <c r="C24" s="297" t="str">
        <f>IF(SUM('DFP-CASH'!$C36:C36)&gt;SUM('DFP-Com'!$C34:D34),"error","ok")</f>
        <v>ok</v>
      </c>
      <c r="D24" s="297" t="str">
        <f>IF(SUM('DFP-CASH'!$C36:E36)&gt;SUM('DFP-Com'!$C34:E34),"error","ok")</f>
        <v>ok</v>
      </c>
      <c r="E24" s="297" t="str">
        <f>IF(SUM('DFP-CASH'!$C36:F36)&gt;SUM('DFP-Com'!$C34:F34),"error","ok")</f>
        <v>ok</v>
      </c>
      <c r="F24" s="297" t="str">
        <f>IF(SUM('DFP-CASH'!$C36:G36)&gt;SUM('DFP-Com'!$C34:G34),"error","ok")</f>
        <v>ok</v>
      </c>
      <c r="G24" s="297" t="str">
        <f>IF(SUM('DFP-CASH'!$C36:G36)&gt;SUM('DFP-Com'!$C34:G34),"error","ok")</f>
        <v>ok</v>
      </c>
      <c r="H24" s="297" t="str">
        <f>IF(SUM('DFP-CASH'!$C36:G36)&gt;SUM('DFP-Com'!$C34:G34),"error","ok")</f>
        <v>ok</v>
      </c>
      <c r="I24" s="297" t="str">
        <f>IF(SUM('DFP-CASH'!$C36:G36)&gt;SUM('DFP-Com'!$C34:G34),"error","ok")</f>
        <v>ok</v>
      </c>
      <c r="J24" s="297" t="str">
        <f>IF(SUM('DFP-CASH'!$C36:G36)&gt;SUM('DFP-Com'!$C34:G34),"error","ok")</f>
        <v>ok</v>
      </c>
      <c r="K24" s="297" t="str">
        <f>IF(SUM('DFP-CASH'!$C36:G36)&gt;SUM('DFP-Com'!$C34:G34),"error","ok")</f>
        <v>ok</v>
      </c>
      <c r="L24" s="297" t="str">
        <f>IF(SUM('DFP-CASH'!$C36:G36)&gt;SUM('DFP-Com'!$C34:G34),"error","ok")</f>
        <v>ok</v>
      </c>
      <c r="M24" s="297" t="str">
        <f>IF(SUM('DFP-CASH'!$C36:G36)&gt;SUM('DFP-Com'!$C34:G34),"error","ok")</f>
        <v>ok</v>
      </c>
      <c r="N24" s="297" t="str">
        <f>IF(SUM('DFP-CASH'!$C36:G36)&gt;SUM('DFP-Com'!$C34:G34),"error","ok")</f>
        <v>ok</v>
      </c>
      <c r="O24" s="297" t="str">
        <f>IF(SUM('DFP-CASH'!$C36:H36)&gt;SUM('DFP-Com'!$C34:H34),"error","ok")</f>
        <v>ok</v>
      </c>
      <c r="P24" s="297" t="str">
        <f>IF(SUM('DFP-CASH'!$C36:I36)&gt;SUM('DFP-Com'!$C34:I34),"error","ok")</f>
        <v>ok</v>
      </c>
      <c r="Q24" s="297" t="str">
        <f>IF(SUM('DFP-CASH'!$C36:J36)&gt;SUM('DFP-Com'!$C34:J34),"error","ok")</f>
        <v>ok</v>
      </c>
      <c r="R24" s="297" t="str">
        <f>IF(SUM('DFP-CASH'!$C36:K36)&gt;SUM('DFP-Com'!$C34:K34),"error","ok")</f>
        <v>ok</v>
      </c>
      <c r="S24" s="297" t="str">
        <f>IF(SUM('DFP-CASH'!$C36:L36)&gt;SUM('DFP-Com'!$C34:L34),"error","ok")</f>
        <v>ok</v>
      </c>
    </row>
    <row r="25" spans="1:19" ht="15">
      <c r="A25" s="53"/>
      <c r="B25" s="252" t="str">
        <f>IF('DFP-Com'!R35-'DFP-CASH'!R37=0,"ok","error")</f>
        <v>ok</v>
      </c>
      <c r="C25" s="297" t="str">
        <f>IF(SUM('DFP-CASH'!$C37:C37)&gt;SUM('DFP-Com'!$C35:D35),"error","ok")</f>
        <v>ok</v>
      </c>
      <c r="D25" s="297" t="str">
        <f>IF(SUM('DFP-CASH'!$C37:E37)&gt;SUM('DFP-Com'!$C35:E35),"error","ok")</f>
        <v>ok</v>
      </c>
      <c r="E25" s="297" t="str">
        <f>IF(SUM('DFP-CASH'!$C37:F37)&gt;SUM('DFP-Com'!$C35:F35),"error","ok")</f>
        <v>ok</v>
      </c>
      <c r="F25" s="297" t="str">
        <f>IF(SUM('DFP-CASH'!$C37:G37)&gt;SUM('DFP-Com'!$C35:G35),"error","ok")</f>
        <v>ok</v>
      </c>
      <c r="G25" s="297" t="str">
        <f>IF(SUM('DFP-CASH'!$C37:G37)&gt;SUM('DFP-Com'!$C35:G35),"error","ok")</f>
        <v>ok</v>
      </c>
      <c r="H25" s="297" t="str">
        <f>IF(SUM('DFP-CASH'!$C37:G37)&gt;SUM('DFP-Com'!$C35:G35),"error","ok")</f>
        <v>ok</v>
      </c>
      <c r="I25" s="297" t="str">
        <f>IF(SUM('DFP-CASH'!$C37:G37)&gt;SUM('DFP-Com'!$C35:G35),"error","ok")</f>
        <v>ok</v>
      </c>
      <c r="J25" s="297" t="str">
        <f>IF(SUM('DFP-CASH'!$C37:G37)&gt;SUM('DFP-Com'!$C35:G35),"error","ok")</f>
        <v>ok</v>
      </c>
      <c r="K25" s="297" t="str">
        <f>IF(SUM('DFP-CASH'!$C37:G37)&gt;SUM('DFP-Com'!$C35:G35),"error","ok")</f>
        <v>ok</v>
      </c>
      <c r="L25" s="297" t="str">
        <f>IF(SUM('DFP-CASH'!$C37:G37)&gt;SUM('DFP-Com'!$C35:G35),"error","ok")</f>
        <v>ok</v>
      </c>
      <c r="M25" s="297" t="str">
        <f>IF(SUM('DFP-CASH'!$C37:G37)&gt;SUM('DFP-Com'!$C35:G35),"error","ok")</f>
        <v>ok</v>
      </c>
      <c r="N25" s="297" t="str">
        <f>IF(SUM('DFP-CASH'!$C37:G37)&gt;SUM('DFP-Com'!$C35:G35),"error","ok")</f>
        <v>ok</v>
      </c>
      <c r="O25" s="297" t="str">
        <f>IF(SUM('DFP-CASH'!$C37:H37)&gt;SUM('DFP-Com'!$C35:H35),"error","ok")</f>
        <v>ok</v>
      </c>
      <c r="P25" s="297" t="str">
        <f>IF(SUM('DFP-CASH'!$C37:I37)&gt;SUM('DFP-Com'!$C35:I35),"error","ok")</f>
        <v>ok</v>
      </c>
      <c r="Q25" s="297" t="str">
        <f>IF(SUM('DFP-CASH'!$C37:J37)&gt;SUM('DFP-Com'!$C35:J35),"error","ok")</f>
        <v>ok</v>
      </c>
      <c r="R25" s="297" t="str">
        <f>IF(SUM('DFP-CASH'!$C37:K37)&gt;SUM('DFP-Com'!$C35:K35),"error","ok")</f>
        <v>ok</v>
      </c>
      <c r="S25" s="297" t="str">
        <f>IF(SUM('DFP-CASH'!$C37:L37)&gt;SUM('DFP-Com'!$C35:L35),"error","ok")</f>
        <v>ok</v>
      </c>
    </row>
    <row r="26" spans="1:19" ht="15">
      <c r="A26" s="44" t="s">
        <v>90</v>
      </c>
      <c r="B26" s="252" t="str">
        <f>IF('DFP-Com'!R36-'DFP-CASH'!R38=0,"ok","error")</f>
        <v>ok</v>
      </c>
      <c r="C26" s="297" t="str">
        <f>IF(SUM('DFP-CASH'!$C38:C38)&gt;SUM('DFP-Com'!$C36:D36),"error","ok")</f>
        <v>ok</v>
      </c>
      <c r="D26" s="297" t="str">
        <f>IF(SUM('DFP-CASH'!$C38:E38)&gt;SUM('DFP-Com'!$C36:E36),"error","ok")</f>
        <v>ok</v>
      </c>
      <c r="E26" s="297" t="str">
        <f>IF(SUM('DFP-CASH'!$C38:F38)&gt;SUM('DFP-Com'!$C36:F36),"error","ok")</f>
        <v>ok</v>
      </c>
      <c r="F26" s="297" t="str">
        <f>IF(SUM('DFP-CASH'!$C38:G38)&gt;SUM('DFP-Com'!$C36:G36),"error","ok")</f>
        <v>ok</v>
      </c>
      <c r="G26" s="297" t="str">
        <f>IF(SUM('DFP-CASH'!$C38:G38)&gt;SUM('DFP-Com'!$C36:G36),"error","ok")</f>
        <v>ok</v>
      </c>
      <c r="H26" s="297" t="str">
        <f>IF(SUM('DFP-CASH'!$C38:G38)&gt;SUM('DFP-Com'!$C36:G36),"error","ok")</f>
        <v>ok</v>
      </c>
      <c r="I26" s="297" t="str">
        <f>IF(SUM('DFP-CASH'!$C38:G38)&gt;SUM('DFP-Com'!$C36:G36),"error","ok")</f>
        <v>ok</v>
      </c>
      <c r="J26" s="297" t="str">
        <f>IF(SUM('DFP-CASH'!$C38:G38)&gt;SUM('DFP-Com'!$C36:G36),"error","ok")</f>
        <v>ok</v>
      </c>
      <c r="K26" s="297" t="str">
        <f>IF(SUM('DFP-CASH'!$C38:G38)&gt;SUM('DFP-Com'!$C36:G36),"error","ok")</f>
        <v>ok</v>
      </c>
      <c r="L26" s="297" t="str">
        <f>IF(SUM('DFP-CASH'!$C38:G38)&gt;SUM('DFP-Com'!$C36:G36),"error","ok")</f>
        <v>ok</v>
      </c>
      <c r="M26" s="297" t="str">
        <f>IF(SUM('DFP-CASH'!$C38:G38)&gt;SUM('DFP-Com'!$C36:G36),"error","ok")</f>
        <v>ok</v>
      </c>
      <c r="N26" s="297" t="str">
        <f>IF(SUM('DFP-CASH'!$C38:G38)&gt;SUM('DFP-Com'!$C36:G36),"error","ok")</f>
        <v>ok</v>
      </c>
      <c r="O26" s="297" t="str">
        <f>IF(SUM('DFP-CASH'!$C38:H38)&gt;SUM('DFP-Com'!$C36:H36),"error","ok")</f>
        <v>ok</v>
      </c>
      <c r="P26" s="297" t="str">
        <f>IF(SUM('DFP-CASH'!$C38:I38)&gt;SUM('DFP-Com'!$C36:I36),"error","ok")</f>
        <v>ok</v>
      </c>
      <c r="Q26" s="297" t="str">
        <f>IF(SUM('DFP-CASH'!$C38:J38)&gt;SUM('DFP-Com'!$C36:J36),"error","ok")</f>
        <v>ok</v>
      </c>
      <c r="R26" s="297" t="str">
        <f>IF(SUM('DFP-CASH'!$C38:K38)&gt;SUM('DFP-Com'!$C36:K36),"error","ok")</f>
        <v>ok</v>
      </c>
      <c r="S26" s="297" t="str">
        <f>IF(SUM('DFP-CASH'!$C38:L38)&gt;SUM('DFP-Com'!$C36:L36),"error","ok")</f>
        <v>ok</v>
      </c>
    </row>
    <row r="27" spans="1:19" ht="15">
      <c r="A27" s="64" t="s">
        <v>91</v>
      </c>
      <c r="B27" s="252" t="str">
        <f>IF('DFP-Com'!R37-'DFP-CASH'!R39=0,"ok","error")</f>
        <v>error</v>
      </c>
      <c r="C27" s="297" t="str">
        <f>IF(SUM('DFP-CASH'!$C39:C39)&gt;SUM('DFP-Com'!$C37:D37),"error","ok")</f>
        <v>ok</v>
      </c>
      <c r="D27" s="297" t="str">
        <f>IF(SUM('DFP-CASH'!$C39:E39)&gt;SUM('DFP-Com'!$C37:E37),"error","ok")</f>
        <v>ok</v>
      </c>
      <c r="E27" s="297" t="str">
        <f>IF(SUM('DFP-CASH'!$C39:F39)&gt;SUM('DFP-Com'!$C37:F37),"error","ok")</f>
        <v>ok</v>
      </c>
      <c r="F27" s="297" t="str">
        <f>IF(SUM('DFP-CASH'!$C39:G39)&gt;SUM('DFP-Com'!$C37:G37),"error","ok")</f>
        <v>ok</v>
      </c>
      <c r="G27" s="297" t="str">
        <f>IF(SUM('DFP-CASH'!$C39:G39)&gt;SUM('DFP-Com'!$C37:G37),"error","ok")</f>
        <v>ok</v>
      </c>
      <c r="H27" s="297" t="str">
        <f>IF(SUM('DFP-CASH'!$C39:G39)&gt;SUM('DFP-Com'!$C37:G37),"error","ok")</f>
        <v>ok</v>
      </c>
      <c r="I27" s="297" t="str">
        <f>IF(SUM('DFP-CASH'!$C39:G39)&gt;SUM('DFP-Com'!$C37:G37),"error","ok")</f>
        <v>ok</v>
      </c>
      <c r="J27" s="297" t="str">
        <f>IF(SUM('DFP-CASH'!$C39:G39)&gt;SUM('DFP-Com'!$C37:G37),"error","ok")</f>
        <v>ok</v>
      </c>
      <c r="K27" s="297" t="str">
        <f>IF(SUM('DFP-CASH'!$C39:G39)&gt;SUM('DFP-Com'!$C37:G37),"error","ok")</f>
        <v>ok</v>
      </c>
      <c r="L27" s="297" t="str">
        <f>IF(SUM('DFP-CASH'!$C39:G39)&gt;SUM('DFP-Com'!$C37:G37),"error","ok")</f>
        <v>ok</v>
      </c>
      <c r="M27" s="297" t="str">
        <f>IF(SUM('DFP-CASH'!$C39:G39)&gt;SUM('DFP-Com'!$C37:G37),"error","ok")</f>
        <v>ok</v>
      </c>
      <c r="N27" s="297" t="str">
        <f>IF(SUM('DFP-CASH'!$C39:G39)&gt;SUM('DFP-Com'!$C37:G37),"error","ok")</f>
        <v>ok</v>
      </c>
      <c r="O27" s="297" t="str">
        <f>IF(SUM('DFP-CASH'!$C39:H39)&gt;SUM('DFP-Com'!$C37:H37),"error","ok")</f>
        <v>error</v>
      </c>
      <c r="P27" s="297" t="str">
        <f>IF(SUM('DFP-CASH'!$C39:I39)&gt;SUM('DFP-Com'!$C37:I37),"error","ok")</f>
        <v>ok</v>
      </c>
      <c r="Q27" s="297" t="str">
        <f>IF(SUM('DFP-CASH'!$C39:J39)&gt;SUM('DFP-Com'!$C37:J37),"error","ok")</f>
        <v>ok</v>
      </c>
      <c r="R27" s="297" t="str">
        <f>IF(SUM('DFP-CASH'!$C39:K39)&gt;SUM('DFP-Com'!$C37:K37),"error","ok")</f>
        <v>ok</v>
      </c>
      <c r="S27" s="297" t="str">
        <f>IF(SUM('DFP-CASH'!$C39:L39)&gt;SUM('DFP-Com'!$C37:L37),"error","ok")</f>
        <v>ok</v>
      </c>
    </row>
    <row r="28" spans="1:19" ht="15">
      <c r="A28" s="211" t="s">
        <v>113</v>
      </c>
      <c r="B28" s="252" t="str">
        <f>IF('DFP-Com'!R38-'DFP-CASH'!R40=0,"ok","error")</f>
        <v>error</v>
      </c>
      <c r="C28" s="297" t="str">
        <f>IF(SUM('DFP-CASH'!$C40:C40)&gt;SUM('DFP-Com'!$C38:D38),"error","ok")</f>
        <v>ok</v>
      </c>
      <c r="D28" s="297" t="str">
        <f>IF(SUM('DFP-CASH'!$C40:E40)&gt;SUM('DFP-Com'!$C38:E38),"error","ok")</f>
        <v>ok</v>
      </c>
      <c r="E28" s="297" t="str">
        <f>IF(SUM('DFP-CASH'!$C40:F40)&gt;SUM('DFP-Com'!$C38:F38),"error","ok")</f>
        <v>ok</v>
      </c>
      <c r="F28" s="297" t="str">
        <f>IF(SUM('DFP-CASH'!$C40:G40)&gt;SUM('DFP-Com'!$C38:G38),"error","ok")</f>
        <v>ok</v>
      </c>
      <c r="G28" s="297" t="str">
        <f>IF(SUM('DFP-CASH'!$C40:G40)&gt;SUM('DFP-Com'!$C38:G38),"error","ok")</f>
        <v>ok</v>
      </c>
      <c r="H28" s="297" t="str">
        <f>IF(SUM('DFP-CASH'!$C40:G40)&gt;SUM('DFP-Com'!$C38:G38),"error","ok")</f>
        <v>ok</v>
      </c>
      <c r="I28" s="297" t="str">
        <f>IF(SUM('DFP-CASH'!$C40:G40)&gt;SUM('DFP-Com'!$C38:G38),"error","ok")</f>
        <v>ok</v>
      </c>
      <c r="J28" s="297" t="str">
        <f>IF(SUM('DFP-CASH'!$C40:G40)&gt;SUM('DFP-Com'!$C38:G38),"error","ok")</f>
        <v>ok</v>
      </c>
      <c r="K28" s="297" t="str">
        <f>IF(SUM('DFP-CASH'!$C40:G40)&gt;SUM('DFP-Com'!$C38:G38),"error","ok")</f>
        <v>ok</v>
      </c>
      <c r="L28" s="297" t="str">
        <f>IF(SUM('DFP-CASH'!$C40:G40)&gt;SUM('DFP-Com'!$C38:G38),"error","ok")</f>
        <v>ok</v>
      </c>
      <c r="M28" s="297" t="str">
        <f>IF(SUM('DFP-CASH'!$C40:G40)&gt;SUM('DFP-Com'!$C38:G38),"error","ok")</f>
        <v>ok</v>
      </c>
      <c r="N28" s="297" t="str">
        <f>IF(SUM('DFP-CASH'!$C40:G40)&gt;SUM('DFP-Com'!$C38:G38),"error","ok")</f>
        <v>ok</v>
      </c>
      <c r="O28" s="297" t="str">
        <f>IF(SUM('DFP-CASH'!$C40:H40)&gt;SUM('DFP-Com'!$C38:H38),"error","ok")</f>
        <v>error</v>
      </c>
      <c r="P28" s="297" t="str">
        <f>IF(SUM('DFP-CASH'!$C40:I40)&gt;SUM('DFP-Com'!$C38:I38),"error","ok")</f>
        <v>ok</v>
      </c>
      <c r="Q28" s="297" t="str">
        <f>IF(SUM('DFP-CASH'!$C40:J40)&gt;SUM('DFP-Com'!$C38:J38),"error","ok")</f>
        <v>ok</v>
      </c>
      <c r="R28" s="297" t="str">
        <f>IF(SUM('DFP-CASH'!$C40:K40)&gt;SUM('DFP-Com'!$C38:K38),"error","ok")</f>
        <v>error</v>
      </c>
      <c r="S28" s="297" t="str">
        <f>IF(SUM('DFP-CASH'!$C40:L40)&gt;SUM('DFP-Com'!$C38:L38),"error","ok")</f>
        <v>error</v>
      </c>
    </row>
    <row r="29" spans="1:19" ht="15">
      <c r="A29" s="211" t="s">
        <v>114</v>
      </c>
      <c r="B29" s="252" t="str">
        <f>IF('DFP-Com'!R39-'DFP-CASH'!R41=0,"ok","error")</f>
        <v>ok</v>
      </c>
      <c r="C29" s="297" t="str">
        <f>IF(SUM('DFP-CASH'!$C41:C41)&gt;SUM('DFP-Com'!$C39:D39),"error","ok")</f>
        <v>ok</v>
      </c>
      <c r="D29" s="297" t="str">
        <f>IF(SUM('DFP-CASH'!$C41:E41)&gt;SUM('DFP-Com'!$C39:E39),"error","ok")</f>
        <v>ok</v>
      </c>
      <c r="E29" s="297" t="str">
        <f>IF(SUM('DFP-CASH'!$C41:F41)&gt;SUM('DFP-Com'!$C39:F39),"error","ok")</f>
        <v>ok</v>
      </c>
      <c r="F29" s="297" t="str">
        <f>IF(SUM('DFP-CASH'!$C41:G41)&gt;SUM('DFP-Com'!$C39:G39),"error","ok")</f>
        <v>ok</v>
      </c>
      <c r="G29" s="297" t="str">
        <f>IF(SUM('DFP-CASH'!$C41:G41)&gt;SUM('DFP-Com'!$C39:G39),"error","ok")</f>
        <v>ok</v>
      </c>
      <c r="H29" s="297" t="str">
        <f>IF(SUM('DFP-CASH'!$C41:G41)&gt;SUM('DFP-Com'!$C39:G39),"error","ok")</f>
        <v>ok</v>
      </c>
      <c r="I29" s="297" t="str">
        <f>IF(SUM('DFP-CASH'!$C41:G41)&gt;SUM('DFP-Com'!$C39:G39),"error","ok")</f>
        <v>ok</v>
      </c>
      <c r="J29" s="297" t="str">
        <f>IF(SUM('DFP-CASH'!$C41:G41)&gt;SUM('DFP-Com'!$C39:G39),"error","ok")</f>
        <v>ok</v>
      </c>
      <c r="K29" s="297" t="str">
        <f>IF(SUM('DFP-CASH'!$C41:G41)&gt;SUM('DFP-Com'!$C39:G39),"error","ok")</f>
        <v>ok</v>
      </c>
      <c r="L29" s="297" t="str">
        <f>IF(SUM('DFP-CASH'!$C41:G41)&gt;SUM('DFP-Com'!$C39:G39),"error","ok")</f>
        <v>ok</v>
      </c>
      <c r="M29" s="297" t="str">
        <f>IF(SUM('DFP-CASH'!$C41:G41)&gt;SUM('DFP-Com'!$C39:G39),"error","ok")</f>
        <v>ok</v>
      </c>
      <c r="N29" s="297" t="str">
        <f>IF(SUM('DFP-CASH'!$C41:G41)&gt;SUM('DFP-Com'!$C39:G39),"error","ok")</f>
        <v>ok</v>
      </c>
      <c r="O29" s="297" t="str">
        <f>IF(SUM('DFP-CASH'!$C41:H41)&gt;SUM('DFP-Com'!$C39:H39),"error","ok")</f>
        <v>ok</v>
      </c>
      <c r="P29" s="297" t="str">
        <f>IF(SUM('DFP-CASH'!$C41:I41)&gt;SUM('DFP-Com'!$C39:I39),"error","ok")</f>
        <v>ok</v>
      </c>
      <c r="Q29" s="297" t="str">
        <f>IF(SUM('DFP-CASH'!$C41:J41)&gt;SUM('DFP-Com'!$C39:J39),"error","ok")</f>
        <v>ok</v>
      </c>
      <c r="R29" s="297" t="str">
        <f>IF(SUM('DFP-CASH'!$C41:K41)&gt;SUM('DFP-Com'!$C39:K39),"error","ok")</f>
        <v>ok</v>
      </c>
      <c r="S29" s="297" t="str">
        <f>IF(SUM('DFP-CASH'!$C41:L41)&gt;SUM('DFP-Com'!$C39:L39),"error","ok")</f>
        <v>ok</v>
      </c>
    </row>
    <row r="30" spans="1:19" ht="15">
      <c r="A30" s="211" t="s">
        <v>115</v>
      </c>
      <c r="B30" s="252" t="str">
        <f>IF('DFP-Com'!R40-'DFP-CASH'!R42=0,"ok","error")</f>
        <v>ok</v>
      </c>
      <c r="C30" s="297" t="str">
        <f>IF(SUM('DFP-CASH'!$C42:C42)&gt;SUM('DFP-Com'!$C40:D40),"error","ok")</f>
        <v>ok</v>
      </c>
      <c r="D30" s="297" t="str">
        <f>IF(SUM('DFP-CASH'!$C42:E42)&gt;SUM('DFP-Com'!$C40:E40),"error","ok")</f>
        <v>ok</v>
      </c>
      <c r="E30" s="297" t="str">
        <f>IF(SUM('DFP-CASH'!$C42:F42)&gt;SUM('DFP-Com'!$C40:F40),"error","ok")</f>
        <v>ok</v>
      </c>
      <c r="F30" s="297" t="str">
        <f>IF(SUM('DFP-CASH'!$C42:G42)&gt;SUM('DFP-Com'!$C40:G40),"error","ok")</f>
        <v>ok</v>
      </c>
      <c r="G30" s="297" t="str">
        <f>IF(SUM('DFP-CASH'!$C42:G42)&gt;SUM('DFP-Com'!$C40:G40),"error","ok")</f>
        <v>ok</v>
      </c>
      <c r="H30" s="297" t="str">
        <f>IF(SUM('DFP-CASH'!$C42:G42)&gt;SUM('DFP-Com'!$C40:G40),"error","ok")</f>
        <v>ok</v>
      </c>
      <c r="I30" s="297" t="str">
        <f>IF(SUM('DFP-CASH'!$C42:G42)&gt;SUM('DFP-Com'!$C40:G40),"error","ok")</f>
        <v>ok</v>
      </c>
      <c r="J30" s="297" t="str">
        <f>IF(SUM('DFP-CASH'!$C42:G42)&gt;SUM('DFP-Com'!$C40:G40),"error","ok")</f>
        <v>ok</v>
      </c>
      <c r="K30" s="297" t="str">
        <f>IF(SUM('DFP-CASH'!$C42:G42)&gt;SUM('DFP-Com'!$C40:G40),"error","ok")</f>
        <v>ok</v>
      </c>
      <c r="L30" s="297" t="str">
        <f>IF(SUM('DFP-CASH'!$C42:G42)&gt;SUM('DFP-Com'!$C40:G40),"error","ok")</f>
        <v>ok</v>
      </c>
      <c r="M30" s="297" t="str">
        <f>IF(SUM('DFP-CASH'!$C42:G42)&gt;SUM('DFP-Com'!$C40:G40),"error","ok")</f>
        <v>ok</v>
      </c>
      <c r="N30" s="297" t="str">
        <f>IF(SUM('DFP-CASH'!$C42:G42)&gt;SUM('DFP-Com'!$C40:G40),"error","ok")</f>
        <v>ok</v>
      </c>
      <c r="O30" s="297" t="str">
        <f>IF(SUM('DFP-CASH'!$C42:H42)&gt;SUM('DFP-Com'!$C40:H40),"error","ok")</f>
        <v>ok</v>
      </c>
      <c r="P30" s="297" t="str">
        <f>IF(SUM('DFP-CASH'!$C42:I42)&gt;SUM('DFP-Com'!$C40:I40),"error","ok")</f>
        <v>ok</v>
      </c>
      <c r="Q30" s="297" t="str">
        <f>IF(SUM('DFP-CASH'!$C42:J42)&gt;SUM('DFP-Com'!$C40:J40),"error","ok")</f>
        <v>ok</v>
      </c>
      <c r="R30" s="297" t="str">
        <f>IF(SUM('DFP-CASH'!$C42:K42)&gt;SUM('DFP-Com'!$C40:K40),"error","ok")</f>
        <v>ok</v>
      </c>
      <c r="S30" s="297" t="str">
        <f>IF(SUM('DFP-CASH'!$C42:L42)&gt;SUM('DFP-Com'!$C40:L40),"error","ok")</f>
        <v>ok</v>
      </c>
    </row>
    <row r="31" spans="1:19" ht="15">
      <c r="A31" s="211" t="s">
        <v>125</v>
      </c>
      <c r="B31" s="252" t="str">
        <f>IF('DFP-Com'!R41-'DFP-CASH'!R43=0,"ok","error")</f>
        <v>ok</v>
      </c>
      <c r="C31" s="297" t="str">
        <f>IF(SUM('DFP-CASH'!$C43:C43)&gt;SUM('DFP-Com'!$C41:D41),"error","ok")</f>
        <v>ok</v>
      </c>
      <c r="D31" s="297" t="str">
        <f>IF(SUM('DFP-CASH'!$C43:E43)&gt;SUM('DFP-Com'!$C41:E41),"error","ok")</f>
        <v>ok</v>
      </c>
      <c r="E31" s="297" t="str">
        <f>IF(SUM('DFP-CASH'!$C43:F43)&gt;SUM('DFP-Com'!$C41:F41),"error","ok")</f>
        <v>ok</v>
      </c>
      <c r="F31" s="297" t="str">
        <f>IF(SUM('DFP-CASH'!$C43:G43)&gt;SUM('DFP-Com'!$C41:G41),"error","ok")</f>
        <v>ok</v>
      </c>
      <c r="G31" s="297" t="str">
        <f>IF(SUM('DFP-CASH'!$C43:G43)&gt;SUM('DFP-Com'!$C41:G41),"error","ok")</f>
        <v>ok</v>
      </c>
      <c r="H31" s="297" t="str">
        <f>IF(SUM('DFP-CASH'!$C43:G43)&gt;SUM('DFP-Com'!$C41:G41),"error","ok")</f>
        <v>ok</v>
      </c>
      <c r="I31" s="297" t="str">
        <f>IF(SUM('DFP-CASH'!$C43:G43)&gt;SUM('DFP-Com'!$C41:G41),"error","ok")</f>
        <v>ok</v>
      </c>
      <c r="J31" s="297" t="str">
        <f>IF(SUM('DFP-CASH'!$C43:G43)&gt;SUM('DFP-Com'!$C41:G41),"error","ok")</f>
        <v>ok</v>
      </c>
      <c r="K31" s="297" t="str">
        <f>IF(SUM('DFP-CASH'!$C43:G43)&gt;SUM('DFP-Com'!$C41:G41),"error","ok")</f>
        <v>ok</v>
      </c>
      <c r="L31" s="297" t="str">
        <f>IF(SUM('DFP-CASH'!$C43:G43)&gt;SUM('DFP-Com'!$C41:G41),"error","ok")</f>
        <v>ok</v>
      </c>
      <c r="M31" s="297" t="str">
        <f>IF(SUM('DFP-CASH'!$C43:G43)&gt;SUM('DFP-Com'!$C41:G41),"error","ok")</f>
        <v>ok</v>
      </c>
      <c r="N31" s="297" t="str">
        <f>IF(SUM('DFP-CASH'!$C43:G43)&gt;SUM('DFP-Com'!$C41:G41),"error","ok")</f>
        <v>ok</v>
      </c>
      <c r="O31" s="297" t="str">
        <f>IF(SUM('DFP-CASH'!$C43:H43)&gt;SUM('DFP-Com'!$C41:H41),"error","ok")</f>
        <v>ok</v>
      </c>
      <c r="P31" s="297" t="str">
        <f>IF(SUM('DFP-CASH'!$C43:I43)&gt;SUM('DFP-Com'!$C41:I41),"error","ok")</f>
        <v>error</v>
      </c>
      <c r="Q31" s="297" t="str">
        <f>IF(SUM('DFP-CASH'!$C43:J43)&gt;SUM('DFP-Com'!$C41:J41),"error","ok")</f>
        <v>ok</v>
      </c>
      <c r="R31" s="297" t="str">
        <f>IF(SUM('DFP-CASH'!$C43:K43)&gt;SUM('DFP-Com'!$C41:K41),"error","ok")</f>
        <v>ok</v>
      </c>
      <c r="S31" s="297" t="str">
        <f>IF(SUM('DFP-CASH'!$C43:L43)&gt;SUM('DFP-Com'!$C41:L41),"error","ok")</f>
        <v>ok</v>
      </c>
    </row>
    <row r="32" spans="1:19" ht="15">
      <c r="A32" s="58" t="s">
        <v>17</v>
      </c>
      <c r="B32" s="252" t="str">
        <f>IF('DFP-Com'!R42-'DFP-CASH'!R44=0,"ok","error")</f>
        <v>error</v>
      </c>
      <c r="C32" s="297" t="str">
        <f>IF(SUM('DFP-CASH'!$C44:C44)&gt;SUM('DFP-Com'!$C42:D42),"error","ok")</f>
        <v>ok</v>
      </c>
      <c r="D32" s="297" t="str">
        <f>IF(SUM('DFP-CASH'!$C44:E44)&gt;SUM('DFP-Com'!$C42:E42),"error","ok")</f>
        <v>ok</v>
      </c>
      <c r="E32" s="297" t="str">
        <f>IF(SUM('DFP-CASH'!$C44:F44)&gt;SUM('DFP-Com'!$C42:F42),"error","ok")</f>
        <v>ok</v>
      </c>
      <c r="F32" s="297" t="str">
        <f>IF(SUM('DFP-CASH'!$C44:G44)&gt;SUM('DFP-Com'!$C42:G42),"error","ok")</f>
        <v>ok</v>
      </c>
      <c r="G32" s="297" t="str">
        <f>IF(SUM('DFP-CASH'!$C44:G44)&gt;SUM('DFP-Com'!$C42:G42),"error","ok")</f>
        <v>ok</v>
      </c>
      <c r="H32" s="297" t="str">
        <f>IF(SUM('DFP-CASH'!$C44:G44)&gt;SUM('DFP-Com'!$C42:G42),"error","ok")</f>
        <v>ok</v>
      </c>
      <c r="I32" s="297" t="str">
        <f>IF(SUM('DFP-CASH'!$C44:G44)&gt;SUM('DFP-Com'!$C42:G42),"error","ok")</f>
        <v>ok</v>
      </c>
      <c r="J32" s="297" t="str">
        <f>IF(SUM('DFP-CASH'!$C44:G44)&gt;SUM('DFP-Com'!$C42:G42),"error","ok")</f>
        <v>ok</v>
      </c>
      <c r="K32" s="297" t="str">
        <f>IF(SUM('DFP-CASH'!$C44:G44)&gt;SUM('DFP-Com'!$C42:G42),"error","ok")</f>
        <v>ok</v>
      </c>
      <c r="L32" s="297" t="str">
        <f>IF(SUM('DFP-CASH'!$C44:G44)&gt;SUM('DFP-Com'!$C42:G42),"error","ok")</f>
        <v>ok</v>
      </c>
      <c r="M32" s="297" t="str">
        <f>IF(SUM('DFP-CASH'!$C44:G44)&gt;SUM('DFP-Com'!$C42:G42),"error","ok")</f>
        <v>ok</v>
      </c>
      <c r="N32" s="297" t="str">
        <f>IF(SUM('DFP-CASH'!$C44:G44)&gt;SUM('DFP-Com'!$C42:G42),"error","ok")</f>
        <v>ok</v>
      </c>
      <c r="O32" s="297" t="str">
        <f>IF(SUM('DFP-CASH'!$C44:H44)&gt;SUM('DFP-Com'!$C42:H42),"error","ok")</f>
        <v>error</v>
      </c>
      <c r="P32" s="297" t="str">
        <f>IF(SUM('DFP-CASH'!$C44:I44)&gt;SUM('DFP-Com'!$C42:I42),"error","ok")</f>
        <v>ok</v>
      </c>
      <c r="Q32" s="297" t="str">
        <f>IF(SUM('DFP-CASH'!$C44:J44)&gt;SUM('DFP-Com'!$C42:J42),"error","ok")</f>
        <v>ok</v>
      </c>
      <c r="R32" s="297" t="str">
        <f>IF(SUM('DFP-CASH'!$C44:K44)&gt;SUM('DFP-Com'!$C42:K42),"error","ok")</f>
        <v>ok</v>
      </c>
      <c r="S32" s="297" t="str">
        <f>IF(SUM('DFP-CASH'!$C44:L44)&gt;SUM('DFP-Com'!$C42:L42),"error","ok")</f>
        <v>ok</v>
      </c>
    </row>
    <row r="33" spans="1:19" ht="15">
      <c r="A33" s="53"/>
      <c r="B33" s="252" t="str">
        <f>IF('DFP-Com'!R43-'DFP-CASH'!R45=0,"ok","error")</f>
        <v>ok</v>
      </c>
      <c r="C33" s="297" t="str">
        <f>IF(SUM('DFP-CASH'!$C45:C45)&gt;SUM('DFP-Com'!$C43:D43),"error","ok")</f>
        <v>ok</v>
      </c>
      <c r="D33" s="297" t="str">
        <f>IF(SUM('DFP-CASH'!$C45:E45)&gt;SUM('DFP-Com'!$C43:E43),"error","ok")</f>
        <v>ok</v>
      </c>
      <c r="E33" s="297" t="str">
        <f>IF(SUM('DFP-CASH'!$C45:F45)&gt;SUM('DFP-Com'!$C43:F43),"error","ok")</f>
        <v>ok</v>
      </c>
      <c r="F33" s="297" t="str">
        <f>IF(SUM('DFP-CASH'!$C45:G45)&gt;SUM('DFP-Com'!$C43:G43),"error","ok")</f>
        <v>ok</v>
      </c>
      <c r="G33" s="297" t="str">
        <f>IF(SUM('DFP-CASH'!$C45:G45)&gt;SUM('DFP-Com'!$C43:G43),"error","ok")</f>
        <v>ok</v>
      </c>
      <c r="H33" s="297" t="str">
        <f>IF(SUM('DFP-CASH'!$C45:G45)&gt;SUM('DFP-Com'!$C43:G43),"error","ok")</f>
        <v>ok</v>
      </c>
      <c r="I33" s="297" t="str">
        <f>IF(SUM('DFP-CASH'!$C45:G45)&gt;SUM('DFP-Com'!$C43:G43),"error","ok")</f>
        <v>ok</v>
      </c>
      <c r="J33" s="297" t="str">
        <f>IF(SUM('DFP-CASH'!$C45:G45)&gt;SUM('DFP-Com'!$C43:G43),"error","ok")</f>
        <v>ok</v>
      </c>
      <c r="K33" s="297" t="str">
        <f>IF(SUM('DFP-CASH'!$C45:G45)&gt;SUM('DFP-Com'!$C43:G43),"error","ok")</f>
        <v>ok</v>
      </c>
      <c r="L33" s="297" t="str">
        <f>IF(SUM('DFP-CASH'!$C45:G45)&gt;SUM('DFP-Com'!$C43:G43),"error","ok")</f>
        <v>ok</v>
      </c>
      <c r="M33" s="297" t="str">
        <f>IF(SUM('DFP-CASH'!$C45:G45)&gt;SUM('DFP-Com'!$C43:G43),"error","ok")</f>
        <v>ok</v>
      </c>
      <c r="N33" s="297" t="str">
        <f>IF(SUM('DFP-CASH'!$C45:G45)&gt;SUM('DFP-Com'!$C43:G43),"error","ok")</f>
        <v>ok</v>
      </c>
      <c r="O33" s="297" t="str">
        <f>IF(SUM('DFP-CASH'!$C45:H45)&gt;SUM('DFP-Com'!$C43:H43),"error","ok")</f>
        <v>ok</v>
      </c>
      <c r="P33" s="297" t="str">
        <f>IF(SUM('DFP-CASH'!$C45:I45)&gt;SUM('DFP-Com'!$C43:I43),"error","ok")</f>
        <v>ok</v>
      </c>
      <c r="Q33" s="297" t="str">
        <f>IF(SUM('DFP-CASH'!$C45:J45)&gt;SUM('DFP-Com'!$C43:J43),"error","ok")</f>
        <v>ok</v>
      </c>
      <c r="R33" s="297" t="str">
        <f>IF(SUM('DFP-CASH'!$C45:K45)&gt;SUM('DFP-Com'!$C43:K43),"error","ok")</f>
        <v>ok</v>
      </c>
      <c r="S33" s="297" t="str">
        <f>IF(SUM('DFP-CASH'!$C45:L45)&gt;SUM('DFP-Com'!$C43:L43),"error","ok")</f>
        <v>ok</v>
      </c>
    </row>
    <row r="34" spans="1:19" ht="15">
      <c r="A34" s="44" t="s">
        <v>84</v>
      </c>
      <c r="B34" s="252" t="str">
        <f>IF('DFP-Com'!R44-'DFP-CASH'!R46=0,"ok","error")</f>
        <v>ok</v>
      </c>
      <c r="C34" s="297" t="str">
        <f>IF(SUM('DFP-CASH'!$C46:C46)&gt;SUM('DFP-Com'!$C44:D44),"error","ok")</f>
        <v>ok</v>
      </c>
      <c r="D34" s="297" t="str">
        <f>IF(SUM('DFP-CASH'!$C46:E46)&gt;SUM('DFP-Com'!$C44:E44),"error","ok")</f>
        <v>ok</v>
      </c>
      <c r="E34" s="297" t="str">
        <f>IF(SUM('DFP-CASH'!$C46:F46)&gt;SUM('DFP-Com'!$C44:F44),"error","ok")</f>
        <v>ok</v>
      </c>
      <c r="F34" s="297" t="str">
        <f>IF(SUM('DFP-CASH'!$C46:G46)&gt;SUM('DFP-Com'!$C44:G44),"error","ok")</f>
        <v>ok</v>
      </c>
      <c r="G34" s="297" t="str">
        <f>IF(SUM('DFP-CASH'!$C46:G46)&gt;SUM('DFP-Com'!$C44:G44),"error","ok")</f>
        <v>ok</v>
      </c>
      <c r="H34" s="297" t="str">
        <f>IF(SUM('DFP-CASH'!$C46:G46)&gt;SUM('DFP-Com'!$C44:G44),"error","ok")</f>
        <v>ok</v>
      </c>
      <c r="I34" s="297" t="str">
        <f>IF(SUM('DFP-CASH'!$C46:G46)&gt;SUM('DFP-Com'!$C44:G44),"error","ok")</f>
        <v>ok</v>
      </c>
      <c r="J34" s="297" t="str">
        <f>IF(SUM('DFP-CASH'!$C46:G46)&gt;SUM('DFP-Com'!$C44:G44),"error","ok")</f>
        <v>ok</v>
      </c>
      <c r="K34" s="297" t="str">
        <f>IF(SUM('DFP-CASH'!$C46:G46)&gt;SUM('DFP-Com'!$C44:G44),"error","ok")</f>
        <v>ok</v>
      </c>
      <c r="L34" s="297" t="str">
        <f>IF(SUM('DFP-CASH'!$C46:G46)&gt;SUM('DFP-Com'!$C44:G44),"error","ok")</f>
        <v>ok</v>
      </c>
      <c r="M34" s="297" t="str">
        <f>IF(SUM('DFP-CASH'!$C46:G46)&gt;SUM('DFP-Com'!$C44:G44),"error","ok")</f>
        <v>ok</v>
      </c>
      <c r="N34" s="297" t="str">
        <f>IF(SUM('DFP-CASH'!$C46:G46)&gt;SUM('DFP-Com'!$C44:G44),"error","ok")</f>
        <v>ok</v>
      </c>
      <c r="O34" s="297" t="str">
        <f>IF(SUM('DFP-CASH'!$C46:H46)&gt;SUM('DFP-Com'!$C44:H44),"error","ok")</f>
        <v>ok</v>
      </c>
      <c r="P34" s="297" t="str">
        <f>IF(SUM('DFP-CASH'!$C46:I46)&gt;SUM('DFP-Com'!$C44:I44),"error","ok")</f>
        <v>ok</v>
      </c>
      <c r="Q34" s="297" t="str">
        <f>IF(SUM('DFP-CASH'!$C46:J46)&gt;SUM('DFP-Com'!$C44:J44),"error","ok")</f>
        <v>ok</v>
      </c>
      <c r="R34" s="297" t="str">
        <f>IF(SUM('DFP-CASH'!$C46:K46)&gt;SUM('DFP-Com'!$C44:K44),"error","ok")</f>
        <v>ok</v>
      </c>
      <c r="S34" s="297" t="str">
        <f>IF(SUM('DFP-CASH'!$C46:L46)&gt;SUM('DFP-Com'!$C44:L44),"error","ok")</f>
        <v>ok</v>
      </c>
    </row>
    <row r="35" spans="1:19" ht="15">
      <c r="A35" s="65" t="s">
        <v>93</v>
      </c>
      <c r="B35" s="252" t="str">
        <f>IF('DFP-Com'!R45-'DFP-CASH'!R47=0,"ok","error")</f>
        <v>error</v>
      </c>
      <c r="C35" s="297" t="str">
        <f>IF(SUM('DFP-CASH'!$C47:C47)&gt;SUM('DFP-Com'!$C45:D45),"error","ok")</f>
        <v>ok</v>
      </c>
      <c r="D35" s="297" t="str">
        <f>IF(SUM('DFP-CASH'!$C47:E47)&gt;SUM('DFP-Com'!$C45:E45),"error","ok")</f>
        <v>ok</v>
      </c>
      <c r="E35" s="297" t="str">
        <f>IF(SUM('DFP-CASH'!$C47:F47)&gt;SUM('DFP-Com'!$C45:F45),"error","ok")</f>
        <v>ok</v>
      </c>
      <c r="F35" s="297" t="str">
        <f>IF(SUM('DFP-CASH'!$C47:G47)&gt;SUM('DFP-Com'!$C45:G45),"error","ok")</f>
        <v>ok</v>
      </c>
      <c r="G35" s="297" t="str">
        <f>IF(SUM('DFP-CASH'!$C47:G47)&gt;SUM('DFP-Com'!$C45:G45),"error","ok")</f>
        <v>ok</v>
      </c>
      <c r="H35" s="297" t="str">
        <f>IF(SUM('DFP-CASH'!$C47:G47)&gt;SUM('DFP-Com'!$C45:G45),"error","ok")</f>
        <v>ok</v>
      </c>
      <c r="I35" s="297" t="str">
        <f>IF(SUM('DFP-CASH'!$C47:G47)&gt;SUM('DFP-Com'!$C45:G45),"error","ok")</f>
        <v>ok</v>
      </c>
      <c r="J35" s="297" t="str">
        <f>IF(SUM('DFP-CASH'!$C47:G47)&gt;SUM('DFP-Com'!$C45:G45),"error","ok")</f>
        <v>ok</v>
      </c>
      <c r="K35" s="297" t="str">
        <f>IF(SUM('DFP-CASH'!$C47:G47)&gt;SUM('DFP-Com'!$C45:G45),"error","ok")</f>
        <v>ok</v>
      </c>
      <c r="L35" s="297" t="str">
        <f>IF(SUM('DFP-CASH'!$C47:G47)&gt;SUM('DFP-Com'!$C45:G45),"error","ok")</f>
        <v>ok</v>
      </c>
      <c r="M35" s="297" t="str">
        <f>IF(SUM('DFP-CASH'!$C47:G47)&gt;SUM('DFP-Com'!$C45:G45),"error","ok")</f>
        <v>ok</v>
      </c>
      <c r="N35" s="297" t="str">
        <f>IF(SUM('DFP-CASH'!$C47:G47)&gt;SUM('DFP-Com'!$C45:G45),"error","ok")</f>
        <v>ok</v>
      </c>
      <c r="O35" s="297" t="str">
        <f>IF(SUM('DFP-CASH'!$C47:H47)&gt;SUM('DFP-Com'!$C45:H45),"error","ok")</f>
        <v>ok</v>
      </c>
      <c r="P35" s="297" t="str">
        <f>IF(SUM('DFP-CASH'!$C47:I47)&gt;SUM('DFP-Com'!$C45:I45),"error","ok")</f>
        <v>ok</v>
      </c>
      <c r="Q35" s="297" t="str">
        <f>IF(SUM('DFP-CASH'!$C47:J47)&gt;SUM('DFP-Com'!$C45:J45),"error","ok")</f>
        <v>ok</v>
      </c>
      <c r="R35" s="297" t="str">
        <f>IF(SUM('DFP-CASH'!$C47:K47)&gt;SUM('DFP-Com'!$C45:K45),"error","ok")</f>
        <v>ok</v>
      </c>
      <c r="S35" s="297" t="str">
        <f>IF(SUM('DFP-CASH'!$C47:L47)&gt;SUM('DFP-Com'!$C45:L45),"error","ok")</f>
        <v>ok</v>
      </c>
    </row>
    <row r="36" spans="1:19" ht="15">
      <c r="A36" s="215" t="s">
        <v>135</v>
      </c>
      <c r="B36" s="252" t="str">
        <f>IF('DFP-Com'!R46-'DFP-CASH'!R48=0,"ok","error")</f>
        <v>ok</v>
      </c>
      <c r="C36" s="297" t="str">
        <f>IF(SUM('DFP-CASH'!$C48:C48)&gt;SUM('DFP-Com'!$C46:D46),"error","ok")</f>
        <v>ok</v>
      </c>
      <c r="D36" s="297" t="str">
        <f>IF(SUM('DFP-CASH'!$C48:E48)&gt;SUM('DFP-Com'!$C46:E46),"error","ok")</f>
        <v>ok</v>
      </c>
      <c r="E36" s="297" t="str">
        <f>IF(SUM('DFP-CASH'!$C48:F48)&gt;SUM('DFP-Com'!$C46:F46),"error","ok")</f>
        <v>ok</v>
      </c>
      <c r="F36" s="297" t="str">
        <f>IF(SUM('DFP-CASH'!$C48:G48)&gt;SUM('DFP-Com'!$C46:G46),"error","ok")</f>
        <v>ok</v>
      </c>
      <c r="G36" s="297" t="str">
        <f>IF(SUM('DFP-CASH'!$C48:G48)&gt;SUM('DFP-Com'!$C46:G46),"error","ok")</f>
        <v>ok</v>
      </c>
      <c r="H36" s="297" t="str">
        <f>IF(SUM('DFP-CASH'!$C48:G48)&gt;SUM('DFP-Com'!$C46:G46),"error","ok")</f>
        <v>ok</v>
      </c>
      <c r="I36" s="297" t="str">
        <f>IF(SUM('DFP-CASH'!$C48:G48)&gt;SUM('DFP-Com'!$C46:G46),"error","ok")</f>
        <v>ok</v>
      </c>
      <c r="J36" s="297" t="str">
        <f>IF(SUM('DFP-CASH'!$C48:G48)&gt;SUM('DFP-Com'!$C46:G46),"error","ok")</f>
        <v>ok</v>
      </c>
      <c r="K36" s="297" t="str">
        <f>IF(SUM('DFP-CASH'!$C48:G48)&gt;SUM('DFP-Com'!$C46:G46),"error","ok")</f>
        <v>ok</v>
      </c>
      <c r="L36" s="297" t="str">
        <f>IF(SUM('DFP-CASH'!$C48:G48)&gt;SUM('DFP-Com'!$C46:G46),"error","ok")</f>
        <v>ok</v>
      </c>
      <c r="M36" s="297" t="str">
        <f>IF(SUM('DFP-CASH'!$C48:G48)&gt;SUM('DFP-Com'!$C46:G46),"error","ok")</f>
        <v>ok</v>
      </c>
      <c r="N36" s="297" t="str">
        <f>IF(SUM('DFP-CASH'!$C48:G48)&gt;SUM('DFP-Com'!$C46:G46),"error","ok")</f>
        <v>ok</v>
      </c>
      <c r="O36" s="297" t="str">
        <f>IF(SUM('DFP-CASH'!$C48:H48)&gt;SUM('DFP-Com'!$C46:H46),"error","ok")</f>
        <v>ok</v>
      </c>
      <c r="P36" s="297" t="str">
        <f>IF(SUM('DFP-CASH'!$C48:I48)&gt;SUM('DFP-Com'!$C46:I46),"error","ok")</f>
        <v>ok</v>
      </c>
      <c r="Q36" s="297" t="str">
        <f>IF(SUM('DFP-CASH'!$C48:J48)&gt;SUM('DFP-Com'!$C46:J46),"error","ok")</f>
        <v>ok</v>
      </c>
      <c r="R36" s="297" t="str">
        <f>IF(SUM('DFP-CASH'!$C48:K48)&gt;SUM('DFP-Com'!$C46:K46),"error","ok")</f>
        <v>ok</v>
      </c>
      <c r="S36" s="297" t="str">
        <f>IF(SUM('DFP-CASH'!$C48:L48)&gt;SUM('DFP-Com'!$C46:L46),"error","ok")</f>
        <v>ok</v>
      </c>
    </row>
    <row r="37" spans="1:19" ht="15">
      <c r="A37" s="215" t="s">
        <v>136</v>
      </c>
      <c r="B37" s="252" t="str">
        <f>IF('DFP-Com'!R47-'DFP-CASH'!R49=0,"ok","error")</f>
        <v>ok</v>
      </c>
      <c r="C37" s="297" t="str">
        <f>IF(SUM('DFP-CASH'!$C49:C49)&gt;SUM('DFP-Com'!$C47:D47),"error","ok")</f>
        <v>ok</v>
      </c>
      <c r="D37" s="297" t="str">
        <f>IF(SUM('DFP-CASH'!$C49:E49)&gt;SUM('DFP-Com'!$C47:E47),"error","ok")</f>
        <v>ok</v>
      </c>
      <c r="E37" s="297" t="str">
        <f>IF(SUM('DFP-CASH'!$C49:F49)&gt;SUM('DFP-Com'!$C47:F47),"error","ok")</f>
        <v>ok</v>
      </c>
      <c r="F37" s="297" t="str">
        <f>IF(SUM('DFP-CASH'!$C49:G49)&gt;SUM('DFP-Com'!$C47:G47),"error","ok")</f>
        <v>ok</v>
      </c>
      <c r="G37" s="297" t="str">
        <f>IF(SUM('DFP-CASH'!$C49:G49)&gt;SUM('DFP-Com'!$C47:G47),"error","ok")</f>
        <v>ok</v>
      </c>
      <c r="H37" s="297" t="str">
        <f>IF(SUM('DFP-CASH'!$C49:G49)&gt;SUM('DFP-Com'!$C47:G47),"error","ok")</f>
        <v>ok</v>
      </c>
      <c r="I37" s="297" t="str">
        <f>IF(SUM('DFP-CASH'!$C49:G49)&gt;SUM('DFP-Com'!$C47:G47),"error","ok")</f>
        <v>ok</v>
      </c>
      <c r="J37" s="297" t="str">
        <f>IF(SUM('DFP-CASH'!$C49:G49)&gt;SUM('DFP-Com'!$C47:G47),"error","ok")</f>
        <v>ok</v>
      </c>
      <c r="K37" s="297" t="str">
        <f>IF(SUM('DFP-CASH'!$C49:G49)&gt;SUM('DFP-Com'!$C47:G47),"error","ok")</f>
        <v>ok</v>
      </c>
      <c r="L37" s="297" t="str">
        <f>IF(SUM('DFP-CASH'!$C49:G49)&gt;SUM('DFP-Com'!$C47:G47),"error","ok")</f>
        <v>ok</v>
      </c>
      <c r="M37" s="297" t="str">
        <f>IF(SUM('DFP-CASH'!$C49:G49)&gt;SUM('DFP-Com'!$C47:G47),"error","ok")</f>
        <v>ok</v>
      </c>
      <c r="N37" s="297" t="str">
        <f>IF(SUM('DFP-CASH'!$C49:G49)&gt;SUM('DFP-Com'!$C47:G47),"error","ok")</f>
        <v>ok</v>
      </c>
      <c r="O37" s="297" t="str">
        <f>IF(SUM('DFP-CASH'!$C49:H49)&gt;SUM('DFP-Com'!$C47:H47),"error","ok")</f>
        <v>ok</v>
      </c>
      <c r="P37" s="297" t="str">
        <f>IF(SUM('DFP-CASH'!$C49:I49)&gt;SUM('DFP-Com'!$C47:I47),"error","ok")</f>
        <v>ok</v>
      </c>
      <c r="Q37" s="297" t="str">
        <f>IF(SUM('DFP-CASH'!$C49:J49)&gt;SUM('DFP-Com'!$C47:J47),"error","ok")</f>
        <v>ok</v>
      </c>
      <c r="R37" s="297" t="str">
        <f>IF(SUM('DFP-CASH'!$C49:K49)&gt;SUM('DFP-Com'!$C47:K47),"error","ok")</f>
        <v>ok</v>
      </c>
      <c r="S37" s="297" t="str">
        <f>IF(SUM('DFP-CASH'!$C49:L49)&gt;SUM('DFP-Com'!$C47:L47),"error","ok")</f>
        <v>ok</v>
      </c>
    </row>
    <row r="38" spans="1:19" ht="15">
      <c r="A38" s="215" t="s">
        <v>137</v>
      </c>
      <c r="B38" s="252" t="str">
        <f>IF('DFP-Com'!R48-'DFP-CASH'!R50=0,"ok","error")</f>
        <v>error</v>
      </c>
      <c r="C38" s="297" t="str">
        <f>IF(SUM('DFP-CASH'!$C50:C50)&gt;SUM('DFP-Com'!$C48:D48),"error","ok")</f>
        <v>ok</v>
      </c>
      <c r="D38" s="297" t="str">
        <f>IF(SUM('DFP-CASH'!$C50:E50)&gt;SUM('DFP-Com'!$C48:E48),"error","ok")</f>
        <v>ok</v>
      </c>
      <c r="E38" s="297" t="str">
        <f>IF(SUM('DFP-CASH'!$C50:F50)&gt;SUM('DFP-Com'!$C48:F48),"error","ok")</f>
        <v>ok</v>
      </c>
      <c r="F38" s="297" t="str">
        <f>IF(SUM('DFP-CASH'!$C50:G50)&gt;SUM('DFP-Com'!$C48:G48),"error","ok")</f>
        <v>ok</v>
      </c>
      <c r="G38" s="297" t="str">
        <f>IF(SUM('DFP-CASH'!$C50:G50)&gt;SUM('DFP-Com'!$C48:G48),"error","ok")</f>
        <v>ok</v>
      </c>
      <c r="H38" s="297" t="str">
        <f>IF(SUM('DFP-CASH'!$C50:G50)&gt;SUM('DFP-Com'!$C48:G48),"error","ok")</f>
        <v>ok</v>
      </c>
      <c r="I38" s="297" t="str">
        <f>IF(SUM('DFP-CASH'!$C50:G50)&gt;SUM('DFP-Com'!$C48:G48),"error","ok")</f>
        <v>ok</v>
      </c>
      <c r="J38" s="297" t="str">
        <f>IF(SUM('DFP-CASH'!$C50:G50)&gt;SUM('DFP-Com'!$C48:G48),"error","ok")</f>
        <v>ok</v>
      </c>
      <c r="K38" s="297" t="str">
        <f>IF(SUM('DFP-CASH'!$C50:G50)&gt;SUM('DFP-Com'!$C48:G48),"error","ok")</f>
        <v>ok</v>
      </c>
      <c r="L38" s="297" t="str">
        <f>IF(SUM('DFP-CASH'!$C50:G50)&gt;SUM('DFP-Com'!$C48:G48),"error","ok")</f>
        <v>ok</v>
      </c>
      <c r="M38" s="297" t="str">
        <f>IF(SUM('DFP-CASH'!$C50:G50)&gt;SUM('DFP-Com'!$C48:G48),"error","ok")</f>
        <v>ok</v>
      </c>
      <c r="N38" s="297" t="str">
        <f>IF(SUM('DFP-CASH'!$C50:G50)&gt;SUM('DFP-Com'!$C48:G48),"error","ok")</f>
        <v>ok</v>
      </c>
      <c r="O38" s="297" t="str">
        <f>IF(SUM('DFP-CASH'!$C50:H50)&gt;SUM('DFP-Com'!$C48:H48),"error","ok")</f>
        <v>ok</v>
      </c>
      <c r="P38" s="297" t="str">
        <f>IF(SUM('DFP-CASH'!$C50:I50)&gt;SUM('DFP-Com'!$C48:I48),"error","ok")</f>
        <v>ok</v>
      </c>
      <c r="Q38" s="297" t="str">
        <f>IF(SUM('DFP-CASH'!$C50:J50)&gt;SUM('DFP-Com'!$C48:J48),"error","ok")</f>
        <v>ok</v>
      </c>
      <c r="R38" s="297" t="str">
        <f>IF(SUM('DFP-CASH'!$C50:K50)&gt;SUM('DFP-Com'!$C48:K48),"error","ok")</f>
        <v>ok</v>
      </c>
      <c r="S38" s="297" t="str">
        <f>IF(SUM('DFP-CASH'!$C50:L50)&gt;SUM('DFP-Com'!$C48:L48),"error","ok")</f>
        <v>ok</v>
      </c>
    </row>
    <row r="39" spans="1:19" ht="15">
      <c r="A39" s="215" t="s">
        <v>138</v>
      </c>
      <c r="B39" s="252" t="str">
        <f>IF('DFP-Com'!R49-'DFP-CASH'!R51=0,"ok","error")</f>
        <v>ok</v>
      </c>
      <c r="C39" s="297" t="str">
        <f>IF(SUM('DFP-CASH'!$C51:C51)&gt;SUM('DFP-Com'!$C49:D49),"error","ok")</f>
        <v>ok</v>
      </c>
      <c r="D39" s="297" t="str">
        <f>IF(SUM('DFP-CASH'!$C51:E51)&gt;SUM('DFP-Com'!$C49:E49),"error","ok")</f>
        <v>ok</v>
      </c>
      <c r="E39" s="297" t="str">
        <f>IF(SUM('DFP-CASH'!$C51:F51)&gt;SUM('DFP-Com'!$C49:F49),"error","ok")</f>
        <v>ok</v>
      </c>
      <c r="F39" s="297" t="str">
        <f>IF(SUM('DFP-CASH'!$C51:G51)&gt;SUM('DFP-Com'!$C49:G49),"error","ok")</f>
        <v>ok</v>
      </c>
      <c r="G39" s="297" t="str">
        <f>IF(SUM('DFP-CASH'!$C51:G51)&gt;SUM('DFP-Com'!$C49:G49),"error","ok")</f>
        <v>ok</v>
      </c>
      <c r="H39" s="297" t="str">
        <f>IF(SUM('DFP-CASH'!$C51:G51)&gt;SUM('DFP-Com'!$C49:G49),"error","ok")</f>
        <v>ok</v>
      </c>
      <c r="I39" s="297" t="str">
        <f>IF(SUM('DFP-CASH'!$C51:G51)&gt;SUM('DFP-Com'!$C49:G49),"error","ok")</f>
        <v>ok</v>
      </c>
      <c r="J39" s="297" t="str">
        <f>IF(SUM('DFP-CASH'!$C51:G51)&gt;SUM('DFP-Com'!$C49:G49),"error","ok")</f>
        <v>ok</v>
      </c>
      <c r="K39" s="297" t="str">
        <f>IF(SUM('DFP-CASH'!$C51:G51)&gt;SUM('DFP-Com'!$C49:G49),"error","ok")</f>
        <v>ok</v>
      </c>
      <c r="L39" s="297" t="str">
        <f>IF(SUM('DFP-CASH'!$C51:G51)&gt;SUM('DFP-Com'!$C49:G49),"error","ok")</f>
        <v>ok</v>
      </c>
      <c r="M39" s="297" t="str">
        <f>IF(SUM('DFP-CASH'!$C51:G51)&gt;SUM('DFP-Com'!$C49:G49),"error","ok")</f>
        <v>ok</v>
      </c>
      <c r="N39" s="297" t="str">
        <f>IF(SUM('DFP-CASH'!$C51:G51)&gt;SUM('DFP-Com'!$C49:G49),"error","ok")</f>
        <v>ok</v>
      </c>
      <c r="O39" s="297" t="str">
        <f>IF(SUM('DFP-CASH'!$C51:H51)&gt;SUM('DFP-Com'!$C49:H49),"error","ok")</f>
        <v>error</v>
      </c>
      <c r="P39" s="297" t="str">
        <f>IF(SUM('DFP-CASH'!$C51:I51)&gt;SUM('DFP-Com'!$C49:I49),"error","ok")</f>
        <v>error</v>
      </c>
      <c r="Q39" s="297" t="str">
        <f>IF(SUM('DFP-CASH'!$C51:J51)&gt;SUM('DFP-Com'!$C49:J49),"error","ok")</f>
        <v>error</v>
      </c>
      <c r="R39" s="297" t="str">
        <f>IF(SUM('DFP-CASH'!$C51:K51)&gt;SUM('DFP-Com'!$C49:K49),"error","ok")</f>
        <v>error</v>
      </c>
      <c r="S39" s="297" t="str">
        <f>IF(SUM('DFP-CASH'!$C51:L51)&gt;SUM('DFP-Com'!$C49:L49),"error","ok")</f>
        <v>error</v>
      </c>
    </row>
    <row r="40" spans="1:19" ht="15">
      <c r="A40" s="66" t="s">
        <v>92</v>
      </c>
      <c r="B40" s="252" t="str">
        <f>IF('DFP-Com'!R50-'DFP-CASH'!R52=0,"ok","error")</f>
        <v>error</v>
      </c>
      <c r="C40" s="297" t="str">
        <f>IF(SUM('DFP-CASH'!$C52:C52)&gt;SUM('DFP-Com'!$C50:D50),"error","ok")</f>
        <v>ok</v>
      </c>
      <c r="D40" s="297" t="str">
        <f>IF(SUM('DFP-CASH'!$C52:E52)&gt;SUM('DFP-Com'!$C50:E50),"error","ok")</f>
        <v>ok</v>
      </c>
      <c r="E40" s="297" t="str">
        <f>IF(SUM('DFP-CASH'!$C52:F52)&gt;SUM('DFP-Com'!$C50:F50),"error","ok")</f>
        <v>ok</v>
      </c>
      <c r="F40" s="297" t="str">
        <f>IF(SUM('DFP-CASH'!$C52:G52)&gt;SUM('DFP-Com'!$C50:G50),"error","ok")</f>
        <v>ok</v>
      </c>
      <c r="G40" s="297" t="str">
        <f>IF(SUM('DFP-CASH'!$C52:G52)&gt;SUM('DFP-Com'!$C50:G50),"error","ok")</f>
        <v>ok</v>
      </c>
      <c r="H40" s="297" t="str">
        <f>IF(SUM('DFP-CASH'!$C52:G52)&gt;SUM('DFP-Com'!$C50:G50),"error","ok")</f>
        <v>ok</v>
      </c>
      <c r="I40" s="297" t="str">
        <f>IF(SUM('DFP-CASH'!$C52:G52)&gt;SUM('DFP-Com'!$C50:G50),"error","ok")</f>
        <v>ok</v>
      </c>
      <c r="J40" s="297" t="str">
        <f>IF(SUM('DFP-CASH'!$C52:G52)&gt;SUM('DFP-Com'!$C50:G50),"error","ok")</f>
        <v>ok</v>
      </c>
      <c r="K40" s="297" t="str">
        <f>IF(SUM('DFP-CASH'!$C52:G52)&gt;SUM('DFP-Com'!$C50:G50),"error","ok")</f>
        <v>ok</v>
      </c>
      <c r="L40" s="297" t="str">
        <f>IF(SUM('DFP-CASH'!$C52:G52)&gt;SUM('DFP-Com'!$C50:G50),"error","ok")</f>
        <v>ok</v>
      </c>
      <c r="M40" s="297" t="str">
        <f>IF(SUM('DFP-CASH'!$C52:G52)&gt;SUM('DFP-Com'!$C50:G50),"error","ok")</f>
        <v>ok</v>
      </c>
      <c r="N40" s="297" t="str">
        <f>IF(SUM('DFP-CASH'!$C52:G52)&gt;SUM('DFP-Com'!$C50:G50),"error","ok")</f>
        <v>ok</v>
      </c>
      <c r="O40" s="297" t="str">
        <f>IF(SUM('DFP-CASH'!$C52:H52)&gt;SUM('DFP-Com'!$C50:H50),"error","ok")</f>
        <v>ok</v>
      </c>
      <c r="P40" s="297" t="str">
        <f>IF(SUM('DFP-CASH'!$C52:I52)&gt;SUM('DFP-Com'!$C50:I50),"error","ok")</f>
        <v>ok</v>
      </c>
      <c r="Q40" s="297" t="str">
        <f>IF(SUM('DFP-CASH'!$C52:J52)&gt;SUM('DFP-Com'!$C50:J50),"error","ok")</f>
        <v>ok</v>
      </c>
      <c r="R40" s="297" t="str">
        <f>IF(SUM('DFP-CASH'!$C52:K52)&gt;SUM('DFP-Com'!$C50:K50),"error","ok")</f>
        <v>ok</v>
      </c>
      <c r="S40" s="297" t="str">
        <f>IF(SUM('DFP-CASH'!$C52:L52)&gt;SUM('DFP-Com'!$C50:L50),"error","ok")</f>
        <v>ok</v>
      </c>
    </row>
    <row r="41" spans="1:19" ht="15">
      <c r="A41" s="53"/>
      <c r="B41" s="252" t="str">
        <f>IF('DFP-Com'!R51-'DFP-CASH'!R53=0,"ok","error")</f>
        <v>ok</v>
      </c>
      <c r="C41" s="297" t="str">
        <f>IF(SUM('DFP-CASH'!$C53:C53)&gt;SUM('DFP-Com'!$C51:D51),"error","ok")</f>
        <v>ok</v>
      </c>
      <c r="D41" s="297" t="str">
        <f>IF(SUM('DFP-CASH'!$C53:E53)&gt;SUM('DFP-Com'!$C51:E51),"error","ok")</f>
        <v>ok</v>
      </c>
      <c r="E41" s="297" t="str">
        <f>IF(SUM('DFP-CASH'!$C53:F53)&gt;SUM('DFP-Com'!$C51:F51),"error","ok")</f>
        <v>ok</v>
      </c>
      <c r="F41" s="297" t="str">
        <f>IF(SUM('DFP-CASH'!$C53:G53)&gt;SUM('DFP-Com'!$C51:G51),"error","ok")</f>
        <v>ok</v>
      </c>
      <c r="G41" s="297" t="str">
        <f>IF(SUM('DFP-CASH'!$C53:G53)&gt;SUM('DFP-Com'!$C51:G51),"error","ok")</f>
        <v>ok</v>
      </c>
      <c r="H41" s="297" t="str">
        <f>IF(SUM('DFP-CASH'!$C53:G53)&gt;SUM('DFP-Com'!$C51:G51),"error","ok")</f>
        <v>ok</v>
      </c>
      <c r="I41" s="297" t="str">
        <f>IF(SUM('DFP-CASH'!$C53:G53)&gt;SUM('DFP-Com'!$C51:G51),"error","ok")</f>
        <v>ok</v>
      </c>
      <c r="J41" s="297" t="str">
        <f>IF(SUM('DFP-CASH'!$C53:G53)&gt;SUM('DFP-Com'!$C51:G51),"error","ok")</f>
        <v>ok</v>
      </c>
      <c r="K41" s="297" t="str">
        <f>IF(SUM('DFP-CASH'!$C53:G53)&gt;SUM('DFP-Com'!$C51:G51),"error","ok")</f>
        <v>ok</v>
      </c>
      <c r="L41" s="297" t="str">
        <f>IF(SUM('DFP-CASH'!$C53:G53)&gt;SUM('DFP-Com'!$C51:G51),"error","ok")</f>
        <v>ok</v>
      </c>
      <c r="M41" s="297" t="str">
        <f>IF(SUM('DFP-CASH'!$C53:G53)&gt;SUM('DFP-Com'!$C51:G51),"error","ok")</f>
        <v>ok</v>
      </c>
      <c r="N41" s="297" t="str">
        <f>IF(SUM('DFP-CASH'!$C53:G53)&gt;SUM('DFP-Com'!$C51:G51),"error","ok")</f>
        <v>ok</v>
      </c>
      <c r="O41" s="297" t="str">
        <f>IF(SUM('DFP-CASH'!$C53:H53)&gt;SUM('DFP-Com'!$C51:H51),"error","ok")</f>
        <v>ok</v>
      </c>
      <c r="P41" s="297" t="str">
        <f>IF(SUM('DFP-CASH'!$C53:I53)&gt;SUM('DFP-Com'!$C51:I51),"error","ok")</f>
        <v>ok</v>
      </c>
      <c r="Q41" s="297" t="str">
        <f>IF(SUM('DFP-CASH'!$C53:J53)&gt;SUM('DFP-Com'!$C51:J51),"error","ok")</f>
        <v>ok</v>
      </c>
      <c r="R41" s="297" t="str">
        <f>IF(SUM('DFP-CASH'!$C53:K53)&gt;SUM('DFP-Com'!$C51:K51),"error","ok")</f>
        <v>ok</v>
      </c>
      <c r="S41" s="297" t="str">
        <f>IF(SUM('DFP-CASH'!$C53:L53)&gt;SUM('DFP-Com'!$C51:L51),"error","ok")</f>
        <v>ok</v>
      </c>
    </row>
    <row r="42" ht="16.5">
      <c r="A42" s="228" t="s">
        <v>131</v>
      </c>
    </row>
  </sheetData>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79"/>
  <sheetViews>
    <sheetView showGridLines="0" zoomScale="115" zoomScaleNormal="115" workbookViewId="0" topLeftCell="A1">
      <pane ySplit="3" topLeftCell="A4" activePane="bottomLeft" state="frozen"/>
      <selection pane="bottomLeft" activeCell="C31" sqref="C31"/>
    </sheetView>
  </sheetViews>
  <sheetFormatPr defaultColWidth="8.8515625" defaultRowHeight="15"/>
  <cols>
    <col min="1" max="1" width="8.8515625" style="297" customWidth="1"/>
    <col min="2" max="2" width="30.57421875" style="297" customWidth="1"/>
    <col min="3" max="3" width="51.421875" style="297" customWidth="1"/>
    <col min="4" max="4" width="14.00390625" style="297" customWidth="1"/>
    <col min="5" max="5" width="13.140625" style="297" customWidth="1"/>
    <col min="6" max="6" width="12.421875" style="297" customWidth="1"/>
    <col min="7" max="7" width="10.421875" style="297" customWidth="1"/>
    <col min="8" max="8" width="10.421875" style="314" customWidth="1"/>
    <col min="9" max="21" width="10.421875" style="297" customWidth="1"/>
    <col min="22" max="23" width="14.00390625" style="297" customWidth="1"/>
    <col min="24" max="24" width="11.00390625" style="297" customWidth="1"/>
    <col min="25" max="34" width="10.421875" style="297" customWidth="1"/>
    <col min="35" max="35" width="12.421875" style="297" customWidth="1"/>
    <col min="36" max="37" width="10.421875" style="297" customWidth="1"/>
    <col min="38" max="38" width="12.57421875" style="297" customWidth="1"/>
    <col min="39" max="39" width="8.8515625" style="297" customWidth="1"/>
    <col min="40" max="41" width="11.421875" style="297" customWidth="1"/>
    <col min="42" max="42" width="12.140625" style="297" customWidth="1"/>
    <col min="43" max="44" width="11.421875" style="297" customWidth="1"/>
    <col min="45" max="45" width="12.421875" style="297" customWidth="1"/>
    <col min="46" max="54" width="11.421875" style="297" customWidth="1"/>
    <col min="55" max="55" width="8.8515625" style="297" customWidth="1"/>
    <col min="56" max="56" width="11.57421875" style="297" customWidth="1"/>
    <col min="57" max="16384" width="8.8515625" style="297" customWidth="1"/>
  </cols>
  <sheetData>
    <row r="1" spans="4:54" ht="15">
      <c r="D1" s="234">
        <f>SUM(D2:D55)</f>
        <v>23584570</v>
      </c>
      <c r="F1" s="297" t="s">
        <v>163</v>
      </c>
      <c r="U1" s="297" t="s">
        <v>177</v>
      </c>
      <c r="X1" s="239" t="s">
        <v>205</v>
      </c>
      <c r="Y1" s="239"/>
      <c r="Z1" s="239"/>
      <c r="AA1" s="239"/>
      <c r="AB1" s="239"/>
      <c r="AC1" s="239"/>
      <c r="AD1" s="239"/>
      <c r="AE1" s="239"/>
      <c r="AF1" s="239"/>
      <c r="AG1" s="239"/>
      <c r="AH1" s="239"/>
      <c r="AI1" s="239"/>
      <c r="AJ1" s="239"/>
      <c r="AK1" s="239"/>
      <c r="AL1" s="239"/>
      <c r="AM1" s="240"/>
      <c r="AN1" s="239" t="s">
        <v>206</v>
      </c>
      <c r="AO1" s="239"/>
      <c r="AP1" s="239"/>
      <c r="AQ1" s="239"/>
      <c r="AR1" s="239"/>
      <c r="AS1" s="239"/>
      <c r="AT1" s="239"/>
      <c r="AU1" s="239"/>
      <c r="AV1" s="239"/>
      <c r="AW1" s="239"/>
      <c r="AX1" s="239"/>
      <c r="AY1" s="239"/>
      <c r="AZ1" s="239"/>
      <c r="BA1" s="239"/>
      <c r="BB1" s="239"/>
    </row>
    <row r="2" spans="1:56" ht="15">
      <c r="A2" s="297" t="s">
        <v>139</v>
      </c>
      <c r="C2" s="297" t="s">
        <v>159</v>
      </c>
      <c r="D2" s="297" t="s">
        <v>161</v>
      </c>
      <c r="F2" s="232">
        <v>42552</v>
      </c>
      <c r="G2" s="232">
        <v>42644</v>
      </c>
      <c r="H2" s="315">
        <v>42736</v>
      </c>
      <c r="I2" s="232">
        <v>42826</v>
      </c>
      <c r="J2" s="232">
        <v>42917</v>
      </c>
      <c r="K2" s="232">
        <v>43009</v>
      </c>
      <c r="L2" s="232">
        <v>43101</v>
      </c>
      <c r="M2" s="232">
        <v>43191</v>
      </c>
      <c r="N2" s="232">
        <v>43282</v>
      </c>
      <c r="O2" s="232">
        <v>43374</v>
      </c>
      <c r="P2" s="232">
        <v>43466</v>
      </c>
      <c r="Q2" s="232">
        <v>43556</v>
      </c>
      <c r="R2" s="232">
        <v>43647</v>
      </c>
      <c r="S2" s="232">
        <v>43739</v>
      </c>
      <c r="T2" s="232">
        <v>43831</v>
      </c>
      <c r="X2" s="241">
        <v>42552</v>
      </c>
      <c r="Y2" s="241">
        <v>42644</v>
      </c>
      <c r="Z2" s="241">
        <v>42736</v>
      </c>
      <c r="AA2" s="241">
        <v>42826</v>
      </c>
      <c r="AB2" s="241">
        <v>42917</v>
      </c>
      <c r="AC2" s="241">
        <v>43009</v>
      </c>
      <c r="AD2" s="241">
        <v>43101</v>
      </c>
      <c r="AE2" s="241">
        <v>43191</v>
      </c>
      <c r="AF2" s="241">
        <v>43282</v>
      </c>
      <c r="AG2" s="241">
        <v>43374</v>
      </c>
      <c r="AH2" s="241">
        <v>43466</v>
      </c>
      <c r="AI2" s="241">
        <v>43556</v>
      </c>
      <c r="AJ2" s="241">
        <v>43647</v>
      </c>
      <c r="AK2" s="241">
        <v>43739</v>
      </c>
      <c r="AL2" s="241">
        <v>43831</v>
      </c>
      <c r="AM2" s="240"/>
      <c r="AN2" s="241">
        <v>42552</v>
      </c>
      <c r="AO2" s="241">
        <v>42644</v>
      </c>
      <c r="AP2" s="241">
        <v>42736</v>
      </c>
      <c r="AQ2" s="241">
        <v>42826</v>
      </c>
      <c r="AR2" s="241">
        <v>42917</v>
      </c>
      <c r="AS2" s="241">
        <v>43009</v>
      </c>
      <c r="AT2" s="241">
        <v>43101</v>
      </c>
      <c r="AU2" s="241">
        <v>43191</v>
      </c>
      <c r="AV2" s="241">
        <v>43282</v>
      </c>
      <c r="AW2" s="241">
        <v>43374</v>
      </c>
      <c r="AX2" s="241">
        <v>43466</v>
      </c>
      <c r="AY2" s="241">
        <v>43556</v>
      </c>
      <c r="AZ2" s="241">
        <v>43647</v>
      </c>
      <c r="BA2" s="241">
        <v>43739</v>
      </c>
      <c r="BB2" s="241">
        <v>43831</v>
      </c>
      <c r="BD2" s="297" t="s">
        <v>213</v>
      </c>
    </row>
    <row r="3" spans="1:54" ht="15">
      <c r="A3" s="297" t="s">
        <v>139</v>
      </c>
      <c r="C3" s="297" t="s">
        <v>159</v>
      </c>
      <c r="E3" s="297" t="s">
        <v>162</v>
      </c>
      <c r="F3" s="297" t="s">
        <v>160</v>
      </c>
      <c r="G3" s="297" t="s">
        <v>164</v>
      </c>
      <c r="H3" s="314" t="s">
        <v>165</v>
      </c>
      <c r="I3" s="297" t="s">
        <v>166</v>
      </c>
      <c r="J3" s="297" t="s">
        <v>167</v>
      </c>
      <c r="K3" s="297" t="s">
        <v>168</v>
      </c>
      <c r="L3" s="297" t="s">
        <v>169</v>
      </c>
      <c r="M3" s="297" t="s">
        <v>170</v>
      </c>
      <c r="N3" s="297" t="s">
        <v>171</v>
      </c>
      <c r="O3" s="297" t="s">
        <v>172</v>
      </c>
      <c r="P3" s="297" t="s">
        <v>173</v>
      </c>
      <c r="Q3" s="297" t="s">
        <v>174</v>
      </c>
      <c r="R3" s="297" t="s">
        <v>175</v>
      </c>
      <c r="S3" s="297" t="s">
        <v>176</v>
      </c>
      <c r="T3" s="297" t="s">
        <v>178</v>
      </c>
      <c r="X3" s="239" t="s">
        <v>160</v>
      </c>
      <c r="Y3" s="239" t="s">
        <v>164</v>
      </c>
      <c r="Z3" s="239" t="s">
        <v>165</v>
      </c>
      <c r="AA3" s="239" t="s">
        <v>166</v>
      </c>
      <c r="AB3" s="239" t="s">
        <v>167</v>
      </c>
      <c r="AC3" s="239" t="s">
        <v>168</v>
      </c>
      <c r="AD3" s="239" t="s">
        <v>169</v>
      </c>
      <c r="AE3" s="239" t="s">
        <v>170</v>
      </c>
      <c r="AF3" s="239" t="s">
        <v>171</v>
      </c>
      <c r="AG3" s="239" t="s">
        <v>172</v>
      </c>
      <c r="AH3" s="239" t="s">
        <v>173</v>
      </c>
      <c r="AI3" s="239" t="s">
        <v>174</v>
      </c>
      <c r="AJ3" s="239" t="s">
        <v>175</v>
      </c>
      <c r="AK3" s="239" t="s">
        <v>176</v>
      </c>
      <c r="AL3" s="239" t="s">
        <v>178</v>
      </c>
      <c r="AM3" s="240"/>
      <c r="AN3" s="239" t="s">
        <v>160</v>
      </c>
      <c r="AO3" s="239" t="s">
        <v>164</v>
      </c>
      <c r="AP3" s="239" t="s">
        <v>165</v>
      </c>
      <c r="AQ3" s="239" t="s">
        <v>166</v>
      </c>
      <c r="AR3" s="239" t="s">
        <v>167</v>
      </c>
      <c r="AS3" s="239" t="s">
        <v>168</v>
      </c>
      <c r="AT3" s="239" t="s">
        <v>169</v>
      </c>
      <c r="AU3" s="239" t="s">
        <v>170</v>
      </c>
      <c r="AV3" s="239" t="s">
        <v>171</v>
      </c>
      <c r="AW3" s="239" t="s">
        <v>172</v>
      </c>
      <c r="AX3" s="239" t="s">
        <v>173</v>
      </c>
      <c r="AY3" s="239" t="s">
        <v>174</v>
      </c>
      <c r="AZ3" s="239" t="s">
        <v>175</v>
      </c>
      <c r="BA3" s="239" t="s">
        <v>176</v>
      </c>
      <c r="BB3" s="239" t="s">
        <v>178</v>
      </c>
    </row>
    <row r="4" spans="1:56" ht="15">
      <c r="A4" s="297" t="s">
        <v>140</v>
      </c>
      <c r="B4" s="245" t="str">
        <f>VLOOKUP(A4,'DFP-Com'!$A$16:$B$50,2,1)</f>
        <v xml:space="preserve">     1.1.a  Education Project Implementation Contract</v>
      </c>
      <c r="C4" s="297" t="s">
        <v>252</v>
      </c>
      <c r="D4" s="326">
        <v>8500000</v>
      </c>
      <c r="E4" s="297" t="s">
        <v>179</v>
      </c>
      <c r="H4" s="316"/>
      <c r="I4" s="233">
        <v>0.03</v>
      </c>
      <c r="J4" s="233">
        <v>0.05</v>
      </c>
      <c r="K4" s="233">
        <v>0.05</v>
      </c>
      <c r="L4" s="233">
        <v>0.05</v>
      </c>
      <c r="M4" s="233">
        <v>0.1</v>
      </c>
      <c r="N4" s="233">
        <v>0.1</v>
      </c>
      <c r="O4" s="233">
        <v>0.1</v>
      </c>
      <c r="P4" s="233">
        <v>0.1</v>
      </c>
      <c r="Q4" s="233">
        <v>0.1</v>
      </c>
      <c r="R4" s="233">
        <v>0.1</v>
      </c>
      <c r="S4" s="233">
        <v>0.1</v>
      </c>
      <c r="T4" s="233">
        <v>0.12</v>
      </c>
      <c r="U4" s="300">
        <f aca="true" t="shared" si="0" ref="U4:U38">SUM(F4:T4)</f>
        <v>0.9999999999999999</v>
      </c>
      <c r="X4" s="302">
        <f aca="true" t="shared" si="1" ref="X4:AL20">F4*$D4</f>
        <v>0</v>
      </c>
      <c r="Y4" s="302">
        <f t="shared" si="1"/>
        <v>0</v>
      </c>
      <c r="Z4" s="302">
        <f t="shared" si="1"/>
        <v>0</v>
      </c>
      <c r="AA4" s="302">
        <f t="shared" si="1"/>
        <v>255000</v>
      </c>
      <c r="AB4" s="302">
        <f t="shared" si="1"/>
        <v>425000</v>
      </c>
      <c r="AC4" s="302">
        <f t="shared" si="1"/>
        <v>425000</v>
      </c>
      <c r="AD4" s="302">
        <f t="shared" si="1"/>
        <v>425000</v>
      </c>
      <c r="AE4" s="302">
        <f t="shared" si="1"/>
        <v>850000</v>
      </c>
      <c r="AF4" s="302">
        <f t="shared" si="1"/>
        <v>850000</v>
      </c>
      <c r="AG4" s="302">
        <f t="shared" si="1"/>
        <v>850000</v>
      </c>
      <c r="AH4" s="302">
        <f t="shared" si="1"/>
        <v>850000</v>
      </c>
      <c r="AI4" s="302">
        <f t="shared" si="1"/>
        <v>850000</v>
      </c>
      <c r="AJ4" s="302">
        <f t="shared" si="1"/>
        <v>850000</v>
      </c>
      <c r="AK4" s="302">
        <f t="shared" si="1"/>
        <v>850000</v>
      </c>
      <c r="AL4" s="302">
        <f t="shared" si="1"/>
        <v>1020000</v>
      </c>
      <c r="AM4" s="240"/>
      <c r="AN4" s="302">
        <f aca="true" t="shared" si="2" ref="AN4:BB19">IF(AN$3=$E4,$D4,0)</f>
        <v>0</v>
      </c>
      <c r="AO4" s="302">
        <f t="shared" si="2"/>
        <v>0</v>
      </c>
      <c r="AP4" s="302">
        <f t="shared" si="2"/>
        <v>8500000</v>
      </c>
      <c r="AQ4" s="302">
        <f t="shared" si="2"/>
        <v>0</v>
      </c>
      <c r="AR4" s="302">
        <f t="shared" si="2"/>
        <v>0</v>
      </c>
      <c r="AS4" s="302">
        <f t="shared" si="2"/>
        <v>0</v>
      </c>
      <c r="AT4" s="302">
        <f t="shared" si="2"/>
        <v>0</v>
      </c>
      <c r="AU4" s="302">
        <f t="shared" si="2"/>
        <v>0</v>
      </c>
      <c r="AV4" s="302">
        <f t="shared" si="2"/>
        <v>0</v>
      </c>
      <c r="AW4" s="302">
        <f t="shared" si="2"/>
        <v>0</v>
      </c>
      <c r="AX4" s="302">
        <f t="shared" si="2"/>
        <v>0</v>
      </c>
      <c r="AY4" s="302">
        <f t="shared" si="2"/>
        <v>0</v>
      </c>
      <c r="AZ4" s="302">
        <f t="shared" si="2"/>
        <v>0</v>
      </c>
      <c r="BA4" s="302">
        <f t="shared" si="2"/>
        <v>0</v>
      </c>
      <c r="BB4" s="302">
        <f t="shared" si="2"/>
        <v>0</v>
      </c>
      <c r="BD4" s="301">
        <f aca="true" t="shared" si="3" ref="BD4:BD27">SUM(X4:AL4)-SUM(AN4:BB4)</f>
        <v>0</v>
      </c>
    </row>
    <row r="5" spans="1:56" ht="15">
      <c r="A5" s="297" t="s">
        <v>140</v>
      </c>
      <c r="B5" s="245" t="str">
        <f>VLOOKUP(A5,'DFP-Com'!$A$16:$B$50,2,1)</f>
        <v xml:space="preserve">     1.1.a  Education Project Implementation Contract</v>
      </c>
      <c r="C5" s="297" t="s">
        <v>182</v>
      </c>
      <c r="D5" s="325">
        <v>200000</v>
      </c>
      <c r="E5" s="297" t="s">
        <v>193</v>
      </c>
      <c r="L5" s="300">
        <v>0.25</v>
      </c>
      <c r="M5" s="300">
        <v>0.25</v>
      </c>
      <c r="N5" s="300">
        <v>0.25</v>
      </c>
      <c r="O5" s="300">
        <v>0.25</v>
      </c>
      <c r="U5" s="300">
        <f t="shared" si="0"/>
        <v>1</v>
      </c>
      <c r="X5" s="302">
        <f t="shared" si="1"/>
        <v>0</v>
      </c>
      <c r="Y5" s="302">
        <f t="shared" si="1"/>
        <v>0</v>
      </c>
      <c r="Z5" s="302">
        <f t="shared" si="1"/>
        <v>0</v>
      </c>
      <c r="AA5" s="302">
        <f t="shared" si="1"/>
        <v>0</v>
      </c>
      <c r="AB5" s="302">
        <f t="shared" si="1"/>
        <v>0</v>
      </c>
      <c r="AC5" s="302">
        <f t="shared" si="1"/>
        <v>0</v>
      </c>
      <c r="AD5" s="302">
        <f t="shared" si="1"/>
        <v>50000</v>
      </c>
      <c r="AE5" s="302">
        <f t="shared" si="1"/>
        <v>50000</v>
      </c>
      <c r="AF5" s="302">
        <f t="shared" si="1"/>
        <v>50000</v>
      </c>
      <c r="AG5" s="302">
        <f t="shared" si="1"/>
        <v>50000</v>
      </c>
      <c r="AH5" s="302">
        <f t="shared" si="1"/>
        <v>0</v>
      </c>
      <c r="AI5" s="302">
        <f t="shared" si="1"/>
        <v>0</v>
      </c>
      <c r="AJ5" s="302">
        <f t="shared" si="1"/>
        <v>0</v>
      </c>
      <c r="AK5" s="302">
        <f t="shared" si="1"/>
        <v>0</v>
      </c>
      <c r="AL5" s="302">
        <f t="shared" si="1"/>
        <v>0</v>
      </c>
      <c r="AM5" s="240"/>
      <c r="AN5" s="302">
        <f t="shared" si="2"/>
        <v>0</v>
      </c>
      <c r="AO5" s="302">
        <f t="shared" si="2"/>
        <v>0</v>
      </c>
      <c r="AP5" s="302">
        <f t="shared" si="2"/>
        <v>0</v>
      </c>
      <c r="AQ5" s="302">
        <f t="shared" si="2"/>
        <v>0</v>
      </c>
      <c r="AR5" s="302">
        <f t="shared" si="2"/>
        <v>0</v>
      </c>
      <c r="AS5" s="302">
        <f t="shared" si="2"/>
        <v>0</v>
      </c>
      <c r="AT5" s="302">
        <f t="shared" si="2"/>
        <v>200000</v>
      </c>
      <c r="AU5" s="302">
        <f t="shared" si="2"/>
        <v>0</v>
      </c>
      <c r="AV5" s="302">
        <f t="shared" si="2"/>
        <v>0</v>
      </c>
      <c r="AW5" s="302">
        <f t="shared" si="2"/>
        <v>0</v>
      </c>
      <c r="AX5" s="302">
        <f t="shared" si="2"/>
        <v>0</v>
      </c>
      <c r="AY5" s="302">
        <f t="shared" si="2"/>
        <v>0</v>
      </c>
      <c r="AZ5" s="302">
        <f t="shared" si="2"/>
        <v>0</v>
      </c>
      <c r="BA5" s="302">
        <f t="shared" si="2"/>
        <v>0</v>
      </c>
      <c r="BB5" s="302">
        <f t="shared" si="2"/>
        <v>0</v>
      </c>
      <c r="BD5" s="301">
        <f t="shared" si="3"/>
        <v>0</v>
      </c>
    </row>
    <row r="6" spans="1:56" ht="15">
      <c r="A6" s="297" t="s">
        <v>141</v>
      </c>
      <c r="B6" s="245" t="str">
        <f>VLOOKUP(A6,'DFP-Com'!$A$16:$B$50,2,1)</f>
        <v xml:space="preserve">     1.1.b  Grants to Universities for Teacher Training (Diplomados)</v>
      </c>
      <c r="C6" s="297" t="s">
        <v>180</v>
      </c>
      <c r="D6" s="234">
        <v>3000000</v>
      </c>
      <c r="E6" s="297" t="s">
        <v>181</v>
      </c>
      <c r="H6" s="316"/>
      <c r="I6" s="233"/>
      <c r="J6" s="233"/>
      <c r="K6" s="233"/>
      <c r="L6" s="233">
        <v>0.125</v>
      </c>
      <c r="M6" s="233">
        <v>0.125</v>
      </c>
      <c r="N6" s="233">
        <v>0.125</v>
      </c>
      <c r="O6" s="233">
        <v>0.125</v>
      </c>
      <c r="P6" s="233">
        <v>0.125</v>
      </c>
      <c r="Q6" s="233">
        <v>0.125</v>
      </c>
      <c r="R6" s="233">
        <v>0.125</v>
      </c>
      <c r="S6" s="233">
        <v>0.125</v>
      </c>
      <c r="T6" s="300"/>
      <c r="U6" s="300">
        <f t="shared" si="0"/>
        <v>1</v>
      </c>
      <c r="X6" s="302">
        <f t="shared" si="1"/>
        <v>0</v>
      </c>
      <c r="Y6" s="302">
        <f t="shared" si="1"/>
        <v>0</v>
      </c>
      <c r="Z6" s="302">
        <f t="shared" si="1"/>
        <v>0</v>
      </c>
      <c r="AA6" s="302">
        <f t="shared" si="1"/>
        <v>0</v>
      </c>
      <c r="AB6" s="302">
        <f t="shared" si="1"/>
        <v>0</v>
      </c>
      <c r="AC6" s="302">
        <f t="shared" si="1"/>
        <v>0</v>
      </c>
      <c r="AD6" s="302">
        <f t="shared" si="1"/>
        <v>375000</v>
      </c>
      <c r="AE6" s="302">
        <f t="shared" si="1"/>
        <v>375000</v>
      </c>
      <c r="AF6" s="302">
        <f t="shared" si="1"/>
        <v>375000</v>
      </c>
      <c r="AG6" s="302">
        <f t="shared" si="1"/>
        <v>375000</v>
      </c>
      <c r="AH6" s="302">
        <f t="shared" si="1"/>
        <v>375000</v>
      </c>
      <c r="AI6" s="302">
        <f t="shared" si="1"/>
        <v>375000</v>
      </c>
      <c r="AJ6" s="302">
        <f t="shared" si="1"/>
        <v>375000</v>
      </c>
      <c r="AK6" s="302">
        <f t="shared" si="1"/>
        <v>375000</v>
      </c>
      <c r="AL6" s="302">
        <f t="shared" si="1"/>
        <v>0</v>
      </c>
      <c r="AM6" s="240"/>
      <c r="AN6" s="302">
        <f t="shared" si="2"/>
        <v>0</v>
      </c>
      <c r="AO6" s="302">
        <f t="shared" si="2"/>
        <v>0</v>
      </c>
      <c r="AP6" s="302">
        <f t="shared" si="2"/>
        <v>0</v>
      </c>
      <c r="AQ6" s="302">
        <f t="shared" si="2"/>
        <v>0</v>
      </c>
      <c r="AR6" s="302">
        <f t="shared" si="2"/>
        <v>0</v>
      </c>
      <c r="AS6" s="302">
        <f t="shared" si="2"/>
        <v>3000000</v>
      </c>
      <c r="AT6" s="302">
        <f t="shared" si="2"/>
        <v>0</v>
      </c>
      <c r="AU6" s="302">
        <f t="shared" si="2"/>
        <v>0</v>
      </c>
      <c r="AV6" s="302">
        <f t="shared" si="2"/>
        <v>0</v>
      </c>
      <c r="AW6" s="302">
        <f t="shared" si="2"/>
        <v>0</v>
      </c>
      <c r="AX6" s="302">
        <f t="shared" si="2"/>
        <v>0</v>
      </c>
      <c r="AY6" s="302">
        <f t="shared" si="2"/>
        <v>0</v>
      </c>
      <c r="AZ6" s="302">
        <f t="shared" si="2"/>
        <v>0</v>
      </c>
      <c r="BA6" s="302">
        <f t="shared" si="2"/>
        <v>0</v>
      </c>
      <c r="BB6" s="302">
        <f t="shared" si="2"/>
        <v>0</v>
      </c>
      <c r="BD6" s="301">
        <f t="shared" si="3"/>
        <v>0</v>
      </c>
    </row>
    <row r="7" spans="1:56" ht="15">
      <c r="A7" s="297" t="s">
        <v>143</v>
      </c>
      <c r="B7" s="245" t="str">
        <f>VLOOKUP(A7,'DFP-Com'!$A$16:$B$50,2,1)</f>
        <v xml:space="preserve">     1.2.a  TVET</v>
      </c>
      <c r="C7" s="247" t="s">
        <v>223</v>
      </c>
      <c r="D7" s="303">
        <v>4000000</v>
      </c>
      <c r="E7" s="297" t="s">
        <v>208</v>
      </c>
      <c r="J7" s="300">
        <v>0.05</v>
      </c>
      <c r="K7" s="300">
        <v>0.1</v>
      </c>
      <c r="L7" s="300">
        <v>0.1</v>
      </c>
      <c r="M7" s="300">
        <v>0.1</v>
      </c>
      <c r="N7" s="300">
        <v>0.1</v>
      </c>
      <c r="O7" s="300">
        <v>0.1</v>
      </c>
      <c r="P7" s="300">
        <v>0.1</v>
      </c>
      <c r="Q7" s="300">
        <v>0.1</v>
      </c>
      <c r="R7" s="300">
        <v>0.1</v>
      </c>
      <c r="S7" s="300">
        <v>0.1</v>
      </c>
      <c r="T7" s="300">
        <v>0.05</v>
      </c>
      <c r="U7" s="300">
        <f t="shared" si="0"/>
        <v>0.9999999999999999</v>
      </c>
      <c r="X7" s="302">
        <f t="shared" si="1"/>
        <v>0</v>
      </c>
      <c r="Y7" s="302">
        <f t="shared" si="1"/>
        <v>0</v>
      </c>
      <c r="Z7" s="302">
        <f t="shared" si="1"/>
        <v>0</v>
      </c>
      <c r="AA7" s="302">
        <f t="shared" si="1"/>
        <v>0</v>
      </c>
      <c r="AB7" s="302">
        <f t="shared" si="1"/>
        <v>200000</v>
      </c>
      <c r="AC7" s="302">
        <f t="shared" si="1"/>
        <v>400000</v>
      </c>
      <c r="AD7" s="302">
        <f t="shared" si="1"/>
        <v>400000</v>
      </c>
      <c r="AE7" s="302">
        <f t="shared" si="1"/>
        <v>400000</v>
      </c>
      <c r="AF7" s="302">
        <f t="shared" si="1"/>
        <v>400000</v>
      </c>
      <c r="AG7" s="302">
        <f t="shared" si="1"/>
        <v>400000</v>
      </c>
      <c r="AH7" s="302">
        <f t="shared" si="1"/>
        <v>400000</v>
      </c>
      <c r="AI7" s="302">
        <f t="shared" si="1"/>
        <v>400000</v>
      </c>
      <c r="AJ7" s="302">
        <f t="shared" si="1"/>
        <v>400000</v>
      </c>
      <c r="AK7" s="302">
        <f t="shared" si="1"/>
        <v>400000</v>
      </c>
      <c r="AL7" s="302">
        <f t="shared" si="1"/>
        <v>200000</v>
      </c>
      <c r="AM7" s="240"/>
      <c r="AN7" s="302">
        <f t="shared" si="2"/>
        <v>0</v>
      </c>
      <c r="AO7" s="302">
        <f t="shared" si="2"/>
        <v>0</v>
      </c>
      <c r="AP7" s="302">
        <f t="shared" si="2"/>
        <v>0</v>
      </c>
      <c r="AQ7" s="302">
        <f t="shared" si="2"/>
        <v>0</v>
      </c>
      <c r="AR7" s="302">
        <f t="shared" si="2"/>
        <v>4000000</v>
      </c>
      <c r="AS7" s="302">
        <f t="shared" si="2"/>
        <v>0</v>
      </c>
      <c r="AT7" s="302">
        <f t="shared" si="2"/>
        <v>0</v>
      </c>
      <c r="AU7" s="302">
        <f t="shared" si="2"/>
        <v>0</v>
      </c>
      <c r="AV7" s="302">
        <f t="shared" si="2"/>
        <v>0</v>
      </c>
      <c r="AW7" s="302">
        <f t="shared" si="2"/>
        <v>0</v>
      </c>
      <c r="AX7" s="302">
        <f t="shared" si="2"/>
        <v>0</v>
      </c>
      <c r="AY7" s="302">
        <f t="shared" si="2"/>
        <v>0</v>
      </c>
      <c r="AZ7" s="302">
        <f t="shared" si="2"/>
        <v>0</v>
      </c>
      <c r="BA7" s="302">
        <f t="shared" si="2"/>
        <v>0</v>
      </c>
      <c r="BB7" s="302">
        <f t="shared" si="2"/>
        <v>0</v>
      </c>
      <c r="BD7" s="301">
        <f t="shared" si="3"/>
        <v>0</v>
      </c>
    </row>
    <row r="8" spans="1:56" ht="15">
      <c r="A8" s="297" t="s">
        <v>144</v>
      </c>
      <c r="B8" s="245" t="str">
        <f>VLOOKUP(A8,'DFP-Com'!$A$16:$B$50,2,1)</f>
        <v xml:space="preserve">     1.3.a  Education Project Implementation Contract</v>
      </c>
      <c r="C8" s="297" t="s">
        <v>251</v>
      </c>
      <c r="D8" s="326">
        <v>2500000</v>
      </c>
      <c r="E8" s="297" t="s">
        <v>179</v>
      </c>
      <c r="H8" s="316"/>
      <c r="I8" s="233">
        <v>0.03</v>
      </c>
      <c r="J8" s="233">
        <v>0.05</v>
      </c>
      <c r="K8" s="233">
        <v>0.05</v>
      </c>
      <c r="L8" s="233">
        <v>0.05</v>
      </c>
      <c r="M8" s="233">
        <v>0.1</v>
      </c>
      <c r="N8" s="233">
        <v>0.1</v>
      </c>
      <c r="O8" s="233">
        <v>0.1</v>
      </c>
      <c r="P8" s="233">
        <v>0.1</v>
      </c>
      <c r="Q8" s="233">
        <v>0.1</v>
      </c>
      <c r="R8" s="233">
        <v>0.1</v>
      </c>
      <c r="S8" s="233">
        <v>0.1</v>
      </c>
      <c r="T8" s="233">
        <v>0.12</v>
      </c>
      <c r="U8" s="300">
        <f t="shared" si="0"/>
        <v>0.9999999999999999</v>
      </c>
      <c r="X8" s="302">
        <f t="shared" si="1"/>
        <v>0</v>
      </c>
      <c r="Y8" s="302">
        <f t="shared" si="1"/>
        <v>0</v>
      </c>
      <c r="Z8" s="302">
        <f t="shared" si="1"/>
        <v>0</v>
      </c>
      <c r="AA8" s="302">
        <f t="shared" si="1"/>
        <v>75000</v>
      </c>
      <c r="AB8" s="302">
        <f t="shared" si="1"/>
        <v>125000</v>
      </c>
      <c r="AC8" s="302">
        <f t="shared" si="1"/>
        <v>125000</v>
      </c>
      <c r="AD8" s="302">
        <f t="shared" si="1"/>
        <v>125000</v>
      </c>
      <c r="AE8" s="302">
        <f t="shared" si="1"/>
        <v>250000</v>
      </c>
      <c r="AF8" s="302">
        <f t="shared" si="1"/>
        <v>250000</v>
      </c>
      <c r="AG8" s="302">
        <f t="shared" si="1"/>
        <v>250000</v>
      </c>
      <c r="AH8" s="302">
        <f t="shared" si="1"/>
        <v>250000</v>
      </c>
      <c r="AI8" s="302">
        <f t="shared" si="1"/>
        <v>250000</v>
      </c>
      <c r="AJ8" s="302">
        <f t="shared" si="1"/>
        <v>250000</v>
      </c>
      <c r="AK8" s="302">
        <f t="shared" si="1"/>
        <v>250000</v>
      </c>
      <c r="AL8" s="302">
        <f t="shared" si="1"/>
        <v>300000</v>
      </c>
      <c r="AM8" s="240"/>
      <c r="AN8" s="302">
        <f t="shared" si="2"/>
        <v>0</v>
      </c>
      <c r="AO8" s="302">
        <f t="shared" si="2"/>
        <v>0</v>
      </c>
      <c r="AP8" s="302">
        <f t="shared" si="2"/>
        <v>2500000</v>
      </c>
      <c r="AQ8" s="302">
        <f t="shared" si="2"/>
        <v>0</v>
      </c>
      <c r="AR8" s="302">
        <f t="shared" si="2"/>
        <v>0</v>
      </c>
      <c r="AS8" s="302">
        <f t="shared" si="2"/>
        <v>0</v>
      </c>
      <c r="AT8" s="302">
        <f t="shared" si="2"/>
        <v>0</v>
      </c>
      <c r="AU8" s="302">
        <f t="shared" si="2"/>
        <v>0</v>
      </c>
      <c r="AV8" s="302">
        <f t="shared" si="2"/>
        <v>0</v>
      </c>
      <c r="AW8" s="302">
        <f t="shared" si="2"/>
        <v>0</v>
      </c>
      <c r="AX8" s="302">
        <f t="shared" si="2"/>
        <v>0</v>
      </c>
      <c r="AY8" s="302">
        <f t="shared" si="2"/>
        <v>0</v>
      </c>
      <c r="AZ8" s="302">
        <f t="shared" si="2"/>
        <v>0</v>
      </c>
      <c r="BA8" s="302">
        <f t="shared" si="2"/>
        <v>0</v>
      </c>
      <c r="BB8" s="302">
        <f t="shared" si="2"/>
        <v>0</v>
      </c>
      <c r="BD8" s="301">
        <f t="shared" si="3"/>
        <v>0</v>
      </c>
    </row>
    <row r="9" spans="1:56" ht="15">
      <c r="A9" s="297" t="s">
        <v>147</v>
      </c>
      <c r="B9" s="309" t="str">
        <f>VLOOKUP(A9,'DFP-Com'!$A$16:$B$50,2,1)</f>
        <v xml:space="preserve">     2.1.a  Tax and Customs</v>
      </c>
      <c r="C9" s="297" t="s">
        <v>230</v>
      </c>
      <c r="D9" s="234">
        <v>140000</v>
      </c>
      <c r="E9" s="297" t="s">
        <v>211</v>
      </c>
      <c r="G9" s="300"/>
      <c r="H9" s="317"/>
      <c r="I9" s="300">
        <v>0.25</v>
      </c>
      <c r="J9" s="300">
        <v>0.25</v>
      </c>
      <c r="K9" s="300">
        <v>0.25</v>
      </c>
      <c r="L9" s="300">
        <v>0.25</v>
      </c>
      <c r="M9" s="300"/>
      <c r="N9" s="300"/>
      <c r="O9" s="300"/>
      <c r="P9" s="300"/>
      <c r="Q9" s="300"/>
      <c r="U9" s="300">
        <f t="shared" si="0"/>
        <v>1</v>
      </c>
      <c r="X9" s="302">
        <f t="shared" si="1"/>
        <v>0</v>
      </c>
      <c r="Y9" s="302">
        <f t="shared" si="1"/>
        <v>0</v>
      </c>
      <c r="Z9" s="302">
        <f t="shared" si="1"/>
        <v>0</v>
      </c>
      <c r="AA9" s="302">
        <f t="shared" si="1"/>
        <v>35000</v>
      </c>
      <c r="AB9" s="302">
        <f t="shared" si="1"/>
        <v>35000</v>
      </c>
      <c r="AC9" s="302">
        <f t="shared" si="1"/>
        <v>35000</v>
      </c>
      <c r="AD9" s="302">
        <f t="shared" si="1"/>
        <v>35000</v>
      </c>
      <c r="AE9" s="302">
        <f t="shared" si="1"/>
        <v>0</v>
      </c>
      <c r="AF9" s="302">
        <f t="shared" si="1"/>
        <v>0</v>
      </c>
      <c r="AG9" s="302">
        <f t="shared" si="1"/>
        <v>0</v>
      </c>
      <c r="AH9" s="302">
        <f t="shared" si="1"/>
        <v>0</v>
      </c>
      <c r="AI9" s="302">
        <f t="shared" si="1"/>
        <v>0</v>
      </c>
      <c r="AJ9" s="302">
        <f t="shared" si="1"/>
        <v>0</v>
      </c>
      <c r="AK9" s="302">
        <f t="shared" si="1"/>
        <v>0</v>
      </c>
      <c r="AL9" s="302">
        <f t="shared" si="1"/>
        <v>0</v>
      </c>
      <c r="AM9" s="240"/>
      <c r="AN9" s="302">
        <f t="shared" si="2"/>
        <v>0</v>
      </c>
      <c r="AO9" s="302">
        <f t="shared" si="2"/>
        <v>0</v>
      </c>
      <c r="AP9" s="302">
        <f t="shared" si="2"/>
        <v>0</v>
      </c>
      <c r="AQ9" s="302">
        <f t="shared" si="2"/>
        <v>140000</v>
      </c>
      <c r="AR9" s="302">
        <f t="shared" si="2"/>
        <v>0</v>
      </c>
      <c r="AS9" s="302">
        <f t="shared" si="2"/>
        <v>0</v>
      </c>
      <c r="AT9" s="302">
        <f t="shared" si="2"/>
        <v>0</v>
      </c>
      <c r="AU9" s="302">
        <f t="shared" si="2"/>
        <v>0</v>
      </c>
      <c r="AV9" s="302">
        <f t="shared" si="2"/>
        <v>0</v>
      </c>
      <c r="AW9" s="302">
        <f t="shared" si="2"/>
        <v>0</v>
      </c>
      <c r="AX9" s="302">
        <f t="shared" si="2"/>
        <v>0</v>
      </c>
      <c r="AY9" s="302">
        <f t="shared" si="2"/>
        <v>0</v>
      </c>
      <c r="AZ9" s="302">
        <f t="shared" si="2"/>
        <v>0</v>
      </c>
      <c r="BA9" s="302">
        <f t="shared" si="2"/>
        <v>0</v>
      </c>
      <c r="BB9" s="302">
        <f t="shared" si="2"/>
        <v>0</v>
      </c>
      <c r="BD9" s="301">
        <f t="shared" si="3"/>
        <v>0</v>
      </c>
    </row>
    <row r="10" spans="1:56" ht="15">
      <c r="A10" s="297" t="s">
        <v>147</v>
      </c>
      <c r="B10" s="309" t="str">
        <f>VLOOKUP(A10,'DFP-Com'!$A$16:$B$50,2,1)</f>
        <v xml:space="preserve">     2.1.a  Tax and Customs</v>
      </c>
      <c r="C10" s="297" t="s">
        <v>246</v>
      </c>
      <c r="D10" s="234">
        <v>140000</v>
      </c>
      <c r="E10" s="297" t="s">
        <v>193</v>
      </c>
      <c r="G10" s="300"/>
      <c r="H10" s="317"/>
      <c r="I10" s="300"/>
      <c r="J10" s="300"/>
      <c r="K10" s="300"/>
      <c r="L10" s="300">
        <v>0.25</v>
      </c>
      <c r="M10" s="300">
        <v>0.25</v>
      </c>
      <c r="N10" s="300">
        <v>0.25</v>
      </c>
      <c r="O10" s="300">
        <v>0.25</v>
      </c>
      <c r="P10" s="300"/>
      <c r="Q10" s="300"/>
      <c r="U10" s="300">
        <f t="shared" si="0"/>
        <v>1</v>
      </c>
      <c r="X10" s="302">
        <f t="shared" si="1"/>
        <v>0</v>
      </c>
      <c r="Y10" s="302">
        <f t="shared" si="1"/>
        <v>0</v>
      </c>
      <c r="Z10" s="302">
        <f t="shared" si="1"/>
        <v>0</v>
      </c>
      <c r="AA10" s="302">
        <f t="shared" si="1"/>
        <v>0</v>
      </c>
      <c r="AB10" s="302">
        <f t="shared" si="1"/>
        <v>0</v>
      </c>
      <c r="AC10" s="302">
        <f t="shared" si="1"/>
        <v>0</v>
      </c>
      <c r="AD10" s="302">
        <f t="shared" si="1"/>
        <v>35000</v>
      </c>
      <c r="AE10" s="302">
        <f t="shared" si="1"/>
        <v>35000</v>
      </c>
      <c r="AF10" s="302">
        <f t="shared" si="1"/>
        <v>35000</v>
      </c>
      <c r="AG10" s="302">
        <f t="shared" si="1"/>
        <v>35000</v>
      </c>
      <c r="AH10" s="302">
        <f t="shared" si="1"/>
        <v>0</v>
      </c>
      <c r="AI10" s="302">
        <f t="shared" si="1"/>
        <v>0</v>
      </c>
      <c r="AJ10" s="302">
        <f t="shared" si="1"/>
        <v>0</v>
      </c>
      <c r="AK10" s="302">
        <f t="shared" si="1"/>
        <v>0</v>
      </c>
      <c r="AL10" s="302">
        <f t="shared" si="1"/>
        <v>0</v>
      </c>
      <c r="AM10" s="240"/>
      <c r="AN10" s="302">
        <f t="shared" si="2"/>
        <v>0</v>
      </c>
      <c r="AO10" s="302">
        <f t="shared" si="2"/>
        <v>0</v>
      </c>
      <c r="AP10" s="302">
        <f t="shared" si="2"/>
        <v>0</v>
      </c>
      <c r="AQ10" s="302">
        <f t="shared" si="2"/>
        <v>0</v>
      </c>
      <c r="AR10" s="302">
        <f t="shared" si="2"/>
        <v>0</v>
      </c>
      <c r="AS10" s="302">
        <f t="shared" si="2"/>
        <v>0</v>
      </c>
      <c r="AT10" s="302">
        <f t="shared" si="2"/>
        <v>140000</v>
      </c>
      <c r="AU10" s="302">
        <f t="shared" si="2"/>
        <v>0</v>
      </c>
      <c r="AV10" s="302">
        <f t="shared" si="2"/>
        <v>0</v>
      </c>
      <c r="AW10" s="302">
        <f t="shared" si="2"/>
        <v>0</v>
      </c>
      <c r="AX10" s="302">
        <f t="shared" si="2"/>
        <v>0</v>
      </c>
      <c r="AY10" s="302">
        <f t="shared" si="2"/>
        <v>0</v>
      </c>
      <c r="AZ10" s="302">
        <f t="shared" si="2"/>
        <v>0</v>
      </c>
      <c r="BA10" s="302">
        <f t="shared" si="2"/>
        <v>0</v>
      </c>
      <c r="BB10" s="302">
        <f t="shared" si="2"/>
        <v>0</v>
      </c>
      <c r="BD10" s="301">
        <f t="shared" si="3"/>
        <v>0</v>
      </c>
    </row>
    <row r="11" spans="1:56" ht="15">
      <c r="A11" s="297" t="s">
        <v>147</v>
      </c>
      <c r="B11" s="309" t="str">
        <f>VLOOKUP(A11,'DFP-Com'!$A$16:$B$50,2,1)</f>
        <v xml:space="preserve">     2.1.a  Tax and Customs</v>
      </c>
      <c r="C11" s="297" t="s">
        <v>228</v>
      </c>
      <c r="D11" s="234">
        <v>4000</v>
      </c>
      <c r="E11" s="297" t="s">
        <v>179</v>
      </c>
      <c r="G11" s="300"/>
      <c r="H11" s="317">
        <v>1</v>
      </c>
      <c r="I11" s="300"/>
      <c r="J11" s="300"/>
      <c r="K11" s="300"/>
      <c r="L11" s="300"/>
      <c r="M11" s="300"/>
      <c r="N11" s="300"/>
      <c r="U11" s="300">
        <f t="shared" si="0"/>
        <v>1</v>
      </c>
      <c r="X11" s="302">
        <f t="shared" si="1"/>
        <v>0</v>
      </c>
      <c r="Y11" s="302">
        <f t="shared" si="1"/>
        <v>0</v>
      </c>
      <c r="Z11" s="302">
        <f t="shared" si="1"/>
        <v>4000</v>
      </c>
      <c r="AA11" s="302">
        <f t="shared" si="1"/>
        <v>0</v>
      </c>
      <c r="AB11" s="302">
        <f t="shared" si="1"/>
        <v>0</v>
      </c>
      <c r="AC11" s="302">
        <f t="shared" si="1"/>
        <v>0</v>
      </c>
      <c r="AD11" s="302">
        <f t="shared" si="1"/>
        <v>0</v>
      </c>
      <c r="AE11" s="302">
        <f t="shared" si="1"/>
        <v>0</v>
      </c>
      <c r="AF11" s="302">
        <f t="shared" si="1"/>
        <v>0</v>
      </c>
      <c r="AG11" s="302">
        <f t="shared" si="1"/>
        <v>0</v>
      </c>
      <c r="AH11" s="302">
        <f t="shared" si="1"/>
        <v>0</v>
      </c>
      <c r="AI11" s="302">
        <f t="shared" si="1"/>
        <v>0</v>
      </c>
      <c r="AJ11" s="302">
        <f t="shared" si="1"/>
        <v>0</v>
      </c>
      <c r="AK11" s="302">
        <f t="shared" si="1"/>
        <v>0</v>
      </c>
      <c r="AL11" s="302">
        <f t="shared" si="1"/>
        <v>0</v>
      </c>
      <c r="AM11" s="240"/>
      <c r="AN11" s="302">
        <f t="shared" si="2"/>
        <v>0</v>
      </c>
      <c r="AO11" s="302">
        <f t="shared" si="2"/>
        <v>0</v>
      </c>
      <c r="AP11" s="302">
        <f t="shared" si="2"/>
        <v>4000</v>
      </c>
      <c r="AQ11" s="302">
        <f t="shared" si="2"/>
        <v>0</v>
      </c>
      <c r="AR11" s="302">
        <f t="shared" si="2"/>
        <v>0</v>
      </c>
      <c r="AS11" s="302">
        <f t="shared" si="2"/>
        <v>0</v>
      </c>
      <c r="AT11" s="302">
        <f t="shared" si="2"/>
        <v>0</v>
      </c>
      <c r="AU11" s="302">
        <f t="shared" si="2"/>
        <v>0</v>
      </c>
      <c r="AV11" s="302">
        <f t="shared" si="2"/>
        <v>0</v>
      </c>
      <c r="AW11" s="302">
        <f t="shared" si="2"/>
        <v>0</v>
      </c>
      <c r="AX11" s="302">
        <f t="shared" si="2"/>
        <v>0</v>
      </c>
      <c r="AY11" s="302">
        <f t="shared" si="2"/>
        <v>0</v>
      </c>
      <c r="AZ11" s="302">
        <f t="shared" si="2"/>
        <v>0</v>
      </c>
      <c r="BA11" s="302">
        <f t="shared" si="2"/>
        <v>0</v>
      </c>
      <c r="BB11" s="302">
        <f t="shared" si="2"/>
        <v>0</v>
      </c>
      <c r="BD11" s="301">
        <f t="shared" si="3"/>
        <v>0</v>
      </c>
    </row>
    <row r="12" spans="1:56" ht="15">
      <c r="A12" s="297" t="s">
        <v>147</v>
      </c>
      <c r="B12" s="309" t="str">
        <f>VLOOKUP(A12,'DFP-Com'!$A$16:$B$50,2,1)</f>
        <v xml:space="preserve">     2.1.a  Tax and Customs</v>
      </c>
      <c r="C12" s="297" t="s">
        <v>229</v>
      </c>
      <c r="D12" s="234">
        <v>100000</v>
      </c>
      <c r="E12" s="297" t="s">
        <v>179</v>
      </c>
      <c r="G12" s="300"/>
      <c r="H12" s="317">
        <v>0.25</v>
      </c>
      <c r="I12" s="300">
        <v>0.25</v>
      </c>
      <c r="J12" s="300">
        <v>0.25</v>
      </c>
      <c r="K12" s="300">
        <v>0.25</v>
      </c>
      <c r="L12" s="300"/>
      <c r="M12" s="300"/>
      <c r="N12" s="300"/>
      <c r="U12" s="300">
        <f t="shared" si="0"/>
        <v>1</v>
      </c>
      <c r="X12" s="302">
        <f t="shared" si="1"/>
        <v>0</v>
      </c>
      <c r="Y12" s="302">
        <f t="shared" si="1"/>
        <v>0</v>
      </c>
      <c r="Z12" s="302">
        <f t="shared" si="1"/>
        <v>25000</v>
      </c>
      <c r="AA12" s="302">
        <f t="shared" si="1"/>
        <v>25000</v>
      </c>
      <c r="AB12" s="302">
        <f t="shared" si="1"/>
        <v>25000</v>
      </c>
      <c r="AC12" s="302">
        <f t="shared" si="1"/>
        <v>25000</v>
      </c>
      <c r="AD12" s="302">
        <f t="shared" si="1"/>
        <v>0</v>
      </c>
      <c r="AE12" s="302">
        <f t="shared" si="1"/>
        <v>0</v>
      </c>
      <c r="AF12" s="302">
        <f t="shared" si="1"/>
        <v>0</v>
      </c>
      <c r="AG12" s="302">
        <f t="shared" si="1"/>
        <v>0</v>
      </c>
      <c r="AH12" s="302">
        <f t="shared" si="1"/>
        <v>0</v>
      </c>
      <c r="AI12" s="302">
        <f t="shared" si="1"/>
        <v>0</v>
      </c>
      <c r="AJ12" s="302">
        <f t="shared" si="1"/>
        <v>0</v>
      </c>
      <c r="AK12" s="302">
        <f t="shared" si="1"/>
        <v>0</v>
      </c>
      <c r="AL12" s="302">
        <f t="shared" si="1"/>
        <v>0</v>
      </c>
      <c r="AM12" s="240"/>
      <c r="AN12" s="302">
        <f t="shared" si="2"/>
        <v>0</v>
      </c>
      <c r="AO12" s="302">
        <f t="shared" si="2"/>
        <v>0</v>
      </c>
      <c r="AP12" s="302">
        <f t="shared" si="2"/>
        <v>100000</v>
      </c>
      <c r="AQ12" s="302">
        <f t="shared" si="2"/>
        <v>0</v>
      </c>
      <c r="AR12" s="302">
        <f t="shared" si="2"/>
        <v>0</v>
      </c>
      <c r="AS12" s="302">
        <f t="shared" si="2"/>
        <v>0</v>
      </c>
      <c r="AT12" s="302">
        <f t="shared" si="2"/>
        <v>0</v>
      </c>
      <c r="AU12" s="302">
        <f t="shared" si="2"/>
        <v>0</v>
      </c>
      <c r="AV12" s="302">
        <f t="shared" si="2"/>
        <v>0</v>
      </c>
      <c r="AW12" s="302">
        <f t="shared" si="2"/>
        <v>0</v>
      </c>
      <c r="AX12" s="302">
        <f t="shared" si="2"/>
        <v>0</v>
      </c>
      <c r="AY12" s="302">
        <f t="shared" si="2"/>
        <v>0</v>
      </c>
      <c r="AZ12" s="302">
        <f t="shared" si="2"/>
        <v>0</v>
      </c>
      <c r="BA12" s="302">
        <f t="shared" si="2"/>
        <v>0</v>
      </c>
      <c r="BB12" s="302">
        <f t="shared" si="2"/>
        <v>0</v>
      </c>
      <c r="BD12" s="301">
        <f t="shared" si="3"/>
        <v>0</v>
      </c>
    </row>
    <row r="13" spans="1:56" ht="15">
      <c r="A13" s="297" t="s">
        <v>147</v>
      </c>
      <c r="B13" s="309" t="str">
        <f>VLOOKUP(A13,'DFP-Com'!$A$16:$B$50,2,1)</f>
        <v xml:space="preserve">     2.1.a  Tax and Customs</v>
      </c>
      <c r="D13" s="234"/>
      <c r="G13" s="300"/>
      <c r="H13" s="317"/>
      <c r="I13" s="300"/>
      <c r="J13" s="300"/>
      <c r="K13" s="300"/>
      <c r="L13" s="300"/>
      <c r="M13" s="300"/>
      <c r="N13" s="300"/>
      <c r="O13" s="300"/>
      <c r="P13" s="300"/>
      <c r="Q13" s="300"/>
      <c r="U13" s="300">
        <f t="shared" si="0"/>
        <v>0</v>
      </c>
      <c r="X13" s="302">
        <f t="shared" si="1"/>
        <v>0</v>
      </c>
      <c r="Y13" s="302">
        <f t="shared" si="1"/>
        <v>0</v>
      </c>
      <c r="Z13" s="302">
        <f t="shared" si="1"/>
        <v>0</v>
      </c>
      <c r="AA13" s="302">
        <f t="shared" si="1"/>
        <v>0</v>
      </c>
      <c r="AB13" s="302">
        <f t="shared" si="1"/>
        <v>0</v>
      </c>
      <c r="AC13" s="302">
        <f t="shared" si="1"/>
        <v>0</v>
      </c>
      <c r="AD13" s="302">
        <f t="shared" si="1"/>
        <v>0</v>
      </c>
      <c r="AE13" s="302">
        <f t="shared" si="1"/>
        <v>0</v>
      </c>
      <c r="AF13" s="302">
        <f t="shared" si="1"/>
        <v>0</v>
      </c>
      <c r="AG13" s="302">
        <f t="shared" si="1"/>
        <v>0</v>
      </c>
      <c r="AH13" s="302">
        <f t="shared" si="1"/>
        <v>0</v>
      </c>
      <c r="AI13" s="302">
        <f t="shared" si="1"/>
        <v>0</v>
      </c>
      <c r="AJ13" s="302">
        <f t="shared" si="1"/>
        <v>0</v>
      </c>
      <c r="AK13" s="302">
        <f t="shared" si="1"/>
        <v>0</v>
      </c>
      <c r="AL13" s="302">
        <f t="shared" si="1"/>
        <v>0</v>
      </c>
      <c r="AM13" s="240"/>
      <c r="AN13" s="302">
        <f t="shared" si="2"/>
        <v>0</v>
      </c>
      <c r="AO13" s="302">
        <f t="shared" si="2"/>
        <v>0</v>
      </c>
      <c r="AP13" s="302">
        <f t="shared" si="2"/>
        <v>0</v>
      </c>
      <c r="AQ13" s="302">
        <f t="shared" si="2"/>
        <v>0</v>
      </c>
      <c r="AR13" s="302">
        <f t="shared" si="2"/>
        <v>0</v>
      </c>
      <c r="AS13" s="302">
        <f t="shared" si="2"/>
        <v>0</v>
      </c>
      <c r="AT13" s="302">
        <f t="shared" si="2"/>
        <v>0</v>
      </c>
      <c r="AU13" s="302">
        <f t="shared" si="2"/>
        <v>0</v>
      </c>
      <c r="AV13" s="302">
        <f t="shared" si="2"/>
        <v>0</v>
      </c>
      <c r="AW13" s="302">
        <f t="shared" si="2"/>
        <v>0</v>
      </c>
      <c r="AX13" s="302">
        <f t="shared" si="2"/>
        <v>0</v>
      </c>
      <c r="AY13" s="302">
        <f t="shared" si="2"/>
        <v>0</v>
      </c>
      <c r="AZ13" s="302">
        <f t="shared" si="2"/>
        <v>0</v>
      </c>
      <c r="BA13" s="302">
        <f t="shared" si="2"/>
        <v>0</v>
      </c>
      <c r="BB13" s="302">
        <f t="shared" si="2"/>
        <v>0</v>
      </c>
      <c r="BD13" s="301">
        <f t="shared" si="3"/>
        <v>0</v>
      </c>
    </row>
    <row r="14" spans="1:56" ht="15">
      <c r="A14" s="297" t="s">
        <v>148</v>
      </c>
      <c r="B14" s="310" t="str">
        <f>VLOOKUP(A14,'DFP-Com'!$A$16:$B$50,2,1)</f>
        <v xml:space="preserve">     2.2.a  Advisors</v>
      </c>
      <c r="C14" s="297" t="s">
        <v>192</v>
      </c>
      <c r="D14" s="234">
        <v>150000</v>
      </c>
      <c r="E14" s="297" t="s">
        <v>179</v>
      </c>
      <c r="G14" s="300"/>
      <c r="H14" s="317">
        <v>0.25</v>
      </c>
      <c r="I14" s="300">
        <v>0.25</v>
      </c>
      <c r="J14" s="300">
        <v>0.25</v>
      </c>
      <c r="K14" s="300">
        <v>0.25</v>
      </c>
      <c r="U14" s="300">
        <f t="shared" si="0"/>
        <v>1</v>
      </c>
      <c r="X14" s="302">
        <f t="shared" si="1"/>
        <v>0</v>
      </c>
      <c r="Y14" s="302">
        <f t="shared" si="1"/>
        <v>0</v>
      </c>
      <c r="Z14" s="302">
        <f t="shared" si="1"/>
        <v>37500</v>
      </c>
      <c r="AA14" s="302">
        <f t="shared" si="1"/>
        <v>37500</v>
      </c>
      <c r="AB14" s="302">
        <f t="shared" si="1"/>
        <v>37500</v>
      </c>
      <c r="AC14" s="302">
        <f t="shared" si="1"/>
        <v>37500</v>
      </c>
      <c r="AD14" s="302">
        <f t="shared" si="1"/>
        <v>0</v>
      </c>
      <c r="AE14" s="302">
        <f t="shared" si="1"/>
        <v>0</v>
      </c>
      <c r="AF14" s="302">
        <f t="shared" si="1"/>
        <v>0</v>
      </c>
      <c r="AG14" s="302">
        <f t="shared" si="1"/>
        <v>0</v>
      </c>
      <c r="AH14" s="302">
        <f t="shared" si="1"/>
        <v>0</v>
      </c>
      <c r="AI14" s="302">
        <f t="shared" si="1"/>
        <v>0</v>
      </c>
      <c r="AJ14" s="302">
        <f t="shared" si="1"/>
        <v>0</v>
      </c>
      <c r="AK14" s="302">
        <f t="shared" si="1"/>
        <v>0</v>
      </c>
      <c r="AL14" s="302">
        <f t="shared" si="1"/>
        <v>0</v>
      </c>
      <c r="AM14" s="240"/>
      <c r="AN14" s="302">
        <f t="shared" si="2"/>
        <v>0</v>
      </c>
      <c r="AO14" s="302">
        <f t="shared" si="2"/>
        <v>0</v>
      </c>
      <c r="AP14" s="302">
        <f t="shared" si="2"/>
        <v>150000</v>
      </c>
      <c r="AQ14" s="302">
        <f t="shared" si="2"/>
        <v>0</v>
      </c>
      <c r="AR14" s="302">
        <f t="shared" si="2"/>
        <v>0</v>
      </c>
      <c r="AS14" s="302">
        <f t="shared" si="2"/>
        <v>0</v>
      </c>
      <c r="AT14" s="302">
        <f t="shared" si="2"/>
        <v>0</v>
      </c>
      <c r="AU14" s="302">
        <f t="shared" si="2"/>
        <v>0</v>
      </c>
      <c r="AV14" s="302">
        <f t="shared" si="2"/>
        <v>0</v>
      </c>
      <c r="AW14" s="302">
        <f t="shared" si="2"/>
        <v>0</v>
      </c>
      <c r="AX14" s="302">
        <f t="shared" si="2"/>
        <v>0</v>
      </c>
      <c r="AY14" s="302">
        <f t="shared" si="2"/>
        <v>0</v>
      </c>
      <c r="AZ14" s="302">
        <f t="shared" si="2"/>
        <v>0</v>
      </c>
      <c r="BA14" s="302">
        <f t="shared" si="2"/>
        <v>0</v>
      </c>
      <c r="BB14" s="302">
        <f t="shared" si="2"/>
        <v>0</v>
      </c>
      <c r="BD14" s="301">
        <f t="shared" si="3"/>
        <v>0</v>
      </c>
    </row>
    <row r="15" spans="1:56" ht="15">
      <c r="A15" s="297" t="s">
        <v>148</v>
      </c>
      <c r="B15" s="310" t="str">
        <f>VLOOKUP(A15,'DFP-Com'!$A$16:$B$50,2,1)</f>
        <v xml:space="preserve">     2.2.a  Advisors</v>
      </c>
      <c r="C15" s="297" t="s">
        <v>210</v>
      </c>
      <c r="D15" s="234">
        <v>150000</v>
      </c>
      <c r="E15" s="297" t="s">
        <v>181</v>
      </c>
      <c r="K15" s="300">
        <v>0.25</v>
      </c>
      <c r="L15" s="300">
        <v>0.25</v>
      </c>
      <c r="M15" s="300">
        <v>0.25</v>
      </c>
      <c r="N15" s="300">
        <v>0.25</v>
      </c>
      <c r="U15" s="300">
        <f t="shared" si="0"/>
        <v>1</v>
      </c>
      <c r="X15" s="302">
        <f t="shared" si="1"/>
        <v>0</v>
      </c>
      <c r="Y15" s="302">
        <f t="shared" si="1"/>
        <v>0</v>
      </c>
      <c r="Z15" s="302">
        <f t="shared" si="1"/>
        <v>0</v>
      </c>
      <c r="AA15" s="302">
        <f t="shared" si="1"/>
        <v>0</v>
      </c>
      <c r="AB15" s="302">
        <f t="shared" si="1"/>
        <v>0</v>
      </c>
      <c r="AC15" s="302">
        <f t="shared" si="1"/>
        <v>37500</v>
      </c>
      <c r="AD15" s="302">
        <f t="shared" si="1"/>
        <v>37500</v>
      </c>
      <c r="AE15" s="302">
        <f t="shared" si="1"/>
        <v>37500</v>
      </c>
      <c r="AF15" s="302">
        <f t="shared" si="1"/>
        <v>37500</v>
      </c>
      <c r="AG15" s="302">
        <f t="shared" si="1"/>
        <v>0</v>
      </c>
      <c r="AH15" s="302">
        <f t="shared" si="1"/>
        <v>0</v>
      </c>
      <c r="AI15" s="302">
        <f t="shared" si="1"/>
        <v>0</v>
      </c>
      <c r="AJ15" s="302">
        <f t="shared" si="1"/>
        <v>0</v>
      </c>
      <c r="AK15" s="302">
        <f t="shared" si="1"/>
        <v>0</v>
      </c>
      <c r="AL15" s="302">
        <f t="shared" si="1"/>
        <v>0</v>
      </c>
      <c r="AM15" s="240"/>
      <c r="AN15" s="302">
        <f t="shared" si="2"/>
        <v>0</v>
      </c>
      <c r="AO15" s="302">
        <f t="shared" si="2"/>
        <v>0</v>
      </c>
      <c r="AP15" s="302">
        <f t="shared" si="2"/>
        <v>0</v>
      </c>
      <c r="AQ15" s="302">
        <f t="shared" si="2"/>
        <v>0</v>
      </c>
      <c r="AR15" s="302">
        <f t="shared" si="2"/>
        <v>0</v>
      </c>
      <c r="AS15" s="302">
        <f t="shared" si="2"/>
        <v>150000</v>
      </c>
      <c r="AT15" s="302">
        <f t="shared" si="2"/>
        <v>0</v>
      </c>
      <c r="AU15" s="302">
        <f t="shared" si="2"/>
        <v>0</v>
      </c>
      <c r="AV15" s="302">
        <f t="shared" si="2"/>
        <v>0</v>
      </c>
      <c r="AW15" s="302">
        <f t="shared" si="2"/>
        <v>0</v>
      </c>
      <c r="AX15" s="302">
        <f t="shared" si="2"/>
        <v>0</v>
      </c>
      <c r="AY15" s="302">
        <f t="shared" si="2"/>
        <v>0</v>
      </c>
      <c r="AZ15" s="302">
        <f t="shared" si="2"/>
        <v>0</v>
      </c>
      <c r="BA15" s="302">
        <f t="shared" si="2"/>
        <v>0</v>
      </c>
      <c r="BB15" s="302">
        <f t="shared" si="2"/>
        <v>0</v>
      </c>
      <c r="BD15" s="301">
        <f t="shared" si="3"/>
        <v>0</v>
      </c>
    </row>
    <row r="16" spans="1:56" ht="15">
      <c r="A16" s="297" t="s">
        <v>148</v>
      </c>
      <c r="B16" s="310" t="str">
        <f>VLOOKUP(A16,'DFP-Com'!$A$16:$B$50,2,1)</f>
        <v xml:space="preserve">     2.2.a  Advisors</v>
      </c>
      <c r="C16" s="297" t="s">
        <v>184</v>
      </c>
      <c r="D16" s="234">
        <v>73500</v>
      </c>
      <c r="E16" s="297" t="s">
        <v>179</v>
      </c>
      <c r="F16" s="300"/>
      <c r="G16" s="300"/>
      <c r="H16" s="317">
        <v>0.166666666666667</v>
      </c>
      <c r="I16" s="300">
        <v>0.25</v>
      </c>
      <c r="J16" s="300">
        <v>0.25</v>
      </c>
      <c r="K16" s="300">
        <v>0.25</v>
      </c>
      <c r="L16" s="300">
        <v>0.08333333333333333</v>
      </c>
      <c r="M16" s="300"/>
      <c r="N16" s="300"/>
      <c r="O16" s="300"/>
      <c r="P16" s="300"/>
      <c r="Q16" s="300"/>
      <c r="U16" s="300">
        <f t="shared" si="0"/>
        <v>1.0000000000000002</v>
      </c>
      <c r="X16" s="251">
        <f t="shared" si="1"/>
        <v>0</v>
      </c>
      <c r="Y16" s="302">
        <f t="shared" si="1"/>
        <v>0</v>
      </c>
      <c r="Z16" s="302">
        <f t="shared" si="1"/>
        <v>12250.000000000024</v>
      </c>
      <c r="AA16" s="302">
        <f t="shared" si="1"/>
        <v>18375</v>
      </c>
      <c r="AB16" s="302">
        <f t="shared" si="1"/>
        <v>18375</v>
      </c>
      <c r="AC16" s="302">
        <f t="shared" si="1"/>
        <v>18375</v>
      </c>
      <c r="AD16" s="302">
        <f t="shared" si="1"/>
        <v>6125</v>
      </c>
      <c r="AE16" s="302">
        <f t="shared" si="1"/>
        <v>0</v>
      </c>
      <c r="AF16" s="302">
        <f t="shared" si="1"/>
        <v>0</v>
      </c>
      <c r="AG16" s="302">
        <f t="shared" si="1"/>
        <v>0</v>
      </c>
      <c r="AH16" s="302">
        <f t="shared" si="1"/>
        <v>0</v>
      </c>
      <c r="AI16" s="302">
        <f t="shared" si="1"/>
        <v>0</v>
      </c>
      <c r="AJ16" s="302">
        <f t="shared" si="1"/>
        <v>0</v>
      </c>
      <c r="AK16" s="302">
        <f t="shared" si="1"/>
        <v>0</v>
      </c>
      <c r="AL16" s="302">
        <f t="shared" si="1"/>
        <v>0</v>
      </c>
      <c r="AM16" s="240"/>
      <c r="AN16" s="302">
        <f t="shared" si="2"/>
        <v>0</v>
      </c>
      <c r="AO16" s="302">
        <f t="shared" si="2"/>
        <v>0</v>
      </c>
      <c r="AP16" s="302">
        <f t="shared" si="2"/>
        <v>73500</v>
      </c>
      <c r="AQ16" s="302">
        <f t="shared" si="2"/>
        <v>0</v>
      </c>
      <c r="AR16" s="302">
        <f t="shared" si="2"/>
        <v>0</v>
      </c>
      <c r="AS16" s="302">
        <f t="shared" si="2"/>
        <v>0</v>
      </c>
      <c r="AT16" s="302">
        <f t="shared" si="2"/>
        <v>0</v>
      </c>
      <c r="AU16" s="302">
        <f t="shared" si="2"/>
        <v>0</v>
      </c>
      <c r="AV16" s="302">
        <f t="shared" si="2"/>
        <v>0</v>
      </c>
      <c r="AW16" s="302">
        <f t="shared" si="2"/>
        <v>0</v>
      </c>
      <c r="AX16" s="302">
        <f t="shared" si="2"/>
        <v>0</v>
      </c>
      <c r="AY16" s="302">
        <f t="shared" si="2"/>
        <v>0</v>
      </c>
      <c r="AZ16" s="302">
        <f t="shared" si="2"/>
        <v>0</v>
      </c>
      <c r="BA16" s="302">
        <f t="shared" si="2"/>
        <v>0</v>
      </c>
      <c r="BB16" s="302">
        <f t="shared" si="2"/>
        <v>0</v>
      </c>
      <c r="BD16" s="301">
        <f t="shared" si="3"/>
        <v>0</v>
      </c>
    </row>
    <row r="17" spans="1:56" ht="15">
      <c r="A17" s="297" t="s">
        <v>148</v>
      </c>
      <c r="B17" s="310" t="str">
        <f>VLOOKUP(A17,'DFP-Com'!$A$16:$B$50,2,1)</f>
        <v xml:space="preserve">     2.2.a  Advisors</v>
      </c>
      <c r="C17" s="297" t="s">
        <v>231</v>
      </c>
      <c r="D17" s="234">
        <f>12250*12</f>
        <v>147000</v>
      </c>
      <c r="E17" s="297" t="s">
        <v>181</v>
      </c>
      <c r="F17" s="300"/>
      <c r="G17" s="300"/>
      <c r="H17" s="317"/>
      <c r="I17" s="300"/>
      <c r="J17" s="300"/>
      <c r="K17" s="300">
        <v>0.166666666666667</v>
      </c>
      <c r="L17" s="300">
        <v>0.25</v>
      </c>
      <c r="M17" s="300">
        <v>0.25</v>
      </c>
      <c r="N17" s="300">
        <v>0.25</v>
      </c>
      <c r="O17" s="300">
        <v>0.08333333333333333</v>
      </c>
      <c r="P17" s="300"/>
      <c r="Q17" s="300"/>
      <c r="U17" s="300">
        <f t="shared" si="0"/>
        <v>1.0000000000000002</v>
      </c>
      <c r="X17" s="251">
        <f t="shared" si="1"/>
        <v>0</v>
      </c>
      <c r="Y17" s="302">
        <f t="shared" si="1"/>
        <v>0</v>
      </c>
      <c r="Z17" s="302">
        <f t="shared" si="1"/>
        <v>0</v>
      </c>
      <c r="AA17" s="302">
        <f t="shared" si="1"/>
        <v>0</v>
      </c>
      <c r="AB17" s="302">
        <f t="shared" si="1"/>
        <v>0</v>
      </c>
      <c r="AC17" s="302">
        <f t="shared" si="1"/>
        <v>24500.000000000047</v>
      </c>
      <c r="AD17" s="302">
        <f t="shared" si="1"/>
        <v>36750</v>
      </c>
      <c r="AE17" s="302">
        <f t="shared" si="1"/>
        <v>36750</v>
      </c>
      <c r="AF17" s="302">
        <f t="shared" si="1"/>
        <v>36750</v>
      </c>
      <c r="AG17" s="302">
        <f t="shared" si="1"/>
        <v>12250</v>
      </c>
      <c r="AH17" s="302">
        <f t="shared" si="1"/>
        <v>0</v>
      </c>
      <c r="AI17" s="302">
        <f t="shared" si="1"/>
        <v>0</v>
      </c>
      <c r="AJ17" s="302">
        <f t="shared" si="1"/>
        <v>0</v>
      </c>
      <c r="AK17" s="302">
        <f t="shared" si="1"/>
        <v>0</v>
      </c>
      <c r="AL17" s="302">
        <f t="shared" si="1"/>
        <v>0</v>
      </c>
      <c r="AM17" s="240"/>
      <c r="AN17" s="302">
        <f t="shared" si="2"/>
        <v>0</v>
      </c>
      <c r="AO17" s="302">
        <f t="shared" si="2"/>
        <v>0</v>
      </c>
      <c r="AP17" s="302">
        <f t="shared" si="2"/>
        <v>0</v>
      </c>
      <c r="AQ17" s="302">
        <f t="shared" si="2"/>
        <v>0</v>
      </c>
      <c r="AR17" s="302">
        <f t="shared" si="2"/>
        <v>0</v>
      </c>
      <c r="AS17" s="302">
        <f t="shared" si="2"/>
        <v>147000</v>
      </c>
      <c r="AT17" s="302">
        <f t="shared" si="2"/>
        <v>0</v>
      </c>
      <c r="AU17" s="302">
        <f t="shared" si="2"/>
        <v>0</v>
      </c>
      <c r="AV17" s="302">
        <f t="shared" si="2"/>
        <v>0</v>
      </c>
      <c r="AW17" s="302">
        <f t="shared" si="2"/>
        <v>0</v>
      </c>
      <c r="AX17" s="302">
        <f t="shared" si="2"/>
        <v>0</v>
      </c>
      <c r="AY17" s="302">
        <f t="shared" si="2"/>
        <v>0</v>
      </c>
      <c r="AZ17" s="302">
        <f t="shared" si="2"/>
        <v>0</v>
      </c>
      <c r="BA17" s="302">
        <f t="shared" si="2"/>
        <v>0</v>
      </c>
      <c r="BB17" s="302">
        <f t="shared" si="2"/>
        <v>0</v>
      </c>
      <c r="BD17" s="301">
        <f t="shared" si="3"/>
        <v>0</v>
      </c>
    </row>
    <row r="18" spans="1:56" ht="15">
      <c r="A18" s="297" t="s">
        <v>148</v>
      </c>
      <c r="B18" s="310" t="str">
        <f>VLOOKUP(A18,'DFP-Com'!$A$16:$B$50,2,1)</f>
        <v xml:space="preserve">     2.2.a  Advisors</v>
      </c>
      <c r="C18" s="297" t="s">
        <v>232</v>
      </c>
      <c r="D18" s="234">
        <f>12250*12</f>
        <v>147000</v>
      </c>
      <c r="E18" s="297" t="s">
        <v>233</v>
      </c>
      <c r="F18" s="300"/>
      <c r="G18" s="300"/>
      <c r="H18" s="317"/>
      <c r="I18" s="300"/>
      <c r="J18" s="300"/>
      <c r="K18" s="300"/>
      <c r="L18" s="300"/>
      <c r="M18" s="300"/>
      <c r="N18" s="300"/>
      <c r="O18" s="300">
        <v>0.166666666666667</v>
      </c>
      <c r="P18" s="300">
        <v>0.25</v>
      </c>
      <c r="Q18" s="300">
        <v>0.25</v>
      </c>
      <c r="R18" s="300">
        <v>0.25</v>
      </c>
      <c r="S18" s="300">
        <v>0.08333333333333333</v>
      </c>
      <c r="U18" s="300">
        <f t="shared" si="0"/>
        <v>1.0000000000000002</v>
      </c>
      <c r="X18" s="251">
        <f t="shared" si="1"/>
        <v>0</v>
      </c>
      <c r="Y18" s="302">
        <f t="shared" si="1"/>
        <v>0</v>
      </c>
      <c r="Z18" s="302">
        <f t="shared" si="1"/>
        <v>0</v>
      </c>
      <c r="AA18" s="302">
        <f t="shared" si="1"/>
        <v>0</v>
      </c>
      <c r="AB18" s="302">
        <f t="shared" si="1"/>
        <v>0</v>
      </c>
      <c r="AC18" s="302">
        <f t="shared" si="1"/>
        <v>0</v>
      </c>
      <c r="AD18" s="302">
        <f t="shared" si="1"/>
        <v>0</v>
      </c>
      <c r="AE18" s="302">
        <f t="shared" si="1"/>
        <v>0</v>
      </c>
      <c r="AF18" s="302">
        <f t="shared" si="1"/>
        <v>0</v>
      </c>
      <c r="AG18" s="302">
        <f t="shared" si="1"/>
        <v>24500.000000000047</v>
      </c>
      <c r="AH18" s="302">
        <f t="shared" si="1"/>
        <v>36750</v>
      </c>
      <c r="AI18" s="302">
        <f t="shared" si="1"/>
        <v>36750</v>
      </c>
      <c r="AJ18" s="302">
        <f t="shared" si="1"/>
        <v>36750</v>
      </c>
      <c r="AK18" s="302">
        <f t="shared" si="1"/>
        <v>12250</v>
      </c>
      <c r="AL18" s="302">
        <f t="shared" si="1"/>
        <v>0</v>
      </c>
      <c r="AM18" s="240"/>
      <c r="AN18" s="302">
        <f t="shared" si="2"/>
        <v>0</v>
      </c>
      <c r="AO18" s="302">
        <f t="shared" si="2"/>
        <v>0</v>
      </c>
      <c r="AP18" s="302">
        <f t="shared" si="2"/>
        <v>0</v>
      </c>
      <c r="AQ18" s="302">
        <f t="shared" si="2"/>
        <v>0</v>
      </c>
      <c r="AR18" s="302">
        <f t="shared" si="2"/>
        <v>0</v>
      </c>
      <c r="AS18" s="302">
        <f t="shared" si="2"/>
        <v>0</v>
      </c>
      <c r="AT18" s="302">
        <f t="shared" si="2"/>
        <v>0</v>
      </c>
      <c r="AU18" s="302">
        <f t="shared" si="2"/>
        <v>147000</v>
      </c>
      <c r="AV18" s="302">
        <f t="shared" si="2"/>
        <v>0</v>
      </c>
      <c r="AW18" s="302">
        <f t="shared" si="2"/>
        <v>0</v>
      </c>
      <c r="AX18" s="302">
        <f t="shared" si="2"/>
        <v>0</v>
      </c>
      <c r="AY18" s="302">
        <f t="shared" si="2"/>
        <v>0</v>
      </c>
      <c r="AZ18" s="302">
        <f t="shared" si="2"/>
        <v>0</v>
      </c>
      <c r="BA18" s="302">
        <f t="shared" si="2"/>
        <v>0</v>
      </c>
      <c r="BB18" s="302">
        <f t="shared" si="2"/>
        <v>0</v>
      </c>
      <c r="BD18" s="301">
        <f t="shared" si="3"/>
        <v>0</v>
      </c>
    </row>
    <row r="19" spans="1:56" ht="15">
      <c r="A19" s="297" t="s">
        <v>148</v>
      </c>
      <c r="B19" s="310" t="str">
        <f>VLOOKUP(A19,'DFP-Com'!$A$16:$B$50,2,1)</f>
        <v xml:space="preserve">     2.2.a  Advisors</v>
      </c>
      <c r="C19" s="297" t="s">
        <v>185</v>
      </c>
      <c r="D19" s="234">
        <v>61250</v>
      </c>
      <c r="E19" s="297" t="s">
        <v>207</v>
      </c>
      <c r="F19" s="300"/>
      <c r="G19" s="300">
        <v>0.2</v>
      </c>
      <c r="H19" s="317">
        <v>0.6</v>
      </c>
      <c r="I19" s="300">
        <v>0.2</v>
      </c>
      <c r="J19" s="300"/>
      <c r="K19" s="300"/>
      <c r="L19" s="300"/>
      <c r="M19" s="300"/>
      <c r="N19" s="300"/>
      <c r="O19" s="300"/>
      <c r="P19" s="300"/>
      <c r="Q19" s="300"/>
      <c r="U19" s="300">
        <f t="shared" si="0"/>
        <v>1</v>
      </c>
      <c r="X19" s="302">
        <f t="shared" si="1"/>
        <v>0</v>
      </c>
      <c r="Y19" s="302">
        <f t="shared" si="1"/>
        <v>12250</v>
      </c>
      <c r="Z19" s="302">
        <f t="shared" si="1"/>
        <v>36750</v>
      </c>
      <c r="AA19" s="302">
        <f t="shared" si="1"/>
        <v>12250</v>
      </c>
      <c r="AB19" s="302">
        <f t="shared" si="1"/>
        <v>0</v>
      </c>
      <c r="AC19" s="302">
        <f t="shared" si="1"/>
        <v>0</v>
      </c>
      <c r="AD19" s="302">
        <f t="shared" si="1"/>
        <v>0</v>
      </c>
      <c r="AE19" s="302">
        <f t="shared" si="1"/>
        <v>0</v>
      </c>
      <c r="AF19" s="302">
        <f t="shared" si="1"/>
        <v>0</v>
      </c>
      <c r="AG19" s="302">
        <f t="shared" si="1"/>
        <v>0</v>
      </c>
      <c r="AH19" s="302">
        <f t="shared" si="1"/>
        <v>0</v>
      </c>
      <c r="AI19" s="302">
        <f t="shared" si="1"/>
        <v>0</v>
      </c>
      <c r="AJ19" s="302">
        <f t="shared" si="1"/>
        <v>0</v>
      </c>
      <c r="AK19" s="302">
        <f t="shared" si="1"/>
        <v>0</v>
      </c>
      <c r="AL19" s="302">
        <f t="shared" si="1"/>
        <v>0</v>
      </c>
      <c r="AM19" s="240"/>
      <c r="AN19" s="302">
        <f t="shared" si="2"/>
        <v>0</v>
      </c>
      <c r="AO19" s="302">
        <f t="shared" si="2"/>
        <v>61250</v>
      </c>
      <c r="AP19" s="302">
        <f t="shared" si="2"/>
        <v>0</v>
      </c>
      <c r="AQ19" s="302">
        <f t="shared" si="2"/>
        <v>0</v>
      </c>
      <c r="AR19" s="302">
        <f t="shared" si="2"/>
        <v>0</v>
      </c>
      <c r="AS19" s="302">
        <f t="shared" si="2"/>
        <v>0</v>
      </c>
      <c r="AT19" s="302">
        <f t="shared" si="2"/>
        <v>0</v>
      </c>
      <c r="AU19" s="302">
        <f t="shared" si="2"/>
        <v>0</v>
      </c>
      <c r="AV19" s="302">
        <f t="shared" si="2"/>
        <v>0</v>
      </c>
      <c r="AW19" s="302">
        <f t="shared" si="2"/>
        <v>0</v>
      </c>
      <c r="AX19" s="302">
        <f t="shared" si="2"/>
        <v>0</v>
      </c>
      <c r="AY19" s="302">
        <f t="shared" si="2"/>
        <v>0</v>
      </c>
      <c r="AZ19" s="302">
        <f t="shared" si="2"/>
        <v>0</v>
      </c>
      <c r="BA19" s="302">
        <f t="shared" si="2"/>
        <v>0</v>
      </c>
      <c r="BB19" s="302">
        <f t="shared" si="2"/>
        <v>0</v>
      </c>
      <c r="BD19" s="301">
        <f t="shared" si="3"/>
        <v>0</v>
      </c>
    </row>
    <row r="20" spans="1:56" ht="15">
      <c r="A20" s="297" t="s">
        <v>149</v>
      </c>
      <c r="B20" s="310" t="str">
        <f>VLOOKUP(A20,'DFP-Com'!$A$16:$B$50,2,1)</f>
        <v xml:space="preserve">     2.2.b  Feasiblity Studies/  Transaction Advisory Services</v>
      </c>
      <c r="C20" s="297" t="s">
        <v>186</v>
      </c>
      <c r="D20" s="234">
        <v>500000</v>
      </c>
      <c r="E20" s="297" t="s">
        <v>179</v>
      </c>
      <c r="F20" s="300"/>
      <c r="G20" s="300"/>
      <c r="H20" s="317">
        <v>0.25</v>
      </c>
      <c r="I20" s="300">
        <v>0.25</v>
      </c>
      <c r="J20" s="300">
        <v>0.25</v>
      </c>
      <c r="K20" s="300">
        <v>0.25</v>
      </c>
      <c r="L20" s="300"/>
      <c r="M20" s="300"/>
      <c r="N20" s="300"/>
      <c r="U20" s="300">
        <f t="shared" si="0"/>
        <v>1</v>
      </c>
      <c r="X20" s="302">
        <f t="shared" si="1"/>
        <v>0</v>
      </c>
      <c r="Y20" s="302">
        <f t="shared" si="1"/>
        <v>0</v>
      </c>
      <c r="Z20" s="302">
        <f t="shared" si="1"/>
        <v>125000</v>
      </c>
      <c r="AA20" s="302">
        <f t="shared" si="1"/>
        <v>125000</v>
      </c>
      <c r="AB20" s="302">
        <f t="shared" si="1"/>
        <v>125000</v>
      </c>
      <c r="AC20" s="302">
        <f t="shared" si="1"/>
        <v>125000</v>
      </c>
      <c r="AD20" s="302">
        <f t="shared" si="1"/>
        <v>0</v>
      </c>
      <c r="AE20" s="302">
        <f t="shared" si="1"/>
        <v>0</v>
      </c>
      <c r="AF20" s="302">
        <f t="shared" si="1"/>
        <v>0</v>
      </c>
      <c r="AG20" s="302">
        <f t="shared" si="1"/>
        <v>0</v>
      </c>
      <c r="AH20" s="302">
        <f t="shared" si="1"/>
        <v>0</v>
      </c>
      <c r="AI20" s="302">
        <f t="shared" si="1"/>
        <v>0</v>
      </c>
      <c r="AJ20" s="302">
        <f t="shared" si="1"/>
        <v>0</v>
      </c>
      <c r="AK20" s="302">
        <f t="shared" si="1"/>
        <v>0</v>
      </c>
      <c r="AL20" s="302">
        <f t="shared" si="1"/>
        <v>0</v>
      </c>
      <c r="AM20" s="240"/>
      <c r="AN20" s="302">
        <f aca="true" t="shared" si="4" ref="AN20:BB35">IF(AN$3=$E20,$D20,0)</f>
        <v>0</v>
      </c>
      <c r="AO20" s="302">
        <f t="shared" si="4"/>
        <v>0</v>
      </c>
      <c r="AP20" s="302">
        <f t="shared" si="4"/>
        <v>500000</v>
      </c>
      <c r="AQ20" s="302">
        <f t="shared" si="4"/>
        <v>0</v>
      </c>
      <c r="AR20" s="302">
        <f t="shared" si="4"/>
        <v>0</v>
      </c>
      <c r="AS20" s="302">
        <f t="shared" si="4"/>
        <v>0</v>
      </c>
      <c r="AT20" s="302">
        <f t="shared" si="4"/>
        <v>0</v>
      </c>
      <c r="AU20" s="302">
        <f t="shared" si="4"/>
        <v>0</v>
      </c>
      <c r="AV20" s="302">
        <f t="shared" si="4"/>
        <v>0</v>
      </c>
      <c r="AW20" s="302">
        <f t="shared" si="4"/>
        <v>0</v>
      </c>
      <c r="AX20" s="302">
        <f t="shared" si="4"/>
        <v>0</v>
      </c>
      <c r="AY20" s="302">
        <f t="shared" si="4"/>
        <v>0</v>
      </c>
      <c r="AZ20" s="302">
        <f t="shared" si="4"/>
        <v>0</v>
      </c>
      <c r="BA20" s="302">
        <f t="shared" si="4"/>
        <v>0</v>
      </c>
      <c r="BB20" s="302">
        <f t="shared" si="4"/>
        <v>0</v>
      </c>
      <c r="BD20" s="301">
        <f t="shared" si="3"/>
        <v>0</v>
      </c>
    </row>
    <row r="21" spans="1:56" ht="15">
      <c r="A21" s="297" t="s">
        <v>149</v>
      </c>
      <c r="B21" s="310" t="str">
        <f>VLOOKUP(A21,'DFP-Com'!$A$16:$B$50,2,1)</f>
        <v xml:space="preserve">     2.2.b  Feasiblity Studies/  Transaction Advisory Services</v>
      </c>
      <c r="C21" s="297" t="s">
        <v>187</v>
      </c>
      <c r="D21" s="234">
        <v>200000</v>
      </c>
      <c r="E21" s="297" t="s">
        <v>179</v>
      </c>
      <c r="F21" s="300"/>
      <c r="G21" s="300"/>
      <c r="H21" s="317"/>
      <c r="I21" s="300"/>
      <c r="J21" s="300">
        <v>0.25</v>
      </c>
      <c r="K21" s="300">
        <v>0.25</v>
      </c>
      <c r="L21" s="300">
        <v>0.25</v>
      </c>
      <c r="M21" s="300">
        <v>0.25</v>
      </c>
      <c r="U21" s="300">
        <f t="shared" si="0"/>
        <v>1</v>
      </c>
      <c r="X21" s="302">
        <f aca="true" t="shared" si="5" ref="X21:AL37">F21*$D21</f>
        <v>0</v>
      </c>
      <c r="Y21" s="302">
        <f t="shared" si="5"/>
        <v>0</v>
      </c>
      <c r="Z21" s="302">
        <f t="shared" si="5"/>
        <v>0</v>
      </c>
      <c r="AA21" s="302">
        <f t="shared" si="5"/>
        <v>0</v>
      </c>
      <c r="AB21" s="302">
        <f t="shared" si="5"/>
        <v>50000</v>
      </c>
      <c r="AC21" s="302">
        <f t="shared" si="5"/>
        <v>50000</v>
      </c>
      <c r="AD21" s="302">
        <f t="shared" si="5"/>
        <v>50000</v>
      </c>
      <c r="AE21" s="302">
        <f t="shared" si="5"/>
        <v>50000</v>
      </c>
      <c r="AF21" s="302">
        <f t="shared" si="5"/>
        <v>0</v>
      </c>
      <c r="AG21" s="302">
        <f t="shared" si="5"/>
        <v>0</v>
      </c>
      <c r="AH21" s="302">
        <f t="shared" si="5"/>
        <v>0</v>
      </c>
      <c r="AI21" s="302">
        <f t="shared" si="5"/>
        <v>0</v>
      </c>
      <c r="AJ21" s="302">
        <f t="shared" si="5"/>
        <v>0</v>
      </c>
      <c r="AK21" s="302">
        <f t="shared" si="5"/>
        <v>0</v>
      </c>
      <c r="AL21" s="302">
        <f t="shared" si="5"/>
        <v>0</v>
      </c>
      <c r="AM21" s="240"/>
      <c r="AN21" s="302">
        <f t="shared" si="4"/>
        <v>0</v>
      </c>
      <c r="AO21" s="302">
        <f t="shared" si="4"/>
        <v>0</v>
      </c>
      <c r="AP21" s="302">
        <f t="shared" si="4"/>
        <v>200000</v>
      </c>
      <c r="AQ21" s="302">
        <f t="shared" si="4"/>
        <v>0</v>
      </c>
      <c r="AR21" s="302">
        <f t="shared" si="4"/>
        <v>0</v>
      </c>
      <c r="AS21" s="302">
        <f t="shared" si="4"/>
        <v>0</v>
      </c>
      <c r="AT21" s="302">
        <f t="shared" si="4"/>
        <v>0</v>
      </c>
      <c r="AU21" s="302">
        <f t="shared" si="4"/>
        <v>0</v>
      </c>
      <c r="AV21" s="302">
        <f t="shared" si="4"/>
        <v>0</v>
      </c>
      <c r="AW21" s="302">
        <f t="shared" si="4"/>
        <v>0</v>
      </c>
      <c r="AX21" s="302">
        <f t="shared" si="4"/>
        <v>0</v>
      </c>
      <c r="AY21" s="302">
        <f t="shared" si="4"/>
        <v>0</v>
      </c>
      <c r="AZ21" s="302">
        <f t="shared" si="4"/>
        <v>0</v>
      </c>
      <c r="BA21" s="302">
        <f t="shared" si="4"/>
        <v>0</v>
      </c>
      <c r="BB21" s="302">
        <f t="shared" si="4"/>
        <v>0</v>
      </c>
      <c r="BD21" s="301">
        <f t="shared" si="3"/>
        <v>0</v>
      </c>
    </row>
    <row r="22" spans="1:56" ht="15">
      <c r="A22" s="297" t="s">
        <v>149</v>
      </c>
      <c r="B22" s="310" t="str">
        <f>VLOOKUP(A22,'DFP-Com'!$A$16:$B$50,2,1)</f>
        <v xml:space="preserve">     2.2.b  Feasiblity Studies/  Transaction Advisory Services</v>
      </c>
      <c r="C22" s="297" t="s">
        <v>188</v>
      </c>
      <c r="D22" s="234">
        <v>350000</v>
      </c>
      <c r="U22" s="300">
        <f t="shared" si="0"/>
        <v>0</v>
      </c>
      <c r="X22" s="302">
        <f t="shared" si="5"/>
        <v>0</v>
      </c>
      <c r="Y22" s="302">
        <f t="shared" si="5"/>
        <v>0</v>
      </c>
      <c r="Z22" s="302">
        <f t="shared" si="5"/>
        <v>0</v>
      </c>
      <c r="AA22" s="302">
        <f t="shared" si="5"/>
        <v>0</v>
      </c>
      <c r="AB22" s="302">
        <f t="shared" si="5"/>
        <v>0</v>
      </c>
      <c r="AC22" s="302">
        <f t="shared" si="5"/>
        <v>0</v>
      </c>
      <c r="AD22" s="302">
        <f t="shared" si="5"/>
        <v>0</v>
      </c>
      <c r="AE22" s="302">
        <f t="shared" si="5"/>
        <v>0</v>
      </c>
      <c r="AF22" s="302">
        <f t="shared" si="5"/>
        <v>0</v>
      </c>
      <c r="AG22" s="302">
        <f t="shared" si="5"/>
        <v>0</v>
      </c>
      <c r="AH22" s="302">
        <f t="shared" si="5"/>
        <v>0</v>
      </c>
      <c r="AI22" s="302">
        <f t="shared" si="5"/>
        <v>0</v>
      </c>
      <c r="AJ22" s="302">
        <f t="shared" si="5"/>
        <v>0</v>
      </c>
      <c r="AK22" s="302">
        <f t="shared" si="5"/>
        <v>0</v>
      </c>
      <c r="AL22" s="302">
        <f t="shared" si="5"/>
        <v>0</v>
      </c>
      <c r="AM22" s="240"/>
      <c r="AN22" s="302">
        <f t="shared" si="4"/>
        <v>0</v>
      </c>
      <c r="AO22" s="302">
        <f t="shared" si="4"/>
        <v>0</v>
      </c>
      <c r="AP22" s="302">
        <f t="shared" si="4"/>
        <v>0</v>
      </c>
      <c r="AQ22" s="302">
        <f t="shared" si="4"/>
        <v>0</v>
      </c>
      <c r="AR22" s="302">
        <f t="shared" si="4"/>
        <v>0</v>
      </c>
      <c r="AS22" s="302">
        <f t="shared" si="4"/>
        <v>0</v>
      </c>
      <c r="AT22" s="302">
        <f t="shared" si="4"/>
        <v>0</v>
      </c>
      <c r="AU22" s="302">
        <f t="shared" si="4"/>
        <v>0</v>
      </c>
      <c r="AV22" s="302">
        <f t="shared" si="4"/>
        <v>0</v>
      </c>
      <c r="AW22" s="302">
        <f t="shared" si="4"/>
        <v>0</v>
      </c>
      <c r="AX22" s="302">
        <f t="shared" si="4"/>
        <v>0</v>
      </c>
      <c r="AY22" s="302">
        <f t="shared" si="4"/>
        <v>0</v>
      </c>
      <c r="AZ22" s="302">
        <f t="shared" si="4"/>
        <v>0</v>
      </c>
      <c r="BA22" s="302">
        <f t="shared" si="4"/>
        <v>0</v>
      </c>
      <c r="BB22" s="302">
        <f t="shared" si="4"/>
        <v>0</v>
      </c>
      <c r="BD22" s="301">
        <f t="shared" si="3"/>
        <v>0</v>
      </c>
    </row>
    <row r="23" spans="1:56" ht="15">
      <c r="A23" s="297" t="s">
        <v>149</v>
      </c>
      <c r="B23" s="310" t="str">
        <f>VLOOKUP(A23,'DFP-Com'!$A$16:$B$50,2,1)</f>
        <v xml:space="preserve">     2.2.b  Feasiblity Studies/  Transaction Advisory Services</v>
      </c>
      <c r="C23" s="297" t="s">
        <v>189</v>
      </c>
      <c r="D23" s="234">
        <v>200000</v>
      </c>
      <c r="E23" s="297" t="s">
        <v>211</v>
      </c>
      <c r="I23" s="300">
        <v>0.25</v>
      </c>
      <c r="J23" s="300">
        <v>0.25</v>
      </c>
      <c r="K23" s="300">
        <v>0.25</v>
      </c>
      <c r="L23" s="300">
        <v>0.25</v>
      </c>
      <c r="U23" s="300">
        <f t="shared" si="0"/>
        <v>1</v>
      </c>
      <c r="X23" s="302">
        <f t="shared" si="5"/>
        <v>0</v>
      </c>
      <c r="Y23" s="302">
        <f t="shared" si="5"/>
        <v>0</v>
      </c>
      <c r="Z23" s="302">
        <f t="shared" si="5"/>
        <v>0</v>
      </c>
      <c r="AA23" s="302">
        <f t="shared" si="5"/>
        <v>50000</v>
      </c>
      <c r="AB23" s="302">
        <f t="shared" si="5"/>
        <v>50000</v>
      </c>
      <c r="AC23" s="302">
        <f t="shared" si="5"/>
        <v>50000</v>
      </c>
      <c r="AD23" s="302">
        <f t="shared" si="5"/>
        <v>50000</v>
      </c>
      <c r="AE23" s="302">
        <f t="shared" si="5"/>
        <v>0</v>
      </c>
      <c r="AF23" s="302">
        <f t="shared" si="5"/>
        <v>0</v>
      </c>
      <c r="AG23" s="302">
        <f t="shared" si="5"/>
        <v>0</v>
      </c>
      <c r="AH23" s="302">
        <f t="shared" si="5"/>
        <v>0</v>
      </c>
      <c r="AI23" s="302">
        <f t="shared" si="5"/>
        <v>0</v>
      </c>
      <c r="AJ23" s="302">
        <f t="shared" si="5"/>
        <v>0</v>
      </c>
      <c r="AK23" s="302">
        <f t="shared" si="5"/>
        <v>0</v>
      </c>
      <c r="AL23" s="302">
        <f t="shared" si="5"/>
        <v>0</v>
      </c>
      <c r="AM23" s="240"/>
      <c r="AN23" s="302">
        <f t="shared" si="4"/>
        <v>0</v>
      </c>
      <c r="AO23" s="302">
        <f t="shared" si="4"/>
        <v>0</v>
      </c>
      <c r="AP23" s="302">
        <f t="shared" si="4"/>
        <v>0</v>
      </c>
      <c r="AQ23" s="302">
        <f t="shared" si="4"/>
        <v>200000</v>
      </c>
      <c r="AR23" s="302">
        <f t="shared" si="4"/>
        <v>0</v>
      </c>
      <c r="AS23" s="302">
        <f t="shared" si="4"/>
        <v>0</v>
      </c>
      <c r="AT23" s="302">
        <f t="shared" si="4"/>
        <v>0</v>
      </c>
      <c r="AU23" s="302">
        <f t="shared" si="4"/>
        <v>0</v>
      </c>
      <c r="AV23" s="302">
        <f t="shared" si="4"/>
        <v>0</v>
      </c>
      <c r="AW23" s="302">
        <f t="shared" si="4"/>
        <v>0</v>
      </c>
      <c r="AX23" s="302">
        <f t="shared" si="4"/>
        <v>0</v>
      </c>
      <c r="AY23" s="302">
        <f t="shared" si="4"/>
        <v>0</v>
      </c>
      <c r="AZ23" s="302">
        <f t="shared" si="4"/>
        <v>0</v>
      </c>
      <c r="BA23" s="302">
        <f t="shared" si="4"/>
        <v>0</v>
      </c>
      <c r="BB23" s="302">
        <f t="shared" si="4"/>
        <v>0</v>
      </c>
      <c r="BD23" s="301">
        <f t="shared" si="3"/>
        <v>0</v>
      </c>
    </row>
    <row r="24" spans="1:56" ht="15">
      <c r="A24" s="297" t="s">
        <v>149</v>
      </c>
      <c r="B24" s="310" t="str">
        <f>VLOOKUP(A24,'DFP-Com'!$A$16:$B$50,2,1)</f>
        <v xml:space="preserve">     2.2.b  Feasiblity Studies/  Transaction Advisory Services</v>
      </c>
      <c r="C24" s="297" t="s">
        <v>190</v>
      </c>
      <c r="D24" s="234">
        <v>350000</v>
      </c>
      <c r="E24" s="297" t="s">
        <v>211</v>
      </c>
      <c r="H24" s="317"/>
      <c r="I24" s="300">
        <v>0.25</v>
      </c>
      <c r="J24" s="300">
        <v>0.25</v>
      </c>
      <c r="K24" s="300">
        <v>0.25</v>
      </c>
      <c r="L24" s="300">
        <v>0.25</v>
      </c>
      <c r="U24" s="300">
        <f t="shared" si="0"/>
        <v>1</v>
      </c>
      <c r="X24" s="302">
        <f t="shared" si="5"/>
        <v>0</v>
      </c>
      <c r="Y24" s="302">
        <f t="shared" si="5"/>
        <v>0</v>
      </c>
      <c r="Z24" s="302">
        <f t="shared" si="5"/>
        <v>0</v>
      </c>
      <c r="AA24" s="302">
        <f t="shared" si="5"/>
        <v>87500</v>
      </c>
      <c r="AB24" s="302">
        <f t="shared" si="5"/>
        <v>87500</v>
      </c>
      <c r="AC24" s="302">
        <f t="shared" si="5"/>
        <v>87500</v>
      </c>
      <c r="AD24" s="302">
        <f t="shared" si="5"/>
        <v>87500</v>
      </c>
      <c r="AE24" s="302">
        <f t="shared" si="5"/>
        <v>0</v>
      </c>
      <c r="AF24" s="302">
        <f t="shared" si="5"/>
        <v>0</v>
      </c>
      <c r="AG24" s="302">
        <f t="shared" si="5"/>
        <v>0</v>
      </c>
      <c r="AH24" s="302">
        <f t="shared" si="5"/>
        <v>0</v>
      </c>
      <c r="AI24" s="302">
        <f t="shared" si="5"/>
        <v>0</v>
      </c>
      <c r="AJ24" s="302">
        <f t="shared" si="5"/>
        <v>0</v>
      </c>
      <c r="AK24" s="302">
        <f t="shared" si="5"/>
        <v>0</v>
      </c>
      <c r="AL24" s="302">
        <f t="shared" si="5"/>
        <v>0</v>
      </c>
      <c r="AM24" s="240"/>
      <c r="AN24" s="302">
        <f t="shared" si="4"/>
        <v>0</v>
      </c>
      <c r="AO24" s="302">
        <f t="shared" si="4"/>
        <v>0</v>
      </c>
      <c r="AP24" s="302">
        <f t="shared" si="4"/>
        <v>0</v>
      </c>
      <c r="AQ24" s="302">
        <f t="shared" si="4"/>
        <v>350000</v>
      </c>
      <c r="AR24" s="302">
        <f t="shared" si="4"/>
        <v>0</v>
      </c>
      <c r="AS24" s="302">
        <f t="shared" si="4"/>
        <v>0</v>
      </c>
      <c r="AT24" s="302">
        <f t="shared" si="4"/>
        <v>0</v>
      </c>
      <c r="AU24" s="302">
        <f t="shared" si="4"/>
        <v>0</v>
      </c>
      <c r="AV24" s="302">
        <f t="shared" si="4"/>
        <v>0</v>
      </c>
      <c r="AW24" s="302">
        <f t="shared" si="4"/>
        <v>0</v>
      </c>
      <c r="AX24" s="302">
        <f t="shared" si="4"/>
        <v>0</v>
      </c>
      <c r="AY24" s="302">
        <f t="shared" si="4"/>
        <v>0</v>
      </c>
      <c r="AZ24" s="302">
        <f t="shared" si="4"/>
        <v>0</v>
      </c>
      <c r="BA24" s="302">
        <f t="shared" si="4"/>
        <v>0</v>
      </c>
      <c r="BB24" s="302">
        <f t="shared" si="4"/>
        <v>0</v>
      </c>
      <c r="BD24" s="301">
        <f t="shared" si="3"/>
        <v>0</v>
      </c>
    </row>
    <row r="25" spans="1:56" ht="15">
      <c r="A25" s="297" t="s">
        <v>149</v>
      </c>
      <c r="B25" s="310" t="str">
        <f>VLOOKUP(A25,'DFP-Com'!$A$16:$B$50,2,1)</f>
        <v xml:space="preserve">     2.2.b  Feasiblity Studies/  Transaction Advisory Services</v>
      </c>
      <c r="C25" s="297" t="s">
        <v>191</v>
      </c>
      <c r="D25" s="234">
        <v>50000</v>
      </c>
      <c r="E25" s="297" t="s">
        <v>208</v>
      </c>
      <c r="J25" s="300">
        <v>0.25</v>
      </c>
      <c r="K25" s="300">
        <v>0.25</v>
      </c>
      <c r="L25" s="300">
        <v>0.25</v>
      </c>
      <c r="M25" s="300">
        <v>0.25</v>
      </c>
      <c r="U25" s="300">
        <f t="shared" si="0"/>
        <v>1</v>
      </c>
      <c r="X25" s="302">
        <f t="shared" si="5"/>
        <v>0</v>
      </c>
      <c r="Y25" s="302">
        <f t="shared" si="5"/>
        <v>0</v>
      </c>
      <c r="Z25" s="302">
        <f t="shared" si="5"/>
        <v>0</v>
      </c>
      <c r="AA25" s="302">
        <f t="shared" si="5"/>
        <v>0</v>
      </c>
      <c r="AB25" s="302">
        <f t="shared" si="5"/>
        <v>12500</v>
      </c>
      <c r="AC25" s="302">
        <f t="shared" si="5"/>
        <v>12500</v>
      </c>
      <c r="AD25" s="302">
        <f t="shared" si="5"/>
        <v>12500</v>
      </c>
      <c r="AE25" s="302">
        <f t="shared" si="5"/>
        <v>12500</v>
      </c>
      <c r="AF25" s="302">
        <f t="shared" si="5"/>
        <v>0</v>
      </c>
      <c r="AG25" s="302">
        <f t="shared" si="5"/>
        <v>0</v>
      </c>
      <c r="AH25" s="302">
        <f t="shared" si="5"/>
        <v>0</v>
      </c>
      <c r="AI25" s="302">
        <f t="shared" si="5"/>
        <v>0</v>
      </c>
      <c r="AJ25" s="302">
        <f t="shared" si="5"/>
        <v>0</v>
      </c>
      <c r="AK25" s="302">
        <f t="shared" si="5"/>
        <v>0</v>
      </c>
      <c r="AL25" s="302">
        <f t="shared" si="5"/>
        <v>0</v>
      </c>
      <c r="AM25" s="240"/>
      <c r="AN25" s="302">
        <f t="shared" si="4"/>
        <v>0</v>
      </c>
      <c r="AO25" s="302">
        <f t="shared" si="4"/>
        <v>0</v>
      </c>
      <c r="AP25" s="302">
        <f t="shared" si="4"/>
        <v>0</v>
      </c>
      <c r="AQ25" s="302">
        <f t="shared" si="4"/>
        <v>0</v>
      </c>
      <c r="AR25" s="302">
        <f t="shared" si="4"/>
        <v>50000</v>
      </c>
      <c r="AS25" s="302">
        <f t="shared" si="4"/>
        <v>0</v>
      </c>
      <c r="AT25" s="302">
        <f t="shared" si="4"/>
        <v>0</v>
      </c>
      <c r="AU25" s="302">
        <f t="shared" si="4"/>
        <v>0</v>
      </c>
      <c r="AV25" s="302">
        <f t="shared" si="4"/>
        <v>0</v>
      </c>
      <c r="AW25" s="302">
        <f t="shared" si="4"/>
        <v>0</v>
      </c>
      <c r="AX25" s="302">
        <f t="shared" si="4"/>
        <v>0</v>
      </c>
      <c r="AY25" s="302">
        <f t="shared" si="4"/>
        <v>0</v>
      </c>
      <c r="AZ25" s="302">
        <f t="shared" si="4"/>
        <v>0</v>
      </c>
      <c r="BA25" s="302">
        <f t="shared" si="4"/>
        <v>0</v>
      </c>
      <c r="BB25" s="302">
        <f t="shared" si="4"/>
        <v>0</v>
      </c>
      <c r="BD25" s="301">
        <f t="shared" si="3"/>
        <v>0</v>
      </c>
    </row>
    <row r="26" spans="1:56" ht="15">
      <c r="A26" s="297" t="s">
        <v>151</v>
      </c>
      <c r="B26" s="256" t="str">
        <f>VLOOKUP(A26,'DFP-Com'!$A$16:$B$50,2,1)</f>
        <v xml:space="preserve">     3.1.a  Student Assessment</v>
      </c>
      <c r="C26" s="247" t="s">
        <v>224</v>
      </c>
      <c r="D26" s="303">
        <v>100000</v>
      </c>
      <c r="E26" s="297" t="s">
        <v>211</v>
      </c>
      <c r="H26" s="317"/>
      <c r="I26" s="300">
        <v>0.25</v>
      </c>
      <c r="J26" s="300">
        <v>0.25</v>
      </c>
      <c r="K26" s="300">
        <v>0.25</v>
      </c>
      <c r="L26" s="300">
        <v>0.25</v>
      </c>
      <c r="U26" s="300">
        <f t="shared" si="0"/>
        <v>1</v>
      </c>
      <c r="X26" s="302">
        <f t="shared" si="5"/>
        <v>0</v>
      </c>
      <c r="Y26" s="302">
        <f t="shared" si="5"/>
        <v>0</v>
      </c>
      <c r="Z26" s="302">
        <f t="shared" si="5"/>
        <v>0</v>
      </c>
      <c r="AA26" s="302">
        <f t="shared" si="5"/>
        <v>25000</v>
      </c>
      <c r="AB26" s="302">
        <f t="shared" si="5"/>
        <v>25000</v>
      </c>
      <c r="AC26" s="302">
        <f t="shared" si="5"/>
        <v>25000</v>
      </c>
      <c r="AD26" s="302">
        <f t="shared" si="5"/>
        <v>25000</v>
      </c>
      <c r="AE26" s="302">
        <f t="shared" si="5"/>
        <v>0</v>
      </c>
      <c r="AF26" s="302">
        <f t="shared" si="5"/>
        <v>0</v>
      </c>
      <c r="AG26" s="302">
        <f t="shared" si="5"/>
        <v>0</v>
      </c>
      <c r="AH26" s="302">
        <f t="shared" si="5"/>
        <v>0</v>
      </c>
      <c r="AI26" s="302">
        <f t="shared" si="5"/>
        <v>0</v>
      </c>
      <c r="AJ26" s="302">
        <f t="shared" si="5"/>
        <v>0</v>
      </c>
      <c r="AK26" s="302">
        <f t="shared" si="5"/>
        <v>0</v>
      </c>
      <c r="AL26" s="302">
        <f t="shared" si="5"/>
        <v>0</v>
      </c>
      <c r="AM26" s="240"/>
      <c r="AN26" s="302">
        <f t="shared" si="4"/>
        <v>0</v>
      </c>
      <c r="AO26" s="302">
        <f t="shared" si="4"/>
        <v>0</v>
      </c>
      <c r="AP26" s="302">
        <f t="shared" si="4"/>
        <v>0</v>
      </c>
      <c r="AQ26" s="302">
        <f t="shared" si="4"/>
        <v>100000</v>
      </c>
      <c r="AR26" s="302">
        <f t="shared" si="4"/>
        <v>0</v>
      </c>
      <c r="AS26" s="302">
        <f t="shared" si="4"/>
        <v>0</v>
      </c>
      <c r="AT26" s="302">
        <f t="shared" si="4"/>
        <v>0</v>
      </c>
      <c r="AU26" s="302">
        <f t="shared" si="4"/>
        <v>0</v>
      </c>
      <c r="AV26" s="302">
        <f t="shared" si="4"/>
        <v>0</v>
      </c>
      <c r="AW26" s="302">
        <f t="shared" si="4"/>
        <v>0</v>
      </c>
      <c r="AX26" s="302">
        <f t="shared" si="4"/>
        <v>0</v>
      </c>
      <c r="AY26" s="302">
        <f t="shared" si="4"/>
        <v>0</v>
      </c>
      <c r="AZ26" s="302">
        <f t="shared" si="4"/>
        <v>0</v>
      </c>
      <c r="BA26" s="302">
        <f t="shared" si="4"/>
        <v>0</v>
      </c>
      <c r="BB26" s="302">
        <f t="shared" si="4"/>
        <v>0</v>
      </c>
      <c r="BD26" s="301">
        <f t="shared" si="3"/>
        <v>0</v>
      </c>
    </row>
    <row r="27" spans="1:56" ht="15">
      <c r="A27" s="297" t="s">
        <v>151</v>
      </c>
      <c r="B27" s="256" t="str">
        <f>VLOOKUP(A27,'DFP-Com'!$A$16:$B$50,2,1)</f>
        <v xml:space="preserve">     3.1.a  Student Assessment</v>
      </c>
      <c r="C27" s="247" t="s">
        <v>224</v>
      </c>
      <c r="D27" s="303">
        <v>500000</v>
      </c>
      <c r="E27" s="297" t="s">
        <v>248</v>
      </c>
      <c r="Q27" s="300">
        <v>0.25</v>
      </c>
      <c r="R27" s="300">
        <v>0.25</v>
      </c>
      <c r="S27" s="300">
        <v>0.25</v>
      </c>
      <c r="T27" s="300">
        <v>0.25</v>
      </c>
      <c r="U27" s="300">
        <f t="shared" si="0"/>
        <v>1</v>
      </c>
      <c r="X27" s="302">
        <f t="shared" si="5"/>
        <v>0</v>
      </c>
      <c r="Y27" s="302">
        <f t="shared" si="5"/>
        <v>0</v>
      </c>
      <c r="Z27" s="302">
        <f t="shared" si="5"/>
        <v>0</v>
      </c>
      <c r="AA27" s="302">
        <f t="shared" si="5"/>
        <v>0</v>
      </c>
      <c r="AB27" s="302">
        <f t="shared" si="5"/>
        <v>0</v>
      </c>
      <c r="AC27" s="302">
        <f t="shared" si="5"/>
        <v>0</v>
      </c>
      <c r="AD27" s="302">
        <f t="shared" si="5"/>
        <v>0</v>
      </c>
      <c r="AE27" s="302">
        <f t="shared" si="5"/>
        <v>0</v>
      </c>
      <c r="AF27" s="302">
        <f t="shared" si="5"/>
        <v>0</v>
      </c>
      <c r="AG27" s="302">
        <f t="shared" si="5"/>
        <v>0</v>
      </c>
      <c r="AH27" s="302">
        <f t="shared" si="5"/>
        <v>0</v>
      </c>
      <c r="AI27" s="302">
        <f t="shared" si="5"/>
        <v>125000</v>
      </c>
      <c r="AJ27" s="302">
        <f t="shared" si="5"/>
        <v>125000</v>
      </c>
      <c r="AK27" s="302">
        <f t="shared" si="5"/>
        <v>125000</v>
      </c>
      <c r="AL27" s="302">
        <f t="shared" si="5"/>
        <v>125000</v>
      </c>
      <c r="AM27" s="240"/>
      <c r="AN27" s="302">
        <f t="shared" si="4"/>
        <v>0</v>
      </c>
      <c r="AO27" s="302">
        <f t="shared" si="4"/>
        <v>0</v>
      </c>
      <c r="AP27" s="302">
        <f t="shared" si="4"/>
        <v>0</v>
      </c>
      <c r="AQ27" s="302">
        <f t="shared" si="4"/>
        <v>0</v>
      </c>
      <c r="AR27" s="302">
        <f t="shared" si="4"/>
        <v>0</v>
      </c>
      <c r="AS27" s="302">
        <f t="shared" si="4"/>
        <v>0</v>
      </c>
      <c r="AT27" s="302">
        <f t="shared" si="4"/>
        <v>0</v>
      </c>
      <c r="AU27" s="302">
        <f t="shared" si="4"/>
        <v>0</v>
      </c>
      <c r="AV27" s="302">
        <f t="shared" si="4"/>
        <v>0</v>
      </c>
      <c r="AW27" s="302">
        <f t="shared" si="4"/>
        <v>0</v>
      </c>
      <c r="AX27" s="302">
        <f t="shared" si="4"/>
        <v>0</v>
      </c>
      <c r="AY27" s="302">
        <f t="shared" si="4"/>
        <v>500000</v>
      </c>
      <c r="AZ27" s="302">
        <f t="shared" si="4"/>
        <v>0</v>
      </c>
      <c r="BA27" s="302">
        <f t="shared" si="4"/>
        <v>0</v>
      </c>
      <c r="BB27" s="302">
        <f t="shared" si="4"/>
        <v>0</v>
      </c>
      <c r="BD27" s="301">
        <f t="shared" si="3"/>
        <v>0</v>
      </c>
    </row>
    <row r="28" spans="1:56" ht="15">
      <c r="A28" s="297" t="s">
        <v>151</v>
      </c>
      <c r="B28" s="256" t="str">
        <f>VLOOKUP(A28,'DFP-Com'!$A$16:$B$50,2,1)</f>
        <v xml:space="preserve">     3.1.a  Student Assessment</v>
      </c>
      <c r="C28" s="297" t="s">
        <v>235</v>
      </c>
      <c r="D28" s="234">
        <v>7200</v>
      </c>
      <c r="E28" s="297" t="s">
        <v>211</v>
      </c>
      <c r="H28" s="317"/>
      <c r="I28" s="300">
        <v>0.3</v>
      </c>
      <c r="J28" s="300">
        <v>0.7</v>
      </c>
      <c r="K28" s="300"/>
      <c r="Q28" s="300"/>
      <c r="R28" s="300"/>
      <c r="S28" s="300"/>
      <c r="T28" s="300"/>
      <c r="U28" s="300">
        <f t="shared" si="0"/>
        <v>1</v>
      </c>
      <c r="X28" s="302">
        <f t="shared" si="5"/>
        <v>0</v>
      </c>
      <c r="Y28" s="302">
        <f t="shared" si="5"/>
        <v>0</v>
      </c>
      <c r="Z28" s="302">
        <f t="shared" si="5"/>
        <v>0</v>
      </c>
      <c r="AA28" s="302">
        <f t="shared" si="5"/>
        <v>2160</v>
      </c>
      <c r="AB28" s="302">
        <f t="shared" si="5"/>
        <v>5040</v>
      </c>
      <c r="AC28" s="302">
        <f t="shared" si="5"/>
        <v>0</v>
      </c>
      <c r="AD28" s="302">
        <f t="shared" si="5"/>
        <v>0</v>
      </c>
      <c r="AE28" s="302">
        <f t="shared" si="5"/>
        <v>0</v>
      </c>
      <c r="AF28" s="302">
        <f t="shared" si="5"/>
        <v>0</v>
      </c>
      <c r="AG28" s="302">
        <f t="shared" si="5"/>
        <v>0</v>
      </c>
      <c r="AH28" s="302">
        <f t="shared" si="5"/>
        <v>0</v>
      </c>
      <c r="AI28" s="302">
        <f t="shared" si="5"/>
        <v>0</v>
      </c>
      <c r="AJ28" s="302">
        <f t="shared" si="5"/>
        <v>0</v>
      </c>
      <c r="AK28" s="302">
        <f t="shared" si="5"/>
        <v>0</v>
      </c>
      <c r="AL28" s="302">
        <f t="shared" si="5"/>
        <v>0</v>
      </c>
      <c r="AM28" s="240"/>
      <c r="AN28" s="302">
        <f t="shared" si="4"/>
        <v>0</v>
      </c>
      <c r="AO28" s="302">
        <f t="shared" si="4"/>
        <v>0</v>
      </c>
      <c r="AP28" s="302">
        <f t="shared" si="4"/>
        <v>0</v>
      </c>
      <c r="AQ28" s="302">
        <f t="shared" si="4"/>
        <v>7200</v>
      </c>
      <c r="AR28" s="302">
        <f t="shared" si="4"/>
        <v>0</v>
      </c>
      <c r="AS28" s="302">
        <f t="shared" si="4"/>
        <v>0</v>
      </c>
      <c r="AT28" s="302">
        <f t="shared" si="4"/>
        <v>0</v>
      </c>
      <c r="AU28" s="302">
        <f t="shared" si="4"/>
        <v>0</v>
      </c>
      <c r="AV28" s="302">
        <f t="shared" si="4"/>
        <v>0</v>
      </c>
      <c r="AW28" s="302">
        <f t="shared" si="4"/>
        <v>0</v>
      </c>
      <c r="AX28" s="302">
        <f t="shared" si="4"/>
        <v>0</v>
      </c>
      <c r="AY28" s="302">
        <f t="shared" si="4"/>
        <v>0</v>
      </c>
      <c r="AZ28" s="302">
        <f t="shared" si="4"/>
        <v>0</v>
      </c>
      <c r="BA28" s="302">
        <f t="shared" si="4"/>
        <v>0</v>
      </c>
      <c r="BB28" s="302">
        <f t="shared" si="4"/>
        <v>0</v>
      </c>
      <c r="BD28" s="301"/>
    </row>
    <row r="29" spans="1:56" ht="15">
      <c r="A29" s="297" t="s">
        <v>151</v>
      </c>
      <c r="B29" s="256" t="str">
        <f>VLOOKUP(A29,'DFP-Com'!$A$16:$B$50,2,1)</f>
        <v xml:space="preserve">     3.1.a  Student Assessment</v>
      </c>
      <c r="C29" s="297" t="s">
        <v>236</v>
      </c>
      <c r="D29" s="234">
        <v>19200</v>
      </c>
      <c r="E29" s="297" t="s">
        <v>211</v>
      </c>
      <c r="H29" s="317"/>
      <c r="I29" s="300">
        <v>0.3</v>
      </c>
      <c r="J29" s="300">
        <v>0.7</v>
      </c>
      <c r="K29" s="300"/>
      <c r="Q29" s="300"/>
      <c r="R29" s="300"/>
      <c r="S29" s="300"/>
      <c r="T29" s="300"/>
      <c r="U29" s="300">
        <f t="shared" si="0"/>
        <v>1</v>
      </c>
      <c r="X29" s="302">
        <f t="shared" si="5"/>
        <v>0</v>
      </c>
      <c r="Y29" s="302">
        <f t="shared" si="5"/>
        <v>0</v>
      </c>
      <c r="Z29" s="302">
        <f t="shared" si="5"/>
        <v>0</v>
      </c>
      <c r="AA29" s="302">
        <f t="shared" si="5"/>
        <v>5760</v>
      </c>
      <c r="AB29" s="302">
        <f t="shared" si="5"/>
        <v>13440</v>
      </c>
      <c r="AC29" s="302">
        <f t="shared" si="5"/>
        <v>0</v>
      </c>
      <c r="AD29" s="302">
        <f t="shared" si="5"/>
        <v>0</v>
      </c>
      <c r="AE29" s="302">
        <f t="shared" si="5"/>
        <v>0</v>
      </c>
      <c r="AF29" s="302">
        <f t="shared" si="5"/>
        <v>0</v>
      </c>
      <c r="AG29" s="302">
        <f t="shared" si="5"/>
        <v>0</v>
      </c>
      <c r="AH29" s="302">
        <f t="shared" si="5"/>
        <v>0</v>
      </c>
      <c r="AI29" s="302">
        <f t="shared" si="5"/>
        <v>0</v>
      </c>
      <c r="AJ29" s="302">
        <f t="shared" si="5"/>
        <v>0</v>
      </c>
      <c r="AK29" s="302">
        <f t="shared" si="5"/>
        <v>0</v>
      </c>
      <c r="AL29" s="302">
        <f t="shared" si="5"/>
        <v>0</v>
      </c>
      <c r="AM29" s="240"/>
      <c r="AN29" s="302">
        <f t="shared" si="4"/>
        <v>0</v>
      </c>
      <c r="AO29" s="302">
        <f t="shared" si="4"/>
        <v>0</v>
      </c>
      <c r="AP29" s="302">
        <f t="shared" si="4"/>
        <v>0</v>
      </c>
      <c r="AQ29" s="302">
        <f t="shared" si="4"/>
        <v>19200</v>
      </c>
      <c r="AR29" s="302">
        <f t="shared" si="4"/>
        <v>0</v>
      </c>
      <c r="AS29" s="302">
        <f t="shared" si="4"/>
        <v>0</v>
      </c>
      <c r="AT29" s="302">
        <f t="shared" si="4"/>
        <v>0</v>
      </c>
      <c r="AU29" s="302">
        <f t="shared" si="4"/>
        <v>0</v>
      </c>
      <c r="AV29" s="302">
        <f t="shared" si="4"/>
        <v>0</v>
      </c>
      <c r="AW29" s="302">
        <f t="shared" si="4"/>
        <v>0</v>
      </c>
      <c r="AX29" s="302">
        <f t="shared" si="4"/>
        <v>0</v>
      </c>
      <c r="AY29" s="302">
        <f t="shared" si="4"/>
        <v>0</v>
      </c>
      <c r="AZ29" s="302">
        <f t="shared" si="4"/>
        <v>0</v>
      </c>
      <c r="BA29" s="302">
        <f t="shared" si="4"/>
        <v>0</v>
      </c>
      <c r="BB29" s="302">
        <f t="shared" si="4"/>
        <v>0</v>
      </c>
      <c r="BD29" s="301"/>
    </row>
    <row r="30" spans="1:56" ht="15">
      <c r="A30" s="297" t="s">
        <v>151</v>
      </c>
      <c r="B30" s="256" t="str">
        <f>VLOOKUP(A30,'DFP-Com'!$A$16:$B$50,2,1)</f>
        <v xml:space="preserve">     3.1.a  Student Assessment</v>
      </c>
      <c r="C30" s="297" t="s">
        <v>237</v>
      </c>
      <c r="D30" s="234">
        <v>8000</v>
      </c>
      <c r="E30" s="297" t="s">
        <v>179</v>
      </c>
      <c r="H30" s="317">
        <v>0.5</v>
      </c>
      <c r="I30" s="300">
        <v>0.5</v>
      </c>
      <c r="Q30" s="300"/>
      <c r="R30" s="300"/>
      <c r="S30" s="300"/>
      <c r="T30" s="300"/>
      <c r="U30" s="300">
        <f t="shared" si="0"/>
        <v>1</v>
      </c>
      <c r="X30" s="302">
        <f t="shared" si="5"/>
        <v>0</v>
      </c>
      <c r="Y30" s="302">
        <f t="shared" si="5"/>
        <v>0</v>
      </c>
      <c r="Z30" s="302">
        <f t="shared" si="5"/>
        <v>4000</v>
      </c>
      <c r="AA30" s="302">
        <f t="shared" si="5"/>
        <v>4000</v>
      </c>
      <c r="AB30" s="302">
        <f t="shared" si="5"/>
        <v>0</v>
      </c>
      <c r="AC30" s="302">
        <f t="shared" si="5"/>
        <v>0</v>
      </c>
      <c r="AD30" s="302">
        <f t="shared" si="5"/>
        <v>0</v>
      </c>
      <c r="AE30" s="302">
        <f t="shared" si="5"/>
        <v>0</v>
      </c>
      <c r="AF30" s="302">
        <f t="shared" si="5"/>
        <v>0</v>
      </c>
      <c r="AG30" s="302">
        <f t="shared" si="5"/>
        <v>0</v>
      </c>
      <c r="AH30" s="302">
        <f t="shared" si="5"/>
        <v>0</v>
      </c>
      <c r="AI30" s="302">
        <f t="shared" si="5"/>
        <v>0</v>
      </c>
      <c r="AJ30" s="302">
        <f t="shared" si="5"/>
        <v>0</v>
      </c>
      <c r="AK30" s="302">
        <f t="shared" si="5"/>
        <v>0</v>
      </c>
      <c r="AL30" s="302">
        <f t="shared" si="5"/>
        <v>0</v>
      </c>
      <c r="AM30" s="240"/>
      <c r="AN30" s="302">
        <f t="shared" si="4"/>
        <v>0</v>
      </c>
      <c r="AO30" s="302">
        <f t="shared" si="4"/>
        <v>0</v>
      </c>
      <c r="AP30" s="302">
        <f t="shared" si="4"/>
        <v>8000</v>
      </c>
      <c r="AQ30" s="302">
        <f t="shared" si="4"/>
        <v>0</v>
      </c>
      <c r="AR30" s="302">
        <f t="shared" si="4"/>
        <v>0</v>
      </c>
      <c r="AS30" s="302">
        <f t="shared" si="4"/>
        <v>0</v>
      </c>
      <c r="AT30" s="302">
        <f t="shared" si="4"/>
        <v>0</v>
      </c>
      <c r="AU30" s="302">
        <f t="shared" si="4"/>
        <v>0</v>
      </c>
      <c r="AV30" s="302">
        <f t="shared" si="4"/>
        <v>0</v>
      </c>
      <c r="AW30" s="302">
        <f t="shared" si="4"/>
        <v>0</v>
      </c>
      <c r="AX30" s="302">
        <f t="shared" si="4"/>
        <v>0</v>
      </c>
      <c r="AY30" s="302">
        <f t="shared" si="4"/>
        <v>0</v>
      </c>
      <c r="AZ30" s="302">
        <f t="shared" si="4"/>
        <v>0</v>
      </c>
      <c r="BA30" s="302">
        <f t="shared" si="4"/>
        <v>0</v>
      </c>
      <c r="BB30" s="302">
        <f t="shared" si="4"/>
        <v>0</v>
      </c>
      <c r="BD30" s="301"/>
    </row>
    <row r="31" spans="1:56" ht="15">
      <c r="A31" s="297" t="s">
        <v>151</v>
      </c>
      <c r="B31" s="256" t="str">
        <f>VLOOKUP(A31,'DFP-Com'!$A$16:$B$50,2,1)</f>
        <v xml:space="preserve">     3.1.a  Student Assessment</v>
      </c>
      <c r="C31" s="297" t="s">
        <v>238</v>
      </c>
      <c r="D31" s="234">
        <v>72000</v>
      </c>
      <c r="E31" s="297" t="s">
        <v>179</v>
      </c>
      <c r="H31" s="317">
        <v>0.0833333333333333</v>
      </c>
      <c r="I31" s="300">
        <v>0.0833333333333333</v>
      </c>
      <c r="J31" s="300">
        <v>0.0833333333333333</v>
      </c>
      <c r="K31" s="300">
        <v>0.0833333333333333</v>
      </c>
      <c r="L31" s="300">
        <v>0.0833333333333333</v>
      </c>
      <c r="M31" s="300">
        <v>0.0833333333333333</v>
      </c>
      <c r="N31" s="300">
        <v>0.0833333333333333</v>
      </c>
      <c r="O31" s="300">
        <v>0.0833333333333333</v>
      </c>
      <c r="P31" s="300">
        <v>0.0833333333333333</v>
      </c>
      <c r="Q31" s="300">
        <v>0.0833333333333333</v>
      </c>
      <c r="R31" s="300">
        <v>0.0833333333333333</v>
      </c>
      <c r="S31" s="300">
        <v>0.0833333333333333</v>
      </c>
      <c r="T31" s="300"/>
      <c r="U31" s="300">
        <f t="shared" si="0"/>
        <v>0.9999999999999994</v>
      </c>
      <c r="X31" s="302">
        <f t="shared" si="5"/>
        <v>0</v>
      </c>
      <c r="Y31" s="302">
        <f t="shared" si="5"/>
        <v>0</v>
      </c>
      <c r="Z31" s="302">
        <f t="shared" si="5"/>
        <v>5999.999999999997</v>
      </c>
      <c r="AA31" s="302">
        <f t="shared" si="5"/>
        <v>5999.999999999997</v>
      </c>
      <c r="AB31" s="302">
        <f t="shared" si="5"/>
        <v>5999.999999999997</v>
      </c>
      <c r="AC31" s="302">
        <f t="shared" si="5"/>
        <v>5999.999999999997</v>
      </c>
      <c r="AD31" s="302">
        <f t="shared" si="5"/>
        <v>5999.999999999997</v>
      </c>
      <c r="AE31" s="302">
        <f t="shared" si="5"/>
        <v>5999.999999999997</v>
      </c>
      <c r="AF31" s="302">
        <f t="shared" si="5"/>
        <v>5999.999999999997</v>
      </c>
      <c r="AG31" s="302">
        <f t="shared" si="5"/>
        <v>5999.999999999997</v>
      </c>
      <c r="AH31" s="302">
        <f t="shared" si="5"/>
        <v>5999.999999999997</v>
      </c>
      <c r="AI31" s="302">
        <f t="shared" si="5"/>
        <v>5999.999999999997</v>
      </c>
      <c r="AJ31" s="302">
        <f t="shared" si="5"/>
        <v>5999.999999999997</v>
      </c>
      <c r="AK31" s="302">
        <f t="shared" si="5"/>
        <v>5999.999999999997</v>
      </c>
      <c r="AL31" s="302">
        <f t="shared" si="5"/>
        <v>0</v>
      </c>
      <c r="AM31" s="240"/>
      <c r="AN31" s="302">
        <f t="shared" si="4"/>
        <v>0</v>
      </c>
      <c r="AO31" s="302">
        <f t="shared" si="4"/>
        <v>0</v>
      </c>
      <c r="AP31" s="302">
        <f t="shared" si="4"/>
        <v>72000</v>
      </c>
      <c r="AQ31" s="302">
        <f t="shared" si="4"/>
        <v>0</v>
      </c>
      <c r="AR31" s="302">
        <f t="shared" si="4"/>
        <v>0</v>
      </c>
      <c r="AS31" s="302">
        <f t="shared" si="4"/>
        <v>0</v>
      </c>
      <c r="AT31" s="302">
        <f t="shared" si="4"/>
        <v>0</v>
      </c>
      <c r="AU31" s="302">
        <f t="shared" si="4"/>
        <v>0</v>
      </c>
      <c r="AV31" s="302">
        <f t="shared" si="4"/>
        <v>0</v>
      </c>
      <c r="AW31" s="302">
        <f t="shared" si="4"/>
        <v>0</v>
      </c>
      <c r="AX31" s="302">
        <f t="shared" si="4"/>
        <v>0</v>
      </c>
      <c r="AY31" s="302">
        <f t="shared" si="4"/>
        <v>0</v>
      </c>
      <c r="AZ31" s="302">
        <f t="shared" si="4"/>
        <v>0</v>
      </c>
      <c r="BA31" s="302">
        <f t="shared" si="4"/>
        <v>0</v>
      </c>
      <c r="BB31" s="302">
        <f t="shared" si="4"/>
        <v>0</v>
      </c>
      <c r="BD31" s="301"/>
    </row>
    <row r="32" spans="1:56" ht="15">
      <c r="A32" s="297" t="s">
        <v>152</v>
      </c>
      <c r="B32" s="256" t="str">
        <f>VLOOKUP(A32,'DFP-Com'!$A$16:$B$50,2,1)</f>
        <v xml:space="preserve">     3.1.b  Teacher Evaluations</v>
      </c>
      <c r="C32" s="247" t="s">
        <v>224</v>
      </c>
      <c r="D32" s="234">
        <v>100000</v>
      </c>
      <c r="E32" s="297" t="s">
        <v>211</v>
      </c>
      <c r="I32" s="300">
        <v>0.25</v>
      </c>
      <c r="J32" s="300">
        <v>0.25</v>
      </c>
      <c r="K32" s="300">
        <v>0.25</v>
      </c>
      <c r="L32" s="300">
        <v>0.25</v>
      </c>
      <c r="U32" s="300">
        <f t="shared" si="0"/>
        <v>1</v>
      </c>
      <c r="X32" s="302">
        <f t="shared" si="5"/>
        <v>0</v>
      </c>
      <c r="Y32" s="302">
        <f t="shared" si="5"/>
        <v>0</v>
      </c>
      <c r="Z32" s="302">
        <f t="shared" si="5"/>
        <v>0</v>
      </c>
      <c r="AA32" s="302">
        <f t="shared" si="5"/>
        <v>25000</v>
      </c>
      <c r="AB32" s="302">
        <f t="shared" si="5"/>
        <v>25000</v>
      </c>
      <c r="AC32" s="302">
        <f t="shared" si="5"/>
        <v>25000</v>
      </c>
      <c r="AD32" s="302">
        <f t="shared" si="5"/>
        <v>25000</v>
      </c>
      <c r="AE32" s="302">
        <f t="shared" si="5"/>
        <v>0</v>
      </c>
      <c r="AF32" s="302">
        <f t="shared" si="5"/>
        <v>0</v>
      </c>
      <c r="AG32" s="302">
        <f t="shared" si="5"/>
        <v>0</v>
      </c>
      <c r="AH32" s="302">
        <f t="shared" si="5"/>
        <v>0</v>
      </c>
      <c r="AI32" s="302">
        <f t="shared" si="5"/>
        <v>0</v>
      </c>
      <c r="AJ32" s="302">
        <f t="shared" si="5"/>
        <v>0</v>
      </c>
      <c r="AK32" s="302">
        <f t="shared" si="5"/>
        <v>0</v>
      </c>
      <c r="AL32" s="302">
        <f t="shared" si="5"/>
        <v>0</v>
      </c>
      <c r="AM32" s="240"/>
      <c r="AN32" s="302">
        <f t="shared" si="4"/>
        <v>0</v>
      </c>
      <c r="AO32" s="302">
        <f t="shared" si="4"/>
        <v>0</v>
      </c>
      <c r="AP32" s="302">
        <f t="shared" si="4"/>
        <v>0</v>
      </c>
      <c r="AQ32" s="302">
        <f t="shared" si="4"/>
        <v>100000</v>
      </c>
      <c r="AR32" s="302">
        <f t="shared" si="4"/>
        <v>0</v>
      </c>
      <c r="AS32" s="302">
        <f t="shared" si="4"/>
        <v>0</v>
      </c>
      <c r="AT32" s="302">
        <f t="shared" si="4"/>
        <v>0</v>
      </c>
      <c r="AU32" s="302">
        <f t="shared" si="4"/>
        <v>0</v>
      </c>
      <c r="AV32" s="302">
        <f t="shared" si="4"/>
        <v>0</v>
      </c>
      <c r="AW32" s="302">
        <f t="shared" si="4"/>
        <v>0</v>
      </c>
      <c r="AX32" s="302">
        <f t="shared" si="4"/>
        <v>0</v>
      </c>
      <c r="AY32" s="302">
        <f t="shared" si="4"/>
        <v>0</v>
      </c>
      <c r="AZ32" s="302">
        <f t="shared" si="4"/>
        <v>0</v>
      </c>
      <c r="BA32" s="302">
        <f t="shared" si="4"/>
        <v>0</v>
      </c>
      <c r="BB32" s="302">
        <f t="shared" si="4"/>
        <v>0</v>
      </c>
      <c r="BD32" s="301">
        <f aca="true" t="shared" si="6" ref="BD32:BD38">SUM(X32:AL32)-SUM(AN32:BB32)</f>
        <v>0</v>
      </c>
    </row>
    <row r="33" spans="1:56" ht="15">
      <c r="A33" s="297" t="s">
        <v>152</v>
      </c>
      <c r="B33" s="256" t="str">
        <f>VLOOKUP(A33,'DFP-Com'!$A$16:$B$50,2,1)</f>
        <v xml:space="preserve">     3.1.b  Teacher Evaluations</v>
      </c>
      <c r="C33" s="247" t="s">
        <v>224</v>
      </c>
      <c r="D33" s="234">
        <v>200000</v>
      </c>
      <c r="E33" s="297" t="s">
        <v>225</v>
      </c>
      <c r="Q33" s="300">
        <v>0.25</v>
      </c>
      <c r="R33" s="300">
        <v>0.25</v>
      </c>
      <c r="S33" s="300">
        <v>0.25</v>
      </c>
      <c r="T33" s="300">
        <v>0.25</v>
      </c>
      <c r="U33" s="300">
        <f t="shared" si="0"/>
        <v>1</v>
      </c>
      <c r="X33" s="302">
        <f t="shared" si="5"/>
        <v>0</v>
      </c>
      <c r="Y33" s="302">
        <f t="shared" si="5"/>
        <v>0</v>
      </c>
      <c r="Z33" s="302">
        <f t="shared" si="5"/>
        <v>0</v>
      </c>
      <c r="AA33" s="302">
        <f t="shared" si="5"/>
        <v>0</v>
      </c>
      <c r="AB33" s="302">
        <f t="shared" si="5"/>
        <v>0</v>
      </c>
      <c r="AC33" s="302">
        <f t="shared" si="5"/>
        <v>0</v>
      </c>
      <c r="AD33" s="302">
        <f t="shared" si="5"/>
        <v>0</v>
      </c>
      <c r="AE33" s="302">
        <f t="shared" si="5"/>
        <v>0</v>
      </c>
      <c r="AF33" s="302">
        <f t="shared" si="5"/>
        <v>0</v>
      </c>
      <c r="AG33" s="302">
        <f t="shared" si="5"/>
        <v>0</v>
      </c>
      <c r="AH33" s="302">
        <f t="shared" si="5"/>
        <v>0</v>
      </c>
      <c r="AI33" s="302">
        <f t="shared" si="5"/>
        <v>50000</v>
      </c>
      <c r="AJ33" s="302">
        <f t="shared" si="5"/>
        <v>50000</v>
      </c>
      <c r="AK33" s="302">
        <f t="shared" si="5"/>
        <v>50000</v>
      </c>
      <c r="AL33" s="302">
        <f t="shared" si="5"/>
        <v>50000</v>
      </c>
      <c r="AM33" s="240"/>
      <c r="AN33" s="302">
        <f t="shared" si="4"/>
        <v>0</v>
      </c>
      <c r="AO33" s="302">
        <f t="shared" si="4"/>
        <v>0</v>
      </c>
      <c r="AP33" s="302">
        <f t="shared" si="4"/>
        <v>0</v>
      </c>
      <c r="AQ33" s="302">
        <f t="shared" si="4"/>
        <v>0</v>
      </c>
      <c r="AR33" s="302">
        <f t="shared" si="4"/>
        <v>0</v>
      </c>
      <c r="AS33" s="302">
        <f t="shared" si="4"/>
        <v>0</v>
      </c>
      <c r="AT33" s="302">
        <f t="shared" si="4"/>
        <v>0</v>
      </c>
      <c r="AU33" s="302">
        <f t="shared" si="4"/>
        <v>0</v>
      </c>
      <c r="AV33" s="302">
        <f t="shared" si="4"/>
        <v>0</v>
      </c>
      <c r="AW33" s="302">
        <f t="shared" si="4"/>
        <v>0</v>
      </c>
      <c r="AX33" s="302">
        <f t="shared" si="4"/>
        <v>0</v>
      </c>
      <c r="AY33" s="302">
        <f t="shared" si="4"/>
        <v>0</v>
      </c>
      <c r="AZ33" s="302">
        <f t="shared" si="4"/>
        <v>0</v>
      </c>
      <c r="BA33" s="302">
        <f t="shared" si="4"/>
        <v>0</v>
      </c>
      <c r="BB33" s="302">
        <f t="shared" si="4"/>
        <v>200000</v>
      </c>
      <c r="BD33" s="301">
        <f t="shared" si="6"/>
        <v>0</v>
      </c>
    </row>
    <row r="34" spans="1:56" ht="15">
      <c r="A34" s="297" t="s">
        <v>153</v>
      </c>
      <c r="B34" s="256" t="str">
        <f>VLOOKUP(A34,'DFP-Com'!$A$16:$B$50,2,1)</f>
        <v xml:space="preserve">     3.1.c  Voc Ed Tracer Studies</v>
      </c>
      <c r="C34" s="247" t="s">
        <v>224</v>
      </c>
      <c r="D34" s="234">
        <v>100000</v>
      </c>
      <c r="E34" s="297" t="s">
        <v>193</v>
      </c>
      <c r="L34" s="300">
        <v>0.25</v>
      </c>
      <c r="M34" s="300">
        <v>0.25</v>
      </c>
      <c r="N34" s="300">
        <v>0.25</v>
      </c>
      <c r="O34" s="300">
        <v>0.25</v>
      </c>
      <c r="U34" s="300">
        <f t="shared" si="0"/>
        <v>1</v>
      </c>
      <c r="X34" s="302">
        <f t="shared" si="5"/>
        <v>0</v>
      </c>
      <c r="Y34" s="302">
        <f t="shared" si="5"/>
        <v>0</v>
      </c>
      <c r="Z34" s="302">
        <f t="shared" si="5"/>
        <v>0</v>
      </c>
      <c r="AA34" s="302">
        <f t="shared" si="5"/>
        <v>0</v>
      </c>
      <c r="AB34" s="302">
        <f t="shared" si="5"/>
        <v>0</v>
      </c>
      <c r="AC34" s="302">
        <f t="shared" si="5"/>
        <v>0</v>
      </c>
      <c r="AD34" s="302">
        <f t="shared" si="5"/>
        <v>25000</v>
      </c>
      <c r="AE34" s="302">
        <f t="shared" si="5"/>
        <v>25000</v>
      </c>
      <c r="AF34" s="302">
        <f t="shared" si="5"/>
        <v>25000</v>
      </c>
      <c r="AG34" s="302">
        <f t="shared" si="5"/>
        <v>25000</v>
      </c>
      <c r="AH34" s="302">
        <f t="shared" si="5"/>
        <v>0</v>
      </c>
      <c r="AI34" s="302">
        <f t="shared" si="5"/>
        <v>0</v>
      </c>
      <c r="AJ34" s="302">
        <f t="shared" si="5"/>
        <v>0</v>
      </c>
      <c r="AK34" s="302">
        <f t="shared" si="5"/>
        <v>0</v>
      </c>
      <c r="AL34" s="302">
        <f t="shared" si="5"/>
        <v>0</v>
      </c>
      <c r="AM34" s="240"/>
      <c r="AN34" s="302">
        <f t="shared" si="4"/>
        <v>0</v>
      </c>
      <c r="AO34" s="302">
        <f t="shared" si="4"/>
        <v>0</v>
      </c>
      <c r="AP34" s="302">
        <f t="shared" si="4"/>
        <v>0</v>
      </c>
      <c r="AQ34" s="302">
        <f t="shared" si="4"/>
        <v>0</v>
      </c>
      <c r="AR34" s="302">
        <f t="shared" si="4"/>
        <v>0</v>
      </c>
      <c r="AS34" s="302">
        <f t="shared" si="4"/>
        <v>0</v>
      </c>
      <c r="AT34" s="302">
        <f t="shared" si="4"/>
        <v>100000</v>
      </c>
      <c r="AU34" s="302">
        <f t="shared" si="4"/>
        <v>0</v>
      </c>
      <c r="AV34" s="302">
        <f t="shared" si="4"/>
        <v>0</v>
      </c>
      <c r="AW34" s="302">
        <f t="shared" si="4"/>
        <v>0</v>
      </c>
      <c r="AX34" s="302">
        <f t="shared" si="4"/>
        <v>0</v>
      </c>
      <c r="AY34" s="302">
        <f t="shared" si="4"/>
        <v>0</v>
      </c>
      <c r="AZ34" s="302">
        <f t="shared" si="4"/>
        <v>0</v>
      </c>
      <c r="BA34" s="302">
        <f t="shared" si="4"/>
        <v>0</v>
      </c>
      <c r="BB34" s="302">
        <f t="shared" si="4"/>
        <v>0</v>
      </c>
      <c r="BD34" s="301">
        <f t="shared" si="6"/>
        <v>0</v>
      </c>
    </row>
    <row r="35" spans="1:56" ht="15">
      <c r="A35" s="297" t="s">
        <v>153</v>
      </c>
      <c r="B35" s="256" t="str">
        <f>VLOOKUP(A35,'DFP-Com'!$A$16:$B$50,2,1)</f>
        <v xml:space="preserve">     3.1.c  Voc Ed Tracer Studies</v>
      </c>
      <c r="C35" s="247" t="s">
        <v>224</v>
      </c>
      <c r="D35" s="234">
        <v>200000</v>
      </c>
      <c r="E35" s="297" t="s">
        <v>225</v>
      </c>
      <c r="Q35" s="300">
        <v>0.25</v>
      </c>
      <c r="R35" s="300">
        <v>0.25</v>
      </c>
      <c r="S35" s="300">
        <v>0.25</v>
      </c>
      <c r="T35" s="300">
        <v>0.25</v>
      </c>
      <c r="U35" s="300">
        <f t="shared" si="0"/>
        <v>1</v>
      </c>
      <c r="X35" s="302">
        <f t="shared" si="5"/>
        <v>0</v>
      </c>
      <c r="Y35" s="302">
        <f t="shared" si="5"/>
        <v>0</v>
      </c>
      <c r="Z35" s="302">
        <f t="shared" si="5"/>
        <v>0</v>
      </c>
      <c r="AA35" s="302">
        <f t="shared" si="5"/>
        <v>0</v>
      </c>
      <c r="AB35" s="302">
        <f t="shared" si="5"/>
        <v>0</v>
      </c>
      <c r="AC35" s="302">
        <f t="shared" si="5"/>
        <v>0</v>
      </c>
      <c r="AD35" s="302">
        <f t="shared" si="5"/>
        <v>0</v>
      </c>
      <c r="AE35" s="302">
        <f t="shared" si="5"/>
        <v>0</v>
      </c>
      <c r="AF35" s="302">
        <f t="shared" si="5"/>
        <v>0</v>
      </c>
      <c r="AG35" s="302">
        <f t="shared" si="5"/>
        <v>0</v>
      </c>
      <c r="AH35" s="302">
        <f t="shared" si="5"/>
        <v>0</v>
      </c>
      <c r="AI35" s="302">
        <f t="shared" si="5"/>
        <v>50000</v>
      </c>
      <c r="AJ35" s="302">
        <f t="shared" si="5"/>
        <v>50000</v>
      </c>
      <c r="AK35" s="302">
        <f t="shared" si="5"/>
        <v>50000</v>
      </c>
      <c r="AL35" s="302">
        <f t="shared" si="5"/>
        <v>50000</v>
      </c>
      <c r="AM35" s="240"/>
      <c r="AN35" s="302">
        <f t="shared" si="4"/>
        <v>0</v>
      </c>
      <c r="AO35" s="302">
        <f t="shared" si="4"/>
        <v>0</v>
      </c>
      <c r="AP35" s="302">
        <f t="shared" si="4"/>
        <v>0</v>
      </c>
      <c r="AQ35" s="302">
        <f t="shared" si="4"/>
        <v>0</v>
      </c>
      <c r="AR35" s="302">
        <f t="shared" si="4"/>
        <v>0</v>
      </c>
      <c r="AS35" s="302">
        <f t="shared" si="4"/>
        <v>0</v>
      </c>
      <c r="AT35" s="302">
        <f t="shared" si="4"/>
        <v>0</v>
      </c>
      <c r="AU35" s="302">
        <f t="shared" si="4"/>
        <v>0</v>
      </c>
      <c r="AV35" s="302">
        <f t="shared" si="4"/>
        <v>0</v>
      </c>
      <c r="AW35" s="302">
        <f t="shared" si="4"/>
        <v>0</v>
      </c>
      <c r="AX35" s="302">
        <f t="shared" si="4"/>
        <v>0</v>
      </c>
      <c r="AY35" s="302">
        <f t="shared" si="4"/>
        <v>0</v>
      </c>
      <c r="AZ35" s="302">
        <f t="shared" si="4"/>
        <v>0</v>
      </c>
      <c r="BA35" s="302">
        <f t="shared" si="4"/>
        <v>0</v>
      </c>
      <c r="BB35" s="302">
        <f t="shared" si="4"/>
        <v>200000</v>
      </c>
      <c r="BD35" s="301">
        <f t="shared" si="6"/>
        <v>0</v>
      </c>
    </row>
    <row r="36" spans="1:56" ht="15">
      <c r="A36" s="297" t="s">
        <v>154</v>
      </c>
      <c r="B36" s="256" t="str">
        <f>VLOOKUP(A36,'DFP-Com'!$A$16:$B$50,2,1)</f>
        <v xml:space="preserve">     3.1 d Other</v>
      </c>
      <c r="C36" s="247" t="s">
        <v>224</v>
      </c>
      <c r="D36" s="234">
        <v>200000</v>
      </c>
      <c r="E36" s="297" t="s">
        <v>225</v>
      </c>
      <c r="Q36" s="300">
        <v>0.25</v>
      </c>
      <c r="R36" s="300">
        <v>0.25</v>
      </c>
      <c r="S36" s="300">
        <v>0.25</v>
      </c>
      <c r="T36" s="300">
        <v>0.25</v>
      </c>
      <c r="U36" s="300">
        <f t="shared" si="0"/>
        <v>1</v>
      </c>
      <c r="X36" s="302">
        <f t="shared" si="5"/>
        <v>0</v>
      </c>
      <c r="Y36" s="302">
        <f t="shared" si="5"/>
        <v>0</v>
      </c>
      <c r="Z36" s="302">
        <f t="shared" si="5"/>
        <v>0</v>
      </c>
      <c r="AA36" s="302">
        <f t="shared" si="5"/>
        <v>0</v>
      </c>
      <c r="AB36" s="302">
        <f t="shared" si="5"/>
        <v>0</v>
      </c>
      <c r="AC36" s="302">
        <f t="shared" si="5"/>
        <v>0</v>
      </c>
      <c r="AD36" s="302">
        <f t="shared" si="5"/>
        <v>0</v>
      </c>
      <c r="AE36" s="302">
        <f t="shared" si="5"/>
        <v>0</v>
      </c>
      <c r="AF36" s="302">
        <f t="shared" si="5"/>
        <v>0</v>
      </c>
      <c r="AG36" s="302">
        <f t="shared" si="5"/>
        <v>0</v>
      </c>
      <c r="AH36" s="302">
        <f t="shared" si="5"/>
        <v>0</v>
      </c>
      <c r="AI36" s="302">
        <f t="shared" si="5"/>
        <v>50000</v>
      </c>
      <c r="AJ36" s="302">
        <f t="shared" si="5"/>
        <v>50000</v>
      </c>
      <c r="AK36" s="302">
        <f t="shared" si="5"/>
        <v>50000</v>
      </c>
      <c r="AL36" s="302">
        <f t="shared" si="5"/>
        <v>50000</v>
      </c>
      <c r="AM36" s="240"/>
      <c r="AN36" s="302">
        <f aca="true" t="shared" si="7" ref="AN36:BB38">IF(AN$3=$E36,$D36,0)</f>
        <v>0</v>
      </c>
      <c r="AO36" s="302">
        <f t="shared" si="7"/>
        <v>0</v>
      </c>
      <c r="AP36" s="302">
        <f t="shared" si="7"/>
        <v>0</v>
      </c>
      <c r="AQ36" s="302">
        <f t="shared" si="7"/>
        <v>0</v>
      </c>
      <c r="AR36" s="302">
        <f t="shared" si="7"/>
        <v>0</v>
      </c>
      <c r="AS36" s="302">
        <f t="shared" si="7"/>
        <v>0</v>
      </c>
      <c r="AT36" s="302">
        <f t="shared" si="7"/>
        <v>0</v>
      </c>
      <c r="AU36" s="302">
        <f t="shared" si="7"/>
        <v>0</v>
      </c>
      <c r="AV36" s="302">
        <f t="shared" si="7"/>
        <v>0</v>
      </c>
      <c r="AW36" s="302">
        <f t="shared" si="7"/>
        <v>0</v>
      </c>
      <c r="AX36" s="302">
        <f t="shared" si="7"/>
        <v>0</v>
      </c>
      <c r="AY36" s="302">
        <f t="shared" si="7"/>
        <v>0</v>
      </c>
      <c r="AZ36" s="302">
        <f t="shared" si="7"/>
        <v>0</v>
      </c>
      <c r="BA36" s="302">
        <f t="shared" si="7"/>
        <v>0</v>
      </c>
      <c r="BB36" s="302">
        <f t="shared" si="7"/>
        <v>200000</v>
      </c>
      <c r="BD36" s="301">
        <f t="shared" si="6"/>
        <v>0</v>
      </c>
    </row>
    <row r="37" spans="1:56" ht="15">
      <c r="A37" s="297" t="s">
        <v>157</v>
      </c>
      <c r="B37" s="256" t="str">
        <f>VLOOKUP(A37,'DFP-Com'!$A$16:$B$50,2,1)</f>
        <v xml:space="preserve">     4.1.c  Audit</v>
      </c>
      <c r="C37" s="247" t="s">
        <v>195</v>
      </c>
      <c r="D37" s="323">
        <v>90000</v>
      </c>
      <c r="E37" s="297" t="s">
        <v>208</v>
      </c>
      <c r="K37" s="238"/>
      <c r="L37" s="238">
        <f>1/6</f>
        <v>0.16666666666666666</v>
      </c>
      <c r="M37" s="238">
        <f>1/6</f>
        <v>0.16666666666666666</v>
      </c>
      <c r="P37" s="238">
        <f>1/6</f>
        <v>0.16666666666666666</v>
      </c>
      <c r="Q37" s="238">
        <f>1/6</f>
        <v>0.16666666666666666</v>
      </c>
      <c r="T37" s="238">
        <f>1/3</f>
        <v>0.3333333333333333</v>
      </c>
      <c r="U37" s="300">
        <f t="shared" si="0"/>
        <v>1</v>
      </c>
      <c r="X37" s="302">
        <f t="shared" si="5"/>
        <v>0</v>
      </c>
      <c r="Y37" s="302">
        <f t="shared" si="5"/>
        <v>0</v>
      </c>
      <c r="Z37" s="302">
        <f t="shared" si="5"/>
        <v>0</v>
      </c>
      <c r="AA37" s="302">
        <f t="shared" si="5"/>
        <v>0</v>
      </c>
      <c r="AB37" s="302">
        <f t="shared" si="5"/>
        <v>0</v>
      </c>
      <c r="AC37" s="302">
        <f t="shared" si="5"/>
        <v>0</v>
      </c>
      <c r="AD37" s="302">
        <f t="shared" si="5"/>
        <v>15000</v>
      </c>
      <c r="AE37" s="302">
        <f t="shared" si="5"/>
        <v>15000</v>
      </c>
      <c r="AF37" s="302">
        <f t="shared" si="5"/>
        <v>0</v>
      </c>
      <c r="AG37" s="302">
        <f t="shared" si="5"/>
        <v>0</v>
      </c>
      <c r="AH37" s="302">
        <f t="shared" si="5"/>
        <v>15000</v>
      </c>
      <c r="AI37" s="302">
        <f t="shared" si="5"/>
        <v>15000</v>
      </c>
      <c r="AJ37" s="302">
        <f t="shared" si="5"/>
        <v>0</v>
      </c>
      <c r="AK37" s="302">
        <f t="shared" si="5"/>
        <v>0</v>
      </c>
      <c r="AL37" s="302">
        <f t="shared" si="5"/>
        <v>30000</v>
      </c>
      <c r="AM37" s="240"/>
      <c r="AN37" s="302">
        <f t="shared" si="7"/>
        <v>0</v>
      </c>
      <c r="AO37" s="302">
        <f t="shared" si="7"/>
        <v>0</v>
      </c>
      <c r="AP37" s="302">
        <f t="shared" si="7"/>
        <v>0</v>
      </c>
      <c r="AQ37" s="302">
        <f t="shared" si="7"/>
        <v>0</v>
      </c>
      <c r="AR37" s="302">
        <f t="shared" si="7"/>
        <v>90000</v>
      </c>
      <c r="AS37" s="302">
        <f t="shared" si="7"/>
        <v>0</v>
      </c>
      <c r="AT37" s="302">
        <f t="shared" si="7"/>
        <v>0</v>
      </c>
      <c r="AU37" s="302">
        <f t="shared" si="7"/>
        <v>0</v>
      </c>
      <c r="AV37" s="302">
        <f t="shared" si="7"/>
        <v>0</v>
      </c>
      <c r="AW37" s="302">
        <f t="shared" si="7"/>
        <v>0</v>
      </c>
      <c r="AX37" s="302">
        <f t="shared" si="7"/>
        <v>0</v>
      </c>
      <c r="AY37" s="302">
        <f t="shared" si="7"/>
        <v>0</v>
      </c>
      <c r="AZ37" s="302">
        <f t="shared" si="7"/>
        <v>0</v>
      </c>
      <c r="BA37" s="302">
        <f t="shared" si="7"/>
        <v>0</v>
      </c>
      <c r="BB37" s="302">
        <f t="shared" si="7"/>
        <v>0</v>
      </c>
      <c r="BD37" s="301">
        <f t="shared" si="6"/>
        <v>0</v>
      </c>
    </row>
    <row r="38" spans="1:56" ht="15">
      <c r="A38" s="297" t="s">
        <v>158</v>
      </c>
      <c r="B38" s="256" t="str">
        <f>VLOOKUP(A38,'DFP-Com'!$A$16:$B$50,2,1)</f>
        <v xml:space="preserve">     4.1.d  Other</v>
      </c>
      <c r="C38" s="247" t="s">
        <v>196</v>
      </c>
      <c r="D38" s="313">
        <v>11500</v>
      </c>
      <c r="E38" s="297" t="s">
        <v>207</v>
      </c>
      <c r="G38" s="312">
        <v>0.67</v>
      </c>
      <c r="H38" s="318">
        <v>0.33</v>
      </c>
      <c r="U38" s="300">
        <f t="shared" si="0"/>
        <v>1</v>
      </c>
      <c r="X38" s="302">
        <f aca="true" t="shared" si="8" ref="X38:AL38">F38*$D38</f>
        <v>0</v>
      </c>
      <c r="Y38" s="302">
        <f t="shared" si="8"/>
        <v>7705.000000000001</v>
      </c>
      <c r="Z38" s="302">
        <f t="shared" si="8"/>
        <v>3795</v>
      </c>
      <c r="AA38" s="302">
        <f t="shared" si="8"/>
        <v>0</v>
      </c>
      <c r="AB38" s="302">
        <f t="shared" si="8"/>
        <v>0</v>
      </c>
      <c r="AC38" s="302">
        <f t="shared" si="8"/>
        <v>0</v>
      </c>
      <c r="AD38" s="302">
        <f t="shared" si="8"/>
        <v>0</v>
      </c>
      <c r="AE38" s="302">
        <f t="shared" si="8"/>
        <v>0</v>
      </c>
      <c r="AF38" s="302">
        <f t="shared" si="8"/>
        <v>0</v>
      </c>
      <c r="AG38" s="302">
        <f t="shared" si="8"/>
        <v>0</v>
      </c>
      <c r="AH38" s="302">
        <f t="shared" si="8"/>
        <v>0</v>
      </c>
      <c r="AI38" s="302">
        <f t="shared" si="8"/>
        <v>0</v>
      </c>
      <c r="AJ38" s="302">
        <f t="shared" si="8"/>
        <v>0</v>
      </c>
      <c r="AK38" s="302">
        <f t="shared" si="8"/>
        <v>0</v>
      </c>
      <c r="AL38" s="302">
        <f t="shared" si="8"/>
        <v>0</v>
      </c>
      <c r="AM38" s="240"/>
      <c r="AN38" s="302">
        <f t="shared" si="7"/>
        <v>0</v>
      </c>
      <c r="AO38" s="302">
        <f t="shared" si="7"/>
        <v>11500</v>
      </c>
      <c r="AP38" s="302">
        <f t="shared" si="7"/>
        <v>0</v>
      </c>
      <c r="AQ38" s="302">
        <f t="shared" si="7"/>
        <v>0</v>
      </c>
      <c r="AR38" s="302">
        <f t="shared" si="7"/>
        <v>0</v>
      </c>
      <c r="AS38" s="302">
        <f t="shared" si="7"/>
        <v>0</v>
      </c>
      <c r="AT38" s="302">
        <f t="shared" si="7"/>
        <v>0</v>
      </c>
      <c r="AU38" s="302">
        <f t="shared" si="7"/>
        <v>0</v>
      </c>
      <c r="AV38" s="302">
        <f t="shared" si="7"/>
        <v>0</v>
      </c>
      <c r="AW38" s="302">
        <f t="shared" si="7"/>
        <v>0</v>
      </c>
      <c r="AX38" s="302">
        <f t="shared" si="7"/>
        <v>0</v>
      </c>
      <c r="AY38" s="302">
        <f t="shared" si="7"/>
        <v>0</v>
      </c>
      <c r="AZ38" s="302">
        <f t="shared" si="7"/>
        <v>0</v>
      </c>
      <c r="BA38" s="302">
        <f t="shared" si="7"/>
        <v>0</v>
      </c>
      <c r="BB38" s="302">
        <f t="shared" si="7"/>
        <v>0</v>
      </c>
      <c r="BD38" s="301">
        <f t="shared" si="6"/>
        <v>0</v>
      </c>
    </row>
    <row r="39" spans="2:56" ht="15">
      <c r="B39" s="256"/>
      <c r="C39" s="247"/>
      <c r="D39" s="234"/>
      <c r="Q39" s="300"/>
      <c r="R39" s="300"/>
      <c r="S39" s="300"/>
      <c r="T39" s="300"/>
      <c r="U39" s="300"/>
      <c r="X39" s="302"/>
      <c r="Y39" s="302"/>
      <c r="Z39" s="302"/>
      <c r="AA39" s="302"/>
      <c r="AB39" s="302"/>
      <c r="AC39" s="302"/>
      <c r="AD39" s="302"/>
      <c r="AE39" s="302"/>
      <c r="AF39" s="302"/>
      <c r="AG39" s="302"/>
      <c r="AH39" s="302"/>
      <c r="AI39" s="302"/>
      <c r="AJ39" s="302"/>
      <c r="AK39" s="302"/>
      <c r="AL39" s="302"/>
      <c r="AM39" s="240"/>
      <c r="AN39" s="302"/>
      <c r="AO39" s="302"/>
      <c r="AP39" s="302"/>
      <c r="AQ39" s="302"/>
      <c r="AR39" s="302"/>
      <c r="AS39" s="302"/>
      <c r="AT39" s="302"/>
      <c r="AU39" s="302"/>
      <c r="AV39" s="302"/>
      <c r="AW39" s="302"/>
      <c r="AX39" s="302"/>
      <c r="AY39" s="302"/>
      <c r="AZ39" s="302"/>
      <c r="BA39" s="302"/>
      <c r="BB39" s="302"/>
      <c r="BD39" s="301"/>
    </row>
    <row r="40" spans="2:56" ht="15">
      <c r="B40" s="237" t="e">
        <f>VLOOKUP(A40,'DFP-Com'!$A$16:$B$50,2,1)</f>
        <v>#N/A</v>
      </c>
      <c r="C40" s="297" t="s">
        <v>212</v>
      </c>
      <c r="D40" s="234"/>
      <c r="X40" s="302">
        <f aca="true" t="shared" si="9" ref="X40:AL40">F40*$D40</f>
        <v>0</v>
      </c>
      <c r="Y40" s="302">
        <f t="shared" si="9"/>
        <v>0</v>
      </c>
      <c r="Z40" s="302">
        <f t="shared" si="9"/>
        <v>0</v>
      </c>
      <c r="AA40" s="302">
        <f t="shared" si="9"/>
        <v>0</v>
      </c>
      <c r="AB40" s="302">
        <f t="shared" si="9"/>
        <v>0</v>
      </c>
      <c r="AC40" s="302">
        <f t="shared" si="9"/>
        <v>0</v>
      </c>
      <c r="AD40" s="302">
        <f t="shared" si="9"/>
        <v>0</v>
      </c>
      <c r="AE40" s="302">
        <f t="shared" si="9"/>
        <v>0</v>
      </c>
      <c r="AF40" s="302">
        <f t="shared" si="9"/>
        <v>0</v>
      </c>
      <c r="AG40" s="302">
        <f t="shared" si="9"/>
        <v>0</v>
      </c>
      <c r="AH40" s="302">
        <f t="shared" si="9"/>
        <v>0</v>
      </c>
      <c r="AI40" s="302">
        <f t="shared" si="9"/>
        <v>0</v>
      </c>
      <c r="AJ40" s="302">
        <f t="shared" si="9"/>
        <v>0</v>
      </c>
      <c r="AK40" s="302">
        <f t="shared" si="9"/>
        <v>0</v>
      </c>
      <c r="AL40" s="302">
        <f t="shared" si="9"/>
        <v>0</v>
      </c>
      <c r="AM40" s="240"/>
      <c r="AN40" s="302">
        <f aca="true" t="shared" si="10" ref="AN40:BB40">IF(AN$3=$E40,$D40,0)</f>
        <v>0</v>
      </c>
      <c r="AO40" s="302">
        <f t="shared" si="10"/>
        <v>0</v>
      </c>
      <c r="AP40" s="302">
        <f t="shared" si="10"/>
        <v>0</v>
      </c>
      <c r="AQ40" s="302">
        <f t="shared" si="10"/>
        <v>0</v>
      </c>
      <c r="AR40" s="302">
        <f t="shared" si="10"/>
        <v>0</v>
      </c>
      <c r="AS40" s="302">
        <f t="shared" si="10"/>
        <v>0</v>
      </c>
      <c r="AT40" s="302">
        <f t="shared" si="10"/>
        <v>0</v>
      </c>
      <c r="AU40" s="302">
        <f t="shared" si="10"/>
        <v>0</v>
      </c>
      <c r="AV40" s="302">
        <f t="shared" si="10"/>
        <v>0</v>
      </c>
      <c r="AW40" s="302">
        <f t="shared" si="10"/>
        <v>0</v>
      </c>
      <c r="AX40" s="302">
        <f t="shared" si="10"/>
        <v>0</v>
      </c>
      <c r="AY40" s="302">
        <f t="shared" si="10"/>
        <v>0</v>
      </c>
      <c r="AZ40" s="302">
        <f t="shared" si="10"/>
        <v>0</v>
      </c>
      <c r="BA40" s="302">
        <f t="shared" si="10"/>
        <v>0</v>
      </c>
      <c r="BB40" s="302">
        <f t="shared" si="10"/>
        <v>0</v>
      </c>
      <c r="BD40" s="301">
        <f aca="true" t="shared" si="11" ref="BD40:BD55">SUM(X40:AL40)-SUM(AN40:BB40)</f>
        <v>0</v>
      </c>
    </row>
    <row r="41" spans="4:56" ht="15">
      <c r="D41" s="297" t="s">
        <v>177</v>
      </c>
      <c r="F41" s="297" t="s">
        <v>160</v>
      </c>
      <c r="G41" s="297" t="s">
        <v>164</v>
      </c>
      <c r="H41" s="314" t="s">
        <v>165</v>
      </c>
      <c r="I41" s="297" t="s">
        <v>166</v>
      </c>
      <c r="J41" s="297" t="s">
        <v>167</v>
      </c>
      <c r="K41" s="297" t="s">
        <v>168</v>
      </c>
      <c r="L41" s="297" t="s">
        <v>169</v>
      </c>
      <c r="M41" s="297" t="s">
        <v>170</v>
      </c>
      <c r="N41" s="297" t="s">
        <v>171</v>
      </c>
      <c r="O41" s="297" t="s">
        <v>172</v>
      </c>
      <c r="P41" s="297" t="s">
        <v>173</v>
      </c>
      <c r="Q41" s="297" t="s">
        <v>174</v>
      </c>
      <c r="R41" s="297" t="s">
        <v>175</v>
      </c>
      <c r="S41" s="297" t="s">
        <v>176</v>
      </c>
      <c r="T41" s="297" t="s">
        <v>178</v>
      </c>
      <c r="U41" s="297" t="s">
        <v>177</v>
      </c>
      <c r="X41" s="302"/>
      <c r="Y41" s="302"/>
      <c r="Z41" s="302"/>
      <c r="AA41" s="302"/>
      <c r="AB41" s="302"/>
      <c r="AC41" s="302"/>
      <c r="AD41" s="302"/>
      <c r="AE41" s="302"/>
      <c r="AF41" s="302"/>
      <c r="AG41" s="302"/>
      <c r="AH41" s="302"/>
      <c r="AI41" s="302"/>
      <c r="AJ41" s="302"/>
      <c r="AK41" s="302"/>
      <c r="AL41" s="302"/>
      <c r="AM41" s="240"/>
      <c r="AN41" s="240"/>
      <c r="AO41" s="240"/>
      <c r="AP41" s="240"/>
      <c r="AQ41" s="240"/>
      <c r="AR41" s="240"/>
      <c r="AS41" s="240"/>
      <c r="AT41" s="240"/>
      <c r="AU41" s="240"/>
      <c r="AV41" s="240"/>
      <c r="AW41" s="240"/>
      <c r="AX41" s="240"/>
      <c r="AY41" s="240"/>
      <c r="AZ41" s="240"/>
      <c r="BA41" s="240"/>
      <c r="BB41" s="240"/>
      <c r="BD41" s="301">
        <f t="shared" si="11"/>
        <v>0</v>
      </c>
    </row>
    <row r="42" spans="1:56" ht="15">
      <c r="A42" s="236" t="s">
        <v>204</v>
      </c>
      <c r="B42" s="236"/>
      <c r="D42" s="234"/>
      <c r="X42" s="251"/>
      <c r="Y42" s="302"/>
      <c r="Z42" s="302"/>
      <c r="AA42" s="302"/>
      <c r="AB42" s="302"/>
      <c r="AC42" s="302"/>
      <c r="AD42" s="302"/>
      <c r="AE42" s="302"/>
      <c r="AF42" s="302"/>
      <c r="AG42" s="302"/>
      <c r="AH42" s="302"/>
      <c r="AI42" s="302"/>
      <c r="AJ42" s="302"/>
      <c r="AK42" s="302"/>
      <c r="AL42" s="302"/>
      <c r="AM42" s="240"/>
      <c r="AN42" s="239" t="s">
        <v>160</v>
      </c>
      <c r="AO42" s="239" t="s">
        <v>164</v>
      </c>
      <c r="AP42" s="239" t="s">
        <v>165</v>
      </c>
      <c r="AQ42" s="239" t="s">
        <v>166</v>
      </c>
      <c r="AR42" s="239" t="s">
        <v>160</v>
      </c>
      <c r="AS42" s="239" t="s">
        <v>164</v>
      </c>
      <c r="AT42" s="239" t="s">
        <v>165</v>
      </c>
      <c r="AU42" s="239" t="s">
        <v>166</v>
      </c>
      <c r="AV42" s="239" t="s">
        <v>160</v>
      </c>
      <c r="AW42" s="239" t="s">
        <v>164</v>
      </c>
      <c r="AX42" s="239" t="s">
        <v>165</v>
      </c>
      <c r="AY42" s="239" t="s">
        <v>166</v>
      </c>
      <c r="AZ42" s="239" t="s">
        <v>160</v>
      </c>
      <c r="BA42" s="239" t="s">
        <v>164</v>
      </c>
      <c r="BB42" s="239" t="s">
        <v>165</v>
      </c>
      <c r="BD42" s="301">
        <f t="shared" si="11"/>
        <v>0</v>
      </c>
    </row>
    <row r="43" spans="1:56" ht="15">
      <c r="A43" s="297" t="s">
        <v>145</v>
      </c>
      <c r="B43" s="245" t="str">
        <f>VLOOKUP(A43,'DFP-Com'!$A$16:$B$50,2,1)</f>
        <v xml:space="preserve">     1.3.b  Education Project Coordination team*</v>
      </c>
      <c r="C43" s="297" t="s">
        <v>183</v>
      </c>
      <c r="D43" s="234">
        <f aca="true" t="shared" si="12" ref="D43:D49">SUM(F43:T43)</f>
        <v>121400</v>
      </c>
      <c r="E43" s="297" t="s">
        <v>207</v>
      </c>
      <c r="G43" s="304">
        <v>4400</v>
      </c>
      <c r="H43" s="319">
        <v>9000</v>
      </c>
      <c r="I43" s="304">
        <v>9000</v>
      </c>
      <c r="J43" s="304">
        <v>9000</v>
      </c>
      <c r="K43" s="304">
        <v>9000</v>
      </c>
      <c r="L43" s="304">
        <v>9000</v>
      </c>
      <c r="M43" s="304">
        <v>9000</v>
      </c>
      <c r="N43" s="304">
        <v>9000</v>
      </c>
      <c r="O43" s="304">
        <v>9000</v>
      </c>
      <c r="P43" s="304">
        <v>9000</v>
      </c>
      <c r="Q43" s="304">
        <v>9000</v>
      </c>
      <c r="R43" s="304">
        <v>9000</v>
      </c>
      <c r="S43" s="304">
        <v>9000</v>
      </c>
      <c r="T43" s="304">
        <v>9000</v>
      </c>
      <c r="U43" s="304">
        <f>SUM(F43:T43)</f>
        <v>121400</v>
      </c>
      <c r="X43" s="251">
        <f aca="true" t="shared" si="13" ref="X43:AL51">F43</f>
        <v>0</v>
      </c>
      <c r="Y43" s="302">
        <f t="shared" si="13"/>
        <v>4400</v>
      </c>
      <c r="Z43" s="302">
        <f t="shared" si="13"/>
        <v>9000</v>
      </c>
      <c r="AA43" s="302">
        <f t="shared" si="13"/>
        <v>9000</v>
      </c>
      <c r="AB43" s="302">
        <f t="shared" si="13"/>
        <v>9000</v>
      </c>
      <c r="AC43" s="302">
        <f t="shared" si="13"/>
        <v>9000</v>
      </c>
      <c r="AD43" s="302">
        <f t="shared" si="13"/>
        <v>9000</v>
      </c>
      <c r="AE43" s="302">
        <f t="shared" si="13"/>
        <v>9000</v>
      </c>
      <c r="AF43" s="302">
        <f t="shared" si="13"/>
        <v>9000</v>
      </c>
      <c r="AG43" s="302">
        <f t="shared" si="13"/>
        <v>9000</v>
      </c>
      <c r="AH43" s="302">
        <f t="shared" si="13"/>
        <v>9000</v>
      </c>
      <c r="AI43" s="302">
        <f t="shared" si="13"/>
        <v>9000</v>
      </c>
      <c r="AJ43" s="302">
        <f t="shared" si="13"/>
        <v>9000</v>
      </c>
      <c r="AK43" s="302">
        <f t="shared" si="13"/>
        <v>9000</v>
      </c>
      <c r="AL43" s="302">
        <f t="shared" si="13"/>
        <v>9000</v>
      </c>
      <c r="AM43" s="240"/>
      <c r="AN43" s="302">
        <f>IF(AN$42=$E43,SUM(X43:AA43),0)</f>
        <v>0</v>
      </c>
      <c r="AO43" s="302">
        <f aca="true" t="shared" si="14" ref="AO43:AY51">IF(AO$42=$E43,SUM(Y43:AB43),0)</f>
        <v>31400</v>
      </c>
      <c r="AP43" s="302">
        <f t="shared" si="14"/>
        <v>0</v>
      </c>
      <c r="AQ43" s="302">
        <f t="shared" si="14"/>
        <v>0</v>
      </c>
      <c r="AR43" s="302">
        <f t="shared" si="14"/>
        <v>0</v>
      </c>
      <c r="AS43" s="302">
        <f t="shared" si="14"/>
        <v>36000</v>
      </c>
      <c r="AT43" s="302">
        <f t="shared" si="14"/>
        <v>0</v>
      </c>
      <c r="AU43" s="302">
        <f t="shared" si="14"/>
        <v>0</v>
      </c>
      <c r="AV43" s="302">
        <f t="shared" si="14"/>
        <v>0</v>
      </c>
      <c r="AW43" s="302">
        <f t="shared" si="14"/>
        <v>36000</v>
      </c>
      <c r="AX43" s="302">
        <f t="shared" si="14"/>
        <v>0</v>
      </c>
      <c r="AY43" s="302">
        <f t="shared" si="14"/>
        <v>0</v>
      </c>
      <c r="AZ43" s="302">
        <f>IF(AZ$42=$E43,SUM(AJ43:$AL43),0)</f>
        <v>0</v>
      </c>
      <c r="BA43" s="302">
        <f>IF(BA$42=$E43,SUM(AK43:$AL43),0)</f>
        <v>18000</v>
      </c>
      <c r="BB43" s="302">
        <f>IF(BB$42=$E43,SUM(AL43:$AL43),0)</f>
        <v>0</v>
      </c>
      <c r="BD43" s="301">
        <f t="shared" si="11"/>
        <v>0</v>
      </c>
    </row>
    <row r="44" spans="1:56" ht="15">
      <c r="A44" s="297" t="s">
        <v>145</v>
      </c>
      <c r="B44" s="245" t="str">
        <f>VLOOKUP(A44,'DFP-Com'!$A$16:$B$50,2,1)</f>
        <v xml:space="preserve">     1.3.b  Education Project Coordination team*</v>
      </c>
      <c r="C44" s="297" t="s">
        <v>202</v>
      </c>
      <c r="D44" s="234">
        <f t="shared" si="12"/>
        <v>57000</v>
      </c>
      <c r="E44" s="297" t="s">
        <v>179</v>
      </c>
      <c r="G44" s="297">
        <v>0</v>
      </c>
      <c r="H44" s="319">
        <v>3000</v>
      </c>
      <c r="I44" s="304">
        <v>4500</v>
      </c>
      <c r="J44" s="304">
        <v>4500</v>
      </c>
      <c r="K44" s="304">
        <v>4500</v>
      </c>
      <c r="L44" s="304">
        <v>4500</v>
      </c>
      <c r="M44" s="304">
        <v>4500</v>
      </c>
      <c r="N44" s="304">
        <v>4500</v>
      </c>
      <c r="O44" s="304">
        <v>4500</v>
      </c>
      <c r="P44" s="304">
        <v>4500</v>
      </c>
      <c r="Q44" s="304">
        <v>4500</v>
      </c>
      <c r="R44" s="304">
        <v>4500</v>
      </c>
      <c r="S44" s="304">
        <v>4500</v>
      </c>
      <c r="T44" s="304">
        <v>4500</v>
      </c>
      <c r="U44" s="304">
        <f aca="true" t="shared" si="15" ref="U44:U55">SUM(F44:T44)</f>
        <v>57000</v>
      </c>
      <c r="X44" s="251">
        <f t="shared" si="13"/>
        <v>0</v>
      </c>
      <c r="Y44" s="302">
        <f t="shared" si="13"/>
        <v>0</v>
      </c>
      <c r="Z44" s="302">
        <f t="shared" si="13"/>
        <v>3000</v>
      </c>
      <c r="AA44" s="302">
        <f t="shared" si="13"/>
        <v>4500</v>
      </c>
      <c r="AB44" s="302">
        <f t="shared" si="13"/>
        <v>4500</v>
      </c>
      <c r="AC44" s="302">
        <f t="shared" si="13"/>
        <v>4500</v>
      </c>
      <c r="AD44" s="302">
        <f t="shared" si="13"/>
        <v>4500</v>
      </c>
      <c r="AE44" s="302">
        <f t="shared" si="13"/>
        <v>4500</v>
      </c>
      <c r="AF44" s="302">
        <f t="shared" si="13"/>
        <v>4500</v>
      </c>
      <c r="AG44" s="302">
        <f t="shared" si="13"/>
        <v>4500</v>
      </c>
      <c r="AH44" s="302">
        <f t="shared" si="13"/>
        <v>4500</v>
      </c>
      <c r="AI44" s="302">
        <f t="shared" si="13"/>
        <v>4500</v>
      </c>
      <c r="AJ44" s="302">
        <f t="shared" si="13"/>
        <v>4500</v>
      </c>
      <c r="AK44" s="302">
        <f t="shared" si="13"/>
        <v>4500</v>
      </c>
      <c r="AL44" s="302">
        <f t="shared" si="13"/>
        <v>4500</v>
      </c>
      <c r="AM44" s="240"/>
      <c r="AN44" s="302">
        <f aca="true" t="shared" si="16" ref="AN44:AN51">IF(AN$42=$E44,SUM(X44:AA44),0)</f>
        <v>0</v>
      </c>
      <c r="AO44" s="302">
        <f t="shared" si="14"/>
        <v>0</v>
      </c>
      <c r="AP44" s="302">
        <f t="shared" si="14"/>
        <v>16500</v>
      </c>
      <c r="AQ44" s="302">
        <f t="shared" si="14"/>
        <v>0</v>
      </c>
      <c r="AR44" s="302">
        <f t="shared" si="14"/>
        <v>0</v>
      </c>
      <c r="AS44" s="302">
        <f t="shared" si="14"/>
        <v>0</v>
      </c>
      <c r="AT44" s="302">
        <f t="shared" si="14"/>
        <v>18000</v>
      </c>
      <c r="AU44" s="302">
        <f t="shared" si="14"/>
        <v>0</v>
      </c>
      <c r="AV44" s="302">
        <f t="shared" si="14"/>
        <v>0</v>
      </c>
      <c r="AW44" s="302">
        <f t="shared" si="14"/>
        <v>0</v>
      </c>
      <c r="AX44" s="302">
        <f t="shared" si="14"/>
        <v>18000</v>
      </c>
      <c r="AY44" s="302">
        <f t="shared" si="14"/>
        <v>0</v>
      </c>
      <c r="AZ44" s="302">
        <f>IF(AZ$42=$E44,SUM(AJ44:$AL44),0)</f>
        <v>0</v>
      </c>
      <c r="BA44" s="302">
        <f>IF(BA$42=$E44,SUM(AK44:$AL44),0)</f>
        <v>0</v>
      </c>
      <c r="BB44" s="302">
        <f>IF(BB$42=$E44,SUM(AL44:$AL44),0)</f>
        <v>4500</v>
      </c>
      <c r="BD44" s="301">
        <f t="shared" si="11"/>
        <v>0</v>
      </c>
    </row>
    <row r="45" spans="1:56" ht="15">
      <c r="A45" s="297" t="s">
        <v>155</v>
      </c>
      <c r="B45" s="256" t="str">
        <f>VLOOKUP(A45,'DFP-Com'!$A$16:$B$50,2,1)</f>
        <v xml:space="preserve">     4.1.a  Staff Compensation*</v>
      </c>
      <c r="C45" s="297" t="s">
        <v>194</v>
      </c>
      <c r="D45" s="234">
        <f t="shared" si="12"/>
        <v>181000</v>
      </c>
      <c r="E45" s="297" t="s">
        <v>209</v>
      </c>
      <c r="F45" s="304">
        <v>10000</v>
      </c>
      <c r="G45" s="304">
        <f>15000</f>
        <v>15000</v>
      </c>
      <c r="H45" s="319">
        <v>12000</v>
      </c>
      <c r="I45" s="304">
        <v>12000</v>
      </c>
      <c r="J45" s="304">
        <v>12000</v>
      </c>
      <c r="K45" s="304">
        <v>12000</v>
      </c>
      <c r="L45" s="304">
        <v>12000</v>
      </c>
      <c r="M45" s="304">
        <v>12000</v>
      </c>
      <c r="N45" s="304">
        <v>12000</v>
      </c>
      <c r="O45" s="304">
        <v>12000</v>
      </c>
      <c r="P45" s="304">
        <v>12000</v>
      </c>
      <c r="Q45" s="304">
        <v>12000</v>
      </c>
      <c r="R45" s="304">
        <v>12000</v>
      </c>
      <c r="S45" s="304">
        <v>12000</v>
      </c>
      <c r="T45" s="304">
        <v>12000</v>
      </c>
      <c r="U45" s="304">
        <f t="shared" si="15"/>
        <v>181000</v>
      </c>
      <c r="X45" s="251">
        <f t="shared" si="13"/>
        <v>10000</v>
      </c>
      <c r="Y45" s="302">
        <f t="shared" si="13"/>
        <v>15000</v>
      </c>
      <c r="Z45" s="302">
        <f t="shared" si="13"/>
        <v>12000</v>
      </c>
      <c r="AA45" s="302">
        <f t="shared" si="13"/>
        <v>12000</v>
      </c>
      <c r="AB45" s="302">
        <f t="shared" si="13"/>
        <v>12000</v>
      </c>
      <c r="AC45" s="302">
        <f t="shared" si="13"/>
        <v>12000</v>
      </c>
      <c r="AD45" s="302">
        <f t="shared" si="13"/>
        <v>12000</v>
      </c>
      <c r="AE45" s="302">
        <f t="shared" si="13"/>
        <v>12000</v>
      </c>
      <c r="AF45" s="302">
        <f t="shared" si="13"/>
        <v>12000</v>
      </c>
      <c r="AG45" s="302">
        <f t="shared" si="13"/>
        <v>12000</v>
      </c>
      <c r="AH45" s="302">
        <f t="shared" si="13"/>
        <v>12000</v>
      </c>
      <c r="AI45" s="302">
        <f t="shared" si="13"/>
        <v>12000</v>
      </c>
      <c r="AJ45" s="302">
        <f t="shared" si="13"/>
        <v>12000</v>
      </c>
      <c r="AK45" s="302">
        <f t="shared" si="13"/>
        <v>12000</v>
      </c>
      <c r="AL45" s="302">
        <f t="shared" si="13"/>
        <v>12000</v>
      </c>
      <c r="AM45" s="240"/>
      <c r="AN45" s="302">
        <f t="shared" si="16"/>
        <v>49000</v>
      </c>
      <c r="AO45" s="302">
        <f t="shared" si="14"/>
        <v>0</v>
      </c>
      <c r="AP45" s="302">
        <f t="shared" si="14"/>
        <v>0</v>
      </c>
      <c r="AQ45" s="302">
        <f t="shared" si="14"/>
        <v>0</v>
      </c>
      <c r="AR45" s="302">
        <f t="shared" si="14"/>
        <v>48000</v>
      </c>
      <c r="AS45" s="302">
        <f t="shared" si="14"/>
        <v>0</v>
      </c>
      <c r="AT45" s="302">
        <f t="shared" si="14"/>
        <v>0</v>
      </c>
      <c r="AU45" s="302">
        <f t="shared" si="14"/>
        <v>0</v>
      </c>
      <c r="AV45" s="302">
        <f t="shared" si="14"/>
        <v>48000</v>
      </c>
      <c r="AW45" s="302">
        <f t="shared" si="14"/>
        <v>0</v>
      </c>
      <c r="AX45" s="302">
        <f t="shared" si="14"/>
        <v>0</v>
      </c>
      <c r="AY45" s="302">
        <f t="shared" si="14"/>
        <v>0</v>
      </c>
      <c r="AZ45" s="302">
        <f>IF(AZ$42=$E45,SUM(AJ45:$AL45),0)</f>
        <v>36000</v>
      </c>
      <c r="BA45" s="302">
        <f>IF(BA$42=$E45,SUM(AK45:$AL45),0)</f>
        <v>0</v>
      </c>
      <c r="BB45" s="302">
        <f>IF(BB$42=$E45,SUM(AL45:$AL45),0)</f>
        <v>0</v>
      </c>
      <c r="BD45" s="301">
        <f t="shared" si="11"/>
        <v>0</v>
      </c>
    </row>
    <row r="46" spans="1:56" ht="15">
      <c r="A46" s="297" t="s">
        <v>155</v>
      </c>
      <c r="B46" s="256" t="str">
        <f>VLOOKUP(A46,'DFP-Com'!$A$16:$B$50,2,1)</f>
        <v xml:space="preserve">     4.1.a  Staff Compensation*</v>
      </c>
      <c r="C46" s="297" t="s">
        <v>247</v>
      </c>
      <c r="D46" s="234">
        <f t="shared" si="12"/>
        <v>57000</v>
      </c>
      <c r="E46" s="297" t="s">
        <v>179</v>
      </c>
      <c r="G46" s="304">
        <v>0</v>
      </c>
      <c r="H46" s="319">
        <f>3000</f>
        <v>3000</v>
      </c>
      <c r="I46" s="304">
        <v>4500</v>
      </c>
      <c r="J46" s="304">
        <v>4500</v>
      </c>
      <c r="K46" s="304">
        <v>4500</v>
      </c>
      <c r="L46" s="304">
        <v>4500</v>
      </c>
      <c r="M46" s="304">
        <v>4500</v>
      </c>
      <c r="N46" s="304">
        <v>4500</v>
      </c>
      <c r="O46" s="304">
        <v>4500</v>
      </c>
      <c r="P46" s="304">
        <v>4500</v>
      </c>
      <c r="Q46" s="304">
        <v>4500</v>
      </c>
      <c r="R46" s="304">
        <v>4500</v>
      </c>
      <c r="S46" s="304">
        <v>4500</v>
      </c>
      <c r="T46" s="304">
        <v>4500</v>
      </c>
      <c r="U46" s="304">
        <f t="shared" si="15"/>
        <v>57000</v>
      </c>
      <c r="X46" s="251">
        <f t="shared" si="13"/>
        <v>0</v>
      </c>
      <c r="Y46" s="302">
        <f t="shared" si="13"/>
        <v>0</v>
      </c>
      <c r="Z46" s="302">
        <f t="shared" si="13"/>
        <v>3000</v>
      </c>
      <c r="AA46" s="302">
        <f t="shared" si="13"/>
        <v>4500</v>
      </c>
      <c r="AB46" s="302">
        <f t="shared" si="13"/>
        <v>4500</v>
      </c>
      <c r="AC46" s="302">
        <f t="shared" si="13"/>
        <v>4500</v>
      </c>
      <c r="AD46" s="302">
        <f t="shared" si="13"/>
        <v>4500</v>
      </c>
      <c r="AE46" s="302">
        <f t="shared" si="13"/>
        <v>4500</v>
      </c>
      <c r="AF46" s="302">
        <f t="shared" si="13"/>
        <v>4500</v>
      </c>
      <c r="AG46" s="302">
        <f t="shared" si="13"/>
        <v>4500</v>
      </c>
      <c r="AH46" s="302">
        <f t="shared" si="13"/>
        <v>4500</v>
      </c>
      <c r="AI46" s="302">
        <f t="shared" si="13"/>
        <v>4500</v>
      </c>
      <c r="AJ46" s="302">
        <f t="shared" si="13"/>
        <v>4500</v>
      </c>
      <c r="AK46" s="302">
        <f t="shared" si="13"/>
        <v>4500</v>
      </c>
      <c r="AL46" s="302">
        <f t="shared" si="13"/>
        <v>4500</v>
      </c>
      <c r="AM46" s="240"/>
      <c r="AN46" s="302">
        <f t="shared" si="16"/>
        <v>0</v>
      </c>
      <c r="AO46" s="302">
        <f t="shared" si="14"/>
        <v>0</v>
      </c>
      <c r="AP46" s="302">
        <f>IF(AP$42=$E46,SUM(Z46:AC46),0)</f>
        <v>16500</v>
      </c>
      <c r="AQ46" s="302">
        <f t="shared" si="14"/>
        <v>0</v>
      </c>
      <c r="AR46" s="302">
        <f t="shared" si="14"/>
        <v>0</v>
      </c>
      <c r="AS46" s="302">
        <f t="shared" si="14"/>
        <v>0</v>
      </c>
      <c r="AT46" s="302">
        <f t="shared" si="14"/>
        <v>18000</v>
      </c>
      <c r="AU46" s="302">
        <f t="shared" si="14"/>
        <v>0</v>
      </c>
      <c r="AV46" s="302">
        <f t="shared" si="14"/>
        <v>0</v>
      </c>
      <c r="AW46" s="302">
        <f t="shared" si="14"/>
        <v>0</v>
      </c>
      <c r="AX46" s="302">
        <f t="shared" si="14"/>
        <v>18000</v>
      </c>
      <c r="AY46" s="302">
        <f t="shared" si="14"/>
        <v>0</v>
      </c>
      <c r="AZ46" s="302">
        <f>IF(AZ$42=$E46,SUM(AJ46:$AL46),0)</f>
        <v>0</v>
      </c>
      <c r="BA46" s="302">
        <f>IF(BA$42=$E46,SUM(AK46:$AL46),0)</f>
        <v>0</v>
      </c>
      <c r="BB46" s="302">
        <f>IF(BB$42=$E46,SUM(AL46:$AL46),0)</f>
        <v>4500</v>
      </c>
      <c r="BD46" s="301">
        <f t="shared" si="11"/>
        <v>0</v>
      </c>
    </row>
    <row r="47" spans="1:56" ht="15">
      <c r="A47" s="297" t="s">
        <v>155</v>
      </c>
      <c r="B47" s="256" t="str">
        <f>VLOOKUP(A47,'DFP-Com'!$A$16:$B$50,2,1)</f>
        <v xml:space="preserve">     4.1.a  Staff Compensation*</v>
      </c>
      <c r="C47" s="297" t="s">
        <v>199</v>
      </c>
      <c r="D47" s="234">
        <f t="shared" si="12"/>
        <v>147000</v>
      </c>
      <c r="E47" s="297" t="s">
        <v>207</v>
      </c>
      <c r="G47" s="304">
        <v>10500</v>
      </c>
      <c r="H47" s="319">
        <f>3500*3</f>
        <v>10500</v>
      </c>
      <c r="I47" s="304">
        <v>10500</v>
      </c>
      <c r="J47" s="304">
        <v>10500</v>
      </c>
      <c r="K47" s="304">
        <v>10500</v>
      </c>
      <c r="L47" s="304">
        <v>10500</v>
      </c>
      <c r="M47" s="304">
        <v>10500</v>
      </c>
      <c r="N47" s="304">
        <v>10500</v>
      </c>
      <c r="O47" s="304">
        <v>10500</v>
      </c>
      <c r="P47" s="304">
        <v>10500</v>
      </c>
      <c r="Q47" s="304">
        <v>10500</v>
      </c>
      <c r="R47" s="304">
        <v>10500</v>
      </c>
      <c r="S47" s="304">
        <v>10500</v>
      </c>
      <c r="T47" s="304">
        <v>10500</v>
      </c>
      <c r="U47" s="304">
        <f t="shared" si="15"/>
        <v>147000</v>
      </c>
      <c r="X47" s="251">
        <f t="shared" si="13"/>
        <v>0</v>
      </c>
      <c r="Y47" s="302">
        <f t="shared" si="13"/>
        <v>10500</v>
      </c>
      <c r="Z47" s="302">
        <f t="shared" si="13"/>
        <v>10500</v>
      </c>
      <c r="AA47" s="302">
        <f t="shared" si="13"/>
        <v>10500</v>
      </c>
      <c r="AB47" s="302">
        <f t="shared" si="13"/>
        <v>10500</v>
      </c>
      <c r="AC47" s="302">
        <f t="shared" si="13"/>
        <v>10500</v>
      </c>
      <c r="AD47" s="302">
        <f t="shared" si="13"/>
        <v>10500</v>
      </c>
      <c r="AE47" s="302">
        <f t="shared" si="13"/>
        <v>10500</v>
      </c>
      <c r="AF47" s="302">
        <f t="shared" si="13"/>
        <v>10500</v>
      </c>
      <c r="AG47" s="302">
        <f t="shared" si="13"/>
        <v>10500</v>
      </c>
      <c r="AH47" s="302">
        <f t="shared" si="13"/>
        <v>10500</v>
      </c>
      <c r="AI47" s="302">
        <f t="shared" si="13"/>
        <v>10500</v>
      </c>
      <c r="AJ47" s="302">
        <f t="shared" si="13"/>
        <v>10500</v>
      </c>
      <c r="AK47" s="302">
        <f t="shared" si="13"/>
        <v>10500</v>
      </c>
      <c r="AL47" s="302">
        <f t="shared" si="13"/>
        <v>10500</v>
      </c>
      <c r="AM47" s="240"/>
      <c r="AN47" s="302">
        <f t="shared" si="16"/>
        <v>0</v>
      </c>
      <c r="AO47" s="302">
        <f t="shared" si="14"/>
        <v>42000</v>
      </c>
      <c r="AP47" s="302">
        <f t="shared" si="14"/>
        <v>0</v>
      </c>
      <c r="AQ47" s="302">
        <f t="shared" si="14"/>
        <v>0</v>
      </c>
      <c r="AR47" s="302">
        <f t="shared" si="14"/>
        <v>0</v>
      </c>
      <c r="AS47" s="302">
        <f t="shared" si="14"/>
        <v>42000</v>
      </c>
      <c r="AT47" s="302">
        <f t="shared" si="14"/>
        <v>0</v>
      </c>
      <c r="AU47" s="302">
        <f t="shared" si="14"/>
        <v>0</v>
      </c>
      <c r="AV47" s="302">
        <f t="shared" si="14"/>
        <v>0</v>
      </c>
      <c r="AW47" s="302">
        <f t="shared" si="14"/>
        <v>42000</v>
      </c>
      <c r="AX47" s="302">
        <f t="shared" si="14"/>
        <v>0</v>
      </c>
      <c r="AY47" s="302">
        <f t="shared" si="14"/>
        <v>0</v>
      </c>
      <c r="AZ47" s="302">
        <f>IF(AZ$42=$E47,SUM(AJ47:$AL47),0)</f>
        <v>0</v>
      </c>
      <c r="BA47" s="302">
        <f>IF(BA$42=$E47,SUM(AK47:$AL47),0)</f>
        <v>21000</v>
      </c>
      <c r="BB47" s="302">
        <f>IF(BB$42=$E47,SUM(AL47:$AL47),0)</f>
        <v>0</v>
      </c>
      <c r="BD47" s="301">
        <f t="shared" si="11"/>
        <v>0</v>
      </c>
    </row>
    <row r="48" spans="1:56" ht="15">
      <c r="A48" s="297" t="s">
        <v>155</v>
      </c>
      <c r="B48" s="256" t="str">
        <f>VLOOKUP(A48,'DFP-Com'!$A$16:$B$50,2,1)</f>
        <v xml:space="preserve">     4.1.a  Staff Compensation*</v>
      </c>
      <c r="C48" s="297" t="s">
        <v>200</v>
      </c>
      <c r="D48" s="234">
        <f t="shared" si="12"/>
        <v>89760</v>
      </c>
      <c r="E48" s="297" t="s">
        <v>207</v>
      </c>
      <c r="G48" s="304">
        <v>3960</v>
      </c>
      <c r="H48" s="319">
        <f>2200*3</f>
        <v>6600</v>
      </c>
      <c r="I48" s="304">
        <f aca="true" t="shared" si="17" ref="I48:T49">2200*3</f>
        <v>6600</v>
      </c>
      <c r="J48" s="304">
        <f t="shared" si="17"/>
        <v>6600</v>
      </c>
      <c r="K48" s="304">
        <f t="shared" si="17"/>
        <v>6600</v>
      </c>
      <c r="L48" s="304">
        <f t="shared" si="17"/>
        <v>6600</v>
      </c>
      <c r="M48" s="304">
        <f t="shared" si="17"/>
        <v>6600</v>
      </c>
      <c r="N48" s="304">
        <f t="shared" si="17"/>
        <v>6600</v>
      </c>
      <c r="O48" s="304">
        <f t="shared" si="17"/>
        <v>6600</v>
      </c>
      <c r="P48" s="304">
        <f t="shared" si="17"/>
        <v>6600</v>
      </c>
      <c r="Q48" s="304">
        <f t="shared" si="17"/>
        <v>6600</v>
      </c>
      <c r="R48" s="304">
        <f t="shared" si="17"/>
        <v>6600</v>
      </c>
      <c r="S48" s="304">
        <f t="shared" si="17"/>
        <v>6600</v>
      </c>
      <c r="T48" s="304">
        <f t="shared" si="17"/>
        <v>6600</v>
      </c>
      <c r="U48" s="304">
        <f t="shared" si="15"/>
        <v>89760</v>
      </c>
      <c r="X48" s="251">
        <f t="shared" si="13"/>
        <v>0</v>
      </c>
      <c r="Y48" s="302">
        <f t="shared" si="13"/>
        <v>3960</v>
      </c>
      <c r="Z48" s="302">
        <f t="shared" si="13"/>
        <v>6600</v>
      </c>
      <c r="AA48" s="302">
        <f t="shared" si="13"/>
        <v>6600</v>
      </c>
      <c r="AB48" s="302">
        <f t="shared" si="13"/>
        <v>6600</v>
      </c>
      <c r="AC48" s="302">
        <f t="shared" si="13"/>
        <v>6600</v>
      </c>
      <c r="AD48" s="302">
        <f t="shared" si="13"/>
        <v>6600</v>
      </c>
      <c r="AE48" s="302">
        <f t="shared" si="13"/>
        <v>6600</v>
      </c>
      <c r="AF48" s="302">
        <f t="shared" si="13"/>
        <v>6600</v>
      </c>
      <c r="AG48" s="302">
        <f t="shared" si="13"/>
        <v>6600</v>
      </c>
      <c r="AH48" s="302">
        <f t="shared" si="13"/>
        <v>6600</v>
      </c>
      <c r="AI48" s="302">
        <f t="shared" si="13"/>
        <v>6600</v>
      </c>
      <c r="AJ48" s="302">
        <f t="shared" si="13"/>
        <v>6600</v>
      </c>
      <c r="AK48" s="302">
        <f t="shared" si="13"/>
        <v>6600</v>
      </c>
      <c r="AL48" s="302">
        <f t="shared" si="13"/>
        <v>6600</v>
      </c>
      <c r="AM48" s="240"/>
      <c r="AN48" s="302">
        <f t="shared" si="16"/>
        <v>0</v>
      </c>
      <c r="AO48" s="302">
        <f t="shared" si="14"/>
        <v>23760</v>
      </c>
      <c r="AP48" s="302">
        <f t="shared" si="14"/>
        <v>0</v>
      </c>
      <c r="AQ48" s="302">
        <f t="shared" si="14"/>
        <v>0</v>
      </c>
      <c r="AR48" s="302">
        <f t="shared" si="14"/>
        <v>0</v>
      </c>
      <c r="AS48" s="302">
        <f t="shared" si="14"/>
        <v>26400</v>
      </c>
      <c r="AT48" s="302">
        <f t="shared" si="14"/>
        <v>0</v>
      </c>
      <c r="AU48" s="302">
        <f t="shared" si="14"/>
        <v>0</v>
      </c>
      <c r="AV48" s="302">
        <f t="shared" si="14"/>
        <v>0</v>
      </c>
      <c r="AW48" s="302">
        <f t="shared" si="14"/>
        <v>26400</v>
      </c>
      <c r="AX48" s="302">
        <f t="shared" si="14"/>
        <v>0</v>
      </c>
      <c r="AY48" s="302">
        <f t="shared" si="14"/>
        <v>0</v>
      </c>
      <c r="AZ48" s="302">
        <f>IF(AZ$42=$E48,SUM(AJ48:$AL48),0)</f>
        <v>0</v>
      </c>
      <c r="BA48" s="302">
        <f>IF(BA$42=$E48,SUM(AK48:$AL48),0)</f>
        <v>13200</v>
      </c>
      <c r="BB48" s="302">
        <f>IF(BB$42=$E48,SUM(AL48:$AL48),0)</f>
        <v>0</v>
      </c>
      <c r="BD48" s="301">
        <f t="shared" si="11"/>
        <v>0</v>
      </c>
    </row>
    <row r="49" spans="1:56" ht="15">
      <c r="A49" s="297" t="s">
        <v>155</v>
      </c>
      <c r="B49" s="256" t="str">
        <f>VLOOKUP(A49,'DFP-Com'!$A$16:$B$50,2,1)</f>
        <v xml:space="preserve">     4.1.a  Staff Compensation*</v>
      </c>
      <c r="C49" s="297" t="s">
        <v>201</v>
      </c>
      <c r="D49" s="234">
        <f t="shared" si="12"/>
        <v>89760</v>
      </c>
      <c r="E49" s="297" t="s">
        <v>207</v>
      </c>
      <c r="G49" s="304">
        <v>3960</v>
      </c>
      <c r="H49" s="319">
        <f>2200*3</f>
        <v>6600</v>
      </c>
      <c r="I49" s="304">
        <f t="shared" si="17"/>
        <v>6600</v>
      </c>
      <c r="J49" s="304">
        <f t="shared" si="17"/>
        <v>6600</v>
      </c>
      <c r="K49" s="304">
        <f t="shared" si="17"/>
        <v>6600</v>
      </c>
      <c r="L49" s="304">
        <f t="shared" si="17"/>
        <v>6600</v>
      </c>
      <c r="M49" s="304">
        <f t="shared" si="17"/>
        <v>6600</v>
      </c>
      <c r="N49" s="304">
        <f t="shared" si="17"/>
        <v>6600</v>
      </c>
      <c r="O49" s="304">
        <f t="shared" si="17"/>
        <v>6600</v>
      </c>
      <c r="P49" s="304">
        <f t="shared" si="17"/>
        <v>6600</v>
      </c>
      <c r="Q49" s="304">
        <f t="shared" si="17"/>
        <v>6600</v>
      </c>
      <c r="R49" s="304">
        <f t="shared" si="17"/>
        <v>6600</v>
      </c>
      <c r="S49" s="304">
        <f t="shared" si="17"/>
        <v>6600</v>
      </c>
      <c r="T49" s="304">
        <f t="shared" si="17"/>
        <v>6600</v>
      </c>
      <c r="U49" s="304">
        <f t="shared" si="15"/>
        <v>89760</v>
      </c>
      <c r="X49" s="251">
        <f t="shared" si="13"/>
        <v>0</v>
      </c>
      <c r="Y49" s="302">
        <f t="shared" si="13"/>
        <v>3960</v>
      </c>
      <c r="Z49" s="302">
        <f t="shared" si="13"/>
        <v>6600</v>
      </c>
      <c r="AA49" s="302">
        <f t="shared" si="13"/>
        <v>6600</v>
      </c>
      <c r="AB49" s="302">
        <f t="shared" si="13"/>
        <v>6600</v>
      </c>
      <c r="AC49" s="302">
        <f t="shared" si="13"/>
        <v>6600</v>
      </c>
      <c r="AD49" s="302">
        <f t="shared" si="13"/>
        <v>6600</v>
      </c>
      <c r="AE49" s="302">
        <f t="shared" si="13"/>
        <v>6600</v>
      </c>
      <c r="AF49" s="302">
        <f t="shared" si="13"/>
        <v>6600</v>
      </c>
      <c r="AG49" s="302">
        <f t="shared" si="13"/>
        <v>6600</v>
      </c>
      <c r="AH49" s="302">
        <f t="shared" si="13"/>
        <v>6600</v>
      </c>
      <c r="AI49" s="302">
        <f t="shared" si="13"/>
        <v>6600</v>
      </c>
      <c r="AJ49" s="302">
        <f t="shared" si="13"/>
        <v>6600</v>
      </c>
      <c r="AK49" s="302">
        <f t="shared" si="13"/>
        <v>6600</v>
      </c>
      <c r="AL49" s="302">
        <f t="shared" si="13"/>
        <v>6600</v>
      </c>
      <c r="AM49" s="240"/>
      <c r="AN49" s="302">
        <f t="shared" si="16"/>
        <v>0</v>
      </c>
      <c r="AO49" s="302">
        <f t="shared" si="14"/>
        <v>23760</v>
      </c>
      <c r="AP49" s="302">
        <f t="shared" si="14"/>
        <v>0</v>
      </c>
      <c r="AQ49" s="302">
        <f t="shared" si="14"/>
        <v>0</v>
      </c>
      <c r="AR49" s="302">
        <f t="shared" si="14"/>
        <v>0</v>
      </c>
      <c r="AS49" s="302">
        <f t="shared" si="14"/>
        <v>26400</v>
      </c>
      <c r="AT49" s="302">
        <f t="shared" si="14"/>
        <v>0</v>
      </c>
      <c r="AU49" s="302">
        <f t="shared" si="14"/>
        <v>0</v>
      </c>
      <c r="AV49" s="302">
        <f t="shared" si="14"/>
        <v>0</v>
      </c>
      <c r="AW49" s="302">
        <f t="shared" si="14"/>
        <v>26400</v>
      </c>
      <c r="AX49" s="302">
        <f t="shared" si="14"/>
        <v>0</v>
      </c>
      <c r="AY49" s="302">
        <f t="shared" si="14"/>
        <v>0</v>
      </c>
      <c r="AZ49" s="302">
        <f>IF(AZ$42=$E49,SUM(AJ49:$AL49),0)</f>
        <v>0</v>
      </c>
      <c r="BA49" s="302">
        <f>IF(BA$42=$E49,SUM(AK49:$AL49),0)</f>
        <v>13200</v>
      </c>
      <c r="BB49" s="302">
        <f>IF(BB$42=$E49,SUM(AL49:$AL49),0)</f>
        <v>0</v>
      </c>
      <c r="BD49" s="301">
        <f t="shared" si="11"/>
        <v>0</v>
      </c>
    </row>
    <row r="50" spans="1:56" ht="15">
      <c r="A50" s="297" t="s">
        <v>155</v>
      </c>
      <c r="B50" s="256" t="str">
        <f>VLOOKUP(A50,'DFP-Com'!$A$16:$B$50,2,1)</f>
        <v xml:space="preserve">     4.1.a  Staff Compensation*</v>
      </c>
      <c r="C50" s="297" t="s">
        <v>249</v>
      </c>
      <c r="D50" s="234">
        <f>3000*24</f>
        <v>72000</v>
      </c>
      <c r="E50" s="297" t="s">
        <v>211</v>
      </c>
      <c r="G50" s="304"/>
      <c r="H50" s="319"/>
      <c r="I50" s="304">
        <f>3000*3</f>
        <v>9000</v>
      </c>
      <c r="J50" s="304">
        <f aca="true" t="shared" si="18" ref="J50:P50">3000*3</f>
        <v>9000</v>
      </c>
      <c r="K50" s="304">
        <f t="shared" si="18"/>
        <v>9000</v>
      </c>
      <c r="L50" s="304">
        <f t="shared" si="18"/>
        <v>9000</v>
      </c>
      <c r="M50" s="304">
        <f t="shared" si="18"/>
        <v>9000</v>
      </c>
      <c r="N50" s="304">
        <f t="shared" si="18"/>
        <v>9000</v>
      </c>
      <c r="O50" s="304">
        <f t="shared" si="18"/>
        <v>9000</v>
      </c>
      <c r="P50" s="304">
        <f t="shared" si="18"/>
        <v>9000</v>
      </c>
      <c r="Q50" s="304"/>
      <c r="R50" s="304"/>
      <c r="S50" s="304"/>
      <c r="T50" s="304"/>
      <c r="U50" s="304">
        <f t="shared" si="15"/>
        <v>72000</v>
      </c>
      <c r="X50" s="251"/>
      <c r="Y50" s="302"/>
      <c r="Z50" s="302"/>
      <c r="AA50" s="302"/>
      <c r="AB50" s="302"/>
      <c r="AC50" s="302"/>
      <c r="AD50" s="302"/>
      <c r="AE50" s="302"/>
      <c r="AF50" s="302"/>
      <c r="AG50" s="302"/>
      <c r="AH50" s="302"/>
      <c r="AI50" s="302"/>
      <c r="AJ50" s="302"/>
      <c r="AK50" s="302"/>
      <c r="AL50" s="302"/>
      <c r="AM50" s="240"/>
      <c r="AN50" s="302"/>
      <c r="AO50" s="302"/>
      <c r="AP50" s="302"/>
      <c r="AQ50" s="302"/>
      <c r="AR50" s="302"/>
      <c r="AS50" s="302"/>
      <c r="AT50" s="302"/>
      <c r="AU50" s="302"/>
      <c r="AV50" s="302"/>
      <c r="AW50" s="302"/>
      <c r="AX50" s="302"/>
      <c r="AY50" s="302"/>
      <c r="AZ50" s="302"/>
      <c r="BA50" s="302"/>
      <c r="BB50" s="302"/>
      <c r="BD50" s="301"/>
    </row>
    <row r="51" spans="1:56" ht="15">
      <c r="A51" s="297" t="s">
        <v>143</v>
      </c>
      <c r="B51" s="245" t="str">
        <f>VLOOKUP(A51,'DFP-Com'!$A$16:$B$50,2,1)</f>
        <v xml:space="preserve">     1.2.a  TVET</v>
      </c>
      <c r="C51" s="297" t="s">
        <v>218</v>
      </c>
      <c r="D51" s="234">
        <f aca="true" t="shared" si="19" ref="D51">SUM(F51:T51)</f>
        <v>144000</v>
      </c>
      <c r="E51" s="297" t="s">
        <v>211</v>
      </c>
      <c r="G51" s="304"/>
      <c r="H51" s="319">
        <v>0</v>
      </c>
      <c r="I51" s="304">
        <v>12000</v>
      </c>
      <c r="J51" s="304">
        <v>12000</v>
      </c>
      <c r="K51" s="304">
        <v>12000</v>
      </c>
      <c r="L51" s="304">
        <v>12000</v>
      </c>
      <c r="M51" s="304">
        <v>12000</v>
      </c>
      <c r="N51" s="304">
        <v>12000</v>
      </c>
      <c r="O51" s="304">
        <v>12000</v>
      </c>
      <c r="P51" s="304">
        <v>12000</v>
      </c>
      <c r="Q51" s="304">
        <v>12000</v>
      </c>
      <c r="R51" s="304">
        <v>12000</v>
      </c>
      <c r="S51" s="304">
        <v>12000</v>
      </c>
      <c r="T51" s="304">
        <v>12000</v>
      </c>
      <c r="U51" s="304">
        <f t="shared" si="15"/>
        <v>144000</v>
      </c>
      <c r="X51" s="251">
        <f t="shared" si="13"/>
        <v>0</v>
      </c>
      <c r="Y51" s="302">
        <f t="shared" si="13"/>
        <v>0</v>
      </c>
      <c r="Z51" s="302">
        <f t="shared" si="13"/>
        <v>0</v>
      </c>
      <c r="AA51" s="302">
        <f t="shared" si="13"/>
        <v>12000</v>
      </c>
      <c r="AB51" s="302">
        <f t="shared" si="13"/>
        <v>12000</v>
      </c>
      <c r="AC51" s="302">
        <f t="shared" si="13"/>
        <v>12000</v>
      </c>
      <c r="AD51" s="302">
        <f t="shared" si="13"/>
        <v>12000</v>
      </c>
      <c r="AE51" s="302">
        <f t="shared" si="13"/>
        <v>12000</v>
      </c>
      <c r="AF51" s="302">
        <f t="shared" si="13"/>
        <v>12000</v>
      </c>
      <c r="AG51" s="302">
        <f t="shared" si="13"/>
        <v>12000</v>
      </c>
      <c r="AH51" s="302">
        <f t="shared" si="13"/>
        <v>12000</v>
      </c>
      <c r="AI51" s="302">
        <f t="shared" si="13"/>
        <v>12000</v>
      </c>
      <c r="AJ51" s="302">
        <f t="shared" si="13"/>
        <v>12000</v>
      </c>
      <c r="AK51" s="302">
        <f t="shared" si="13"/>
        <v>12000</v>
      </c>
      <c r="AL51" s="302">
        <f t="shared" si="13"/>
        <v>12000</v>
      </c>
      <c r="AM51" s="240"/>
      <c r="AN51" s="302">
        <f t="shared" si="16"/>
        <v>0</v>
      </c>
      <c r="AO51" s="302">
        <f t="shared" si="14"/>
        <v>0</v>
      </c>
      <c r="AP51" s="302">
        <f t="shared" si="14"/>
        <v>0</v>
      </c>
      <c r="AQ51" s="302">
        <f t="shared" si="14"/>
        <v>48000</v>
      </c>
      <c r="AR51" s="302">
        <f t="shared" si="14"/>
        <v>0</v>
      </c>
      <c r="AS51" s="302">
        <f t="shared" si="14"/>
        <v>0</v>
      </c>
      <c r="AT51" s="302">
        <f t="shared" si="14"/>
        <v>0</v>
      </c>
      <c r="AU51" s="302">
        <f t="shared" si="14"/>
        <v>48000</v>
      </c>
      <c r="AV51" s="302">
        <f t="shared" si="14"/>
        <v>0</v>
      </c>
      <c r="AW51" s="302">
        <f t="shared" si="14"/>
        <v>0</v>
      </c>
      <c r="AX51" s="302">
        <f t="shared" si="14"/>
        <v>0</v>
      </c>
      <c r="AY51" s="302">
        <f t="shared" si="14"/>
        <v>48000</v>
      </c>
      <c r="AZ51" s="302">
        <f>IF(AZ$42=$E51,SUM(AJ51:$AL51),0)</f>
        <v>0</v>
      </c>
      <c r="BA51" s="302">
        <f>IF(BA$42=$E51,SUM(AK51:$AL51),0)</f>
        <v>0</v>
      </c>
      <c r="BB51" s="302">
        <f>IF(BB$42=$E51,SUM(AL51:$AL51),0)</f>
        <v>0</v>
      </c>
      <c r="BD51" s="301">
        <f t="shared" si="11"/>
        <v>0</v>
      </c>
    </row>
    <row r="52" spans="7:56" ht="15">
      <c r="G52" s="304"/>
      <c r="H52" s="319"/>
      <c r="I52" s="304"/>
      <c r="J52" s="304"/>
      <c r="K52" s="304"/>
      <c r="L52" s="304"/>
      <c r="M52" s="304"/>
      <c r="N52" s="304"/>
      <c r="O52" s="304"/>
      <c r="P52" s="304"/>
      <c r="Q52" s="304"/>
      <c r="R52" s="304"/>
      <c r="S52" s="304"/>
      <c r="T52" s="304"/>
      <c r="U52" s="304"/>
      <c r="X52" s="239"/>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D52" s="301">
        <f t="shared" si="11"/>
        <v>0</v>
      </c>
    </row>
    <row r="53" spans="1:56" ht="15">
      <c r="A53" s="236" t="s">
        <v>203</v>
      </c>
      <c r="B53" s="236"/>
      <c r="C53" s="236"/>
      <c r="D53" s="236"/>
      <c r="E53" s="236"/>
      <c r="G53" s="304"/>
      <c r="H53" s="319"/>
      <c r="I53" s="304"/>
      <c r="J53" s="304"/>
      <c r="K53" s="304"/>
      <c r="L53" s="304"/>
      <c r="M53" s="304"/>
      <c r="N53" s="304"/>
      <c r="O53" s="304"/>
      <c r="P53" s="304"/>
      <c r="Q53" s="304"/>
      <c r="R53" s="304"/>
      <c r="S53" s="304"/>
      <c r="T53" s="304"/>
      <c r="U53" s="304"/>
      <c r="X53" s="239"/>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D53" s="301">
        <f t="shared" si="11"/>
        <v>0</v>
      </c>
    </row>
    <row r="54" spans="1:56" ht="15">
      <c r="A54" s="297" t="s">
        <v>158</v>
      </c>
      <c r="B54" s="256" t="str">
        <f>VLOOKUP(A54,'DFP-Com'!$A$16:$B$50,2,1)</f>
        <v xml:space="preserve">     4.1.d  Other</v>
      </c>
      <c r="C54" s="297" t="s">
        <v>197</v>
      </c>
      <c r="D54" s="234">
        <v>20000</v>
      </c>
      <c r="G54" s="304">
        <v>1267.82</v>
      </c>
      <c r="H54" s="319">
        <v>2000</v>
      </c>
      <c r="I54" s="304">
        <v>1400</v>
      </c>
      <c r="J54" s="304">
        <v>1400</v>
      </c>
      <c r="K54" s="304">
        <v>1400</v>
      </c>
      <c r="L54" s="304">
        <v>1400</v>
      </c>
      <c r="M54" s="304">
        <v>1400</v>
      </c>
      <c r="N54" s="304">
        <v>1400</v>
      </c>
      <c r="O54" s="304">
        <v>1400</v>
      </c>
      <c r="P54" s="304">
        <v>1400</v>
      </c>
      <c r="Q54" s="304">
        <v>1400</v>
      </c>
      <c r="R54" s="304">
        <v>1400</v>
      </c>
      <c r="S54" s="304">
        <v>1400</v>
      </c>
      <c r="T54" s="304">
        <f>1400-68</f>
        <v>1332</v>
      </c>
      <c r="U54" s="304">
        <f t="shared" si="15"/>
        <v>19999.82</v>
      </c>
      <c r="X54" s="251">
        <f aca="true" t="shared" si="20" ref="X54:AL55">F54</f>
        <v>0</v>
      </c>
      <c r="Y54" s="302">
        <f t="shared" si="20"/>
        <v>1267.82</v>
      </c>
      <c r="Z54" s="302">
        <f t="shared" si="20"/>
        <v>2000</v>
      </c>
      <c r="AA54" s="302">
        <f t="shared" si="20"/>
        <v>1400</v>
      </c>
      <c r="AB54" s="302">
        <f t="shared" si="20"/>
        <v>1400</v>
      </c>
      <c r="AC54" s="302">
        <f t="shared" si="20"/>
        <v>1400</v>
      </c>
      <c r="AD54" s="302">
        <f t="shared" si="20"/>
        <v>1400</v>
      </c>
      <c r="AE54" s="302">
        <f t="shared" si="20"/>
        <v>1400</v>
      </c>
      <c r="AF54" s="302">
        <f t="shared" si="20"/>
        <v>1400</v>
      </c>
      <c r="AG54" s="302">
        <f t="shared" si="20"/>
        <v>1400</v>
      </c>
      <c r="AH54" s="302">
        <f t="shared" si="20"/>
        <v>1400</v>
      </c>
      <c r="AI54" s="302">
        <f t="shared" si="20"/>
        <v>1400</v>
      </c>
      <c r="AJ54" s="302">
        <f t="shared" si="20"/>
        <v>1400</v>
      </c>
      <c r="AK54" s="302">
        <f t="shared" si="20"/>
        <v>1400</v>
      </c>
      <c r="AL54" s="302">
        <f t="shared" si="20"/>
        <v>1332</v>
      </c>
      <c r="AM54" s="240"/>
      <c r="AN54" s="302">
        <f>X54</f>
        <v>0</v>
      </c>
      <c r="AO54" s="302">
        <f aca="true" t="shared" si="21" ref="AO54:BB55">Y54</f>
        <v>1267.82</v>
      </c>
      <c r="AP54" s="302">
        <f t="shared" si="21"/>
        <v>2000</v>
      </c>
      <c r="AQ54" s="302">
        <f t="shared" si="21"/>
        <v>1400</v>
      </c>
      <c r="AR54" s="302">
        <f t="shared" si="21"/>
        <v>1400</v>
      </c>
      <c r="AS54" s="302">
        <f t="shared" si="21"/>
        <v>1400</v>
      </c>
      <c r="AT54" s="302">
        <f t="shared" si="21"/>
        <v>1400</v>
      </c>
      <c r="AU54" s="302">
        <f t="shared" si="21"/>
        <v>1400</v>
      </c>
      <c r="AV54" s="302">
        <f t="shared" si="21"/>
        <v>1400</v>
      </c>
      <c r="AW54" s="302">
        <f t="shared" si="21"/>
        <v>1400</v>
      </c>
      <c r="AX54" s="302">
        <f t="shared" si="21"/>
        <v>1400</v>
      </c>
      <c r="AY54" s="302">
        <f t="shared" si="21"/>
        <v>1400</v>
      </c>
      <c r="AZ54" s="302">
        <f t="shared" si="21"/>
        <v>1400</v>
      </c>
      <c r="BA54" s="302">
        <f t="shared" si="21"/>
        <v>1400</v>
      </c>
      <c r="BB54" s="302">
        <f t="shared" si="21"/>
        <v>1332</v>
      </c>
      <c r="BD54" s="301">
        <f t="shared" si="11"/>
        <v>0</v>
      </c>
    </row>
    <row r="55" spans="1:56" ht="15">
      <c r="A55" s="297" t="s">
        <v>156</v>
      </c>
      <c r="B55" s="256" t="str">
        <f>VLOOKUP(A55,'DFP-Com'!$A$16:$B$50,2,1)</f>
        <v xml:space="preserve">     4.1.b  Travel*</v>
      </c>
      <c r="C55" s="297" t="s">
        <v>198</v>
      </c>
      <c r="D55" s="234">
        <v>35000</v>
      </c>
      <c r="G55" s="304">
        <v>0</v>
      </c>
      <c r="H55" s="319">
        <v>4000</v>
      </c>
      <c r="I55" s="304">
        <v>2500</v>
      </c>
      <c r="J55" s="304">
        <v>2500</v>
      </c>
      <c r="K55" s="304">
        <v>2500</v>
      </c>
      <c r="L55" s="304">
        <v>3500</v>
      </c>
      <c r="M55" s="304">
        <v>2500</v>
      </c>
      <c r="N55" s="304">
        <v>2500</v>
      </c>
      <c r="O55" s="304">
        <v>2500</v>
      </c>
      <c r="P55" s="304">
        <v>2500</v>
      </c>
      <c r="Q55" s="304">
        <v>2500</v>
      </c>
      <c r="R55" s="304">
        <v>2500</v>
      </c>
      <c r="S55" s="304">
        <v>2500</v>
      </c>
      <c r="T55" s="304">
        <v>2500</v>
      </c>
      <c r="U55" s="304">
        <f t="shared" si="15"/>
        <v>35000</v>
      </c>
      <c r="X55" s="251">
        <f t="shared" si="20"/>
        <v>0</v>
      </c>
      <c r="Y55" s="302">
        <f t="shared" si="20"/>
        <v>0</v>
      </c>
      <c r="Z55" s="302">
        <f t="shared" si="20"/>
        <v>4000</v>
      </c>
      <c r="AA55" s="302">
        <f t="shared" si="20"/>
        <v>2500</v>
      </c>
      <c r="AB55" s="302">
        <f t="shared" si="20"/>
        <v>2500</v>
      </c>
      <c r="AC55" s="302">
        <f t="shared" si="20"/>
        <v>2500</v>
      </c>
      <c r="AD55" s="302">
        <f t="shared" si="20"/>
        <v>3500</v>
      </c>
      <c r="AE55" s="302">
        <f t="shared" si="20"/>
        <v>2500</v>
      </c>
      <c r="AF55" s="302">
        <f t="shared" si="20"/>
        <v>2500</v>
      </c>
      <c r="AG55" s="302">
        <f t="shared" si="20"/>
        <v>2500</v>
      </c>
      <c r="AH55" s="302">
        <f t="shared" si="20"/>
        <v>2500</v>
      </c>
      <c r="AI55" s="302">
        <f t="shared" si="20"/>
        <v>2500</v>
      </c>
      <c r="AJ55" s="302">
        <f t="shared" si="20"/>
        <v>2500</v>
      </c>
      <c r="AK55" s="302">
        <f t="shared" si="20"/>
        <v>2500</v>
      </c>
      <c r="AL55" s="302">
        <f t="shared" si="20"/>
        <v>2500</v>
      </c>
      <c r="AM55" s="240"/>
      <c r="AN55" s="302">
        <f>X55</f>
        <v>0</v>
      </c>
      <c r="AO55" s="302">
        <f t="shared" si="21"/>
        <v>0</v>
      </c>
      <c r="AP55" s="302">
        <f t="shared" si="21"/>
        <v>4000</v>
      </c>
      <c r="AQ55" s="302">
        <f t="shared" si="21"/>
        <v>2500</v>
      </c>
      <c r="AR55" s="302">
        <f t="shared" si="21"/>
        <v>2500</v>
      </c>
      <c r="AS55" s="302">
        <f t="shared" si="21"/>
        <v>2500</v>
      </c>
      <c r="AT55" s="302">
        <f t="shared" si="21"/>
        <v>3500</v>
      </c>
      <c r="AU55" s="302">
        <f t="shared" si="21"/>
        <v>2500</v>
      </c>
      <c r="AV55" s="302">
        <f t="shared" si="21"/>
        <v>2500</v>
      </c>
      <c r="AW55" s="302">
        <f t="shared" si="21"/>
        <v>2500</v>
      </c>
      <c r="AX55" s="302">
        <f t="shared" si="21"/>
        <v>2500</v>
      </c>
      <c r="AY55" s="302">
        <f t="shared" si="21"/>
        <v>2500</v>
      </c>
      <c r="AZ55" s="302">
        <f t="shared" si="21"/>
        <v>2500</v>
      </c>
      <c r="BA55" s="302">
        <f t="shared" si="21"/>
        <v>2500</v>
      </c>
      <c r="BB55" s="302">
        <f t="shared" si="21"/>
        <v>2500</v>
      </c>
      <c r="BD55" s="301">
        <f t="shared" si="11"/>
        <v>0</v>
      </c>
    </row>
    <row r="56" spans="1:38" s="247" customFormat="1" ht="15">
      <c r="A56" s="248"/>
      <c r="D56" s="249"/>
      <c r="H56" s="320"/>
      <c r="U56" s="250"/>
      <c r="V56" s="297"/>
      <c r="W56" s="297"/>
      <c r="X56" s="244"/>
      <c r="Y56" s="244"/>
      <c r="Z56" s="244"/>
      <c r="AA56" s="244"/>
      <c r="AB56" s="244"/>
      <c r="AC56" s="244"/>
      <c r="AD56" s="244"/>
      <c r="AE56" s="244"/>
      <c r="AF56" s="244"/>
      <c r="AG56" s="244"/>
      <c r="AH56" s="244"/>
      <c r="AI56" s="244"/>
      <c r="AJ56" s="244"/>
      <c r="AK56" s="244"/>
      <c r="AL56" s="244"/>
    </row>
    <row r="57" spans="2:24" ht="15">
      <c r="B57" s="239" t="s">
        <v>222</v>
      </c>
      <c r="D57" s="251">
        <f>SUM(D4:D55)</f>
        <v>23584570</v>
      </c>
      <c r="E57" s="239"/>
      <c r="F57" s="239"/>
      <c r="G57" s="239"/>
      <c r="H57" s="321"/>
      <c r="I57" s="239"/>
      <c r="J57" s="239"/>
      <c r="K57" s="239"/>
      <c r="L57" s="239"/>
      <c r="M57" s="239"/>
      <c r="N57" s="239"/>
      <c r="O57" s="239"/>
      <c r="P57" s="239"/>
      <c r="Q57" s="239"/>
      <c r="R57" s="239"/>
      <c r="T57" s="239"/>
      <c r="U57" s="239"/>
      <c r="X57" s="301" t="s">
        <v>116</v>
      </c>
    </row>
    <row r="58" spans="4:24" ht="15">
      <c r="D58" s="254"/>
      <c r="E58" s="255"/>
      <c r="F58" s="255"/>
      <c r="G58" s="255"/>
      <c r="H58" s="320"/>
      <c r="I58" s="255"/>
      <c r="J58" s="255"/>
      <c r="K58" s="255"/>
      <c r="L58" s="255"/>
      <c r="M58" s="255"/>
      <c r="N58" s="255"/>
      <c r="O58" s="255"/>
      <c r="P58" s="255"/>
      <c r="Q58" s="255"/>
      <c r="R58" s="255"/>
      <c r="S58" s="255"/>
      <c r="T58" s="255"/>
      <c r="U58" s="255"/>
      <c r="X58" s="301"/>
    </row>
    <row r="59" spans="1:4" ht="15">
      <c r="A59" s="297" t="s">
        <v>140</v>
      </c>
      <c r="B59" s="441" t="str">
        <f>VLOOKUP(A59,'DFP-Com'!$A$16:$B$50,2,1)</f>
        <v xml:space="preserve">     1.1.a  Education Project Implementation Contract</v>
      </c>
      <c r="C59" s="441"/>
      <c r="D59" s="234">
        <f>SUMIF($A$4:$A$56,"="&amp;A59,$D$4:$D$56)</f>
        <v>8700000</v>
      </c>
    </row>
    <row r="60" spans="1:4" ht="15">
      <c r="A60" s="297" t="s">
        <v>141</v>
      </c>
      <c r="B60" s="441" t="str">
        <f>VLOOKUP(A60,'DFP-Com'!$A$16:$B$50,2,1)</f>
        <v xml:space="preserve">     1.1.b  Grants to Universities for Teacher Training (Diplomados)</v>
      </c>
      <c r="C60" s="441"/>
      <c r="D60" s="234">
        <f>SUMIF($A$4:$A$56,"="&amp;A60,$D$4:$D$56)</f>
        <v>3000000</v>
      </c>
    </row>
    <row r="61" spans="1:4" ht="15">
      <c r="A61" s="297" t="s">
        <v>143</v>
      </c>
      <c r="B61" s="441" t="str">
        <f>VLOOKUP(A61,'DFP-Com'!$A$16:$B$50,2,1)</f>
        <v xml:space="preserve">     1.2.a  TVET</v>
      </c>
      <c r="C61" s="441"/>
      <c r="D61" s="234">
        <f>SUMIF($A$4:$A$56,"="&amp;A61,$D$4:$D$56)</f>
        <v>4144000</v>
      </c>
    </row>
    <row r="62" spans="1:4" ht="15">
      <c r="A62" s="297" t="s">
        <v>144</v>
      </c>
      <c r="B62" s="441" t="str">
        <f>VLOOKUP(A62,'DFP-Com'!$A$16:$B$50,2,1)</f>
        <v xml:space="preserve">     1.3.a  Education Project Implementation Contract</v>
      </c>
      <c r="C62" s="441"/>
      <c r="D62" s="234">
        <f>SUMIF($A$4:$A$56,"="&amp;A62,$D$4:$D$56)</f>
        <v>2500000</v>
      </c>
    </row>
    <row r="63" spans="1:4" ht="15">
      <c r="A63" s="297" t="s">
        <v>145</v>
      </c>
      <c r="B63" s="441" t="str">
        <f>VLOOKUP(A63,'DFP-Com'!$A$16:$B$50,2,1)</f>
        <v xml:space="preserve">     1.3.b  Education Project Coordination team*</v>
      </c>
      <c r="C63" s="441"/>
      <c r="D63" s="234">
        <f>SUMIF($A$4:$A$56,"="&amp;A63,$D$4:$D$56)</f>
        <v>178400</v>
      </c>
    </row>
    <row r="64" spans="2:6" ht="15">
      <c r="B64" s="306" t="s">
        <v>239</v>
      </c>
      <c r="C64" s="306"/>
      <c r="D64" s="307">
        <f>SUM(D59:D63)</f>
        <v>18522400</v>
      </c>
      <c r="E64" s="243">
        <f>'QFR - B'!G14</f>
        <v>19300000</v>
      </c>
      <c r="F64" s="301">
        <f>E64-D64</f>
        <v>777600</v>
      </c>
    </row>
    <row r="65" spans="1:4" ht="15">
      <c r="A65" s="297" t="s">
        <v>147</v>
      </c>
      <c r="B65" s="441" t="str">
        <f>VLOOKUP(A65,'DFP-Com'!$A$16:$B$50,2,1)</f>
        <v xml:space="preserve">     2.1.a  Tax and Customs</v>
      </c>
      <c r="C65" s="441"/>
      <c r="D65" s="234">
        <f>SUMIF($A$4:$A$56,"="&amp;A65,$D$4:$D$56)</f>
        <v>384000</v>
      </c>
    </row>
    <row r="66" spans="2:6" ht="15">
      <c r="B66" s="306" t="s">
        <v>240</v>
      </c>
      <c r="C66" s="306"/>
      <c r="D66" s="308">
        <f>D65</f>
        <v>384000</v>
      </c>
      <c r="E66" s="243">
        <f>'QFR - B'!G20</f>
        <v>800000</v>
      </c>
      <c r="F66" s="301">
        <f>E66-D66</f>
        <v>416000</v>
      </c>
    </row>
    <row r="67" spans="1:4" ht="15">
      <c r="A67" s="297" t="s">
        <v>148</v>
      </c>
      <c r="B67" s="441" t="str">
        <f>VLOOKUP(A67,'DFP-Com'!$A$16:$B$50,2,1)</f>
        <v xml:space="preserve">     2.2.a  Advisors</v>
      </c>
      <c r="C67" s="441"/>
      <c r="D67" s="234">
        <f>SUMIF($A$4:$A$56,"="&amp;A67,$D$4:$D$56)</f>
        <v>728750</v>
      </c>
    </row>
    <row r="68" spans="1:4" ht="15">
      <c r="A68" s="297" t="s">
        <v>149</v>
      </c>
      <c r="B68" s="441" t="str">
        <f>VLOOKUP(A68,'DFP-Com'!$A$16:$B$50,2,1)</f>
        <v xml:space="preserve">     2.2.b  Feasiblity Studies/  Transaction Advisory Services</v>
      </c>
      <c r="C68" s="441"/>
      <c r="D68" s="234">
        <f>SUMIF($A$4:$A$56,"="&amp;A68,$D$4:$D$56)</f>
        <v>1650000</v>
      </c>
    </row>
    <row r="69" spans="2:6" ht="15">
      <c r="B69" s="306" t="s">
        <v>241</v>
      </c>
      <c r="C69" s="306"/>
      <c r="D69" s="308">
        <f>SUM(D67:D68)</f>
        <v>2378750</v>
      </c>
      <c r="E69" s="243">
        <f>'QFR - B'!G21</f>
        <v>3600000</v>
      </c>
      <c r="F69" s="301">
        <f>E69-D69</f>
        <v>1221250</v>
      </c>
    </row>
    <row r="70" spans="1:4" ht="15">
      <c r="A70" s="297" t="s">
        <v>151</v>
      </c>
      <c r="B70" s="441" t="str">
        <f>VLOOKUP(A70,'DFP-Com'!$A$16:$B$50,2,1)</f>
        <v xml:space="preserve">     3.1.a  Student Assessment</v>
      </c>
      <c r="C70" s="441"/>
      <c r="D70" s="234">
        <f>SUMIF($A$4:$A$56,"="&amp;A70,$D$4:$D$56)</f>
        <v>706400</v>
      </c>
    </row>
    <row r="71" spans="1:4" ht="15">
      <c r="A71" s="297" t="s">
        <v>152</v>
      </c>
      <c r="B71" s="441" t="str">
        <f>VLOOKUP(A71,'DFP-Com'!$A$16:$B$50,2,1)</f>
        <v xml:space="preserve">     3.1.b  Teacher Evaluations</v>
      </c>
      <c r="C71" s="441"/>
      <c r="D71" s="234">
        <f>SUMIF($A$4:$A$56,"="&amp;A71,$D$4:$D$56)</f>
        <v>300000</v>
      </c>
    </row>
    <row r="72" spans="1:4" ht="15">
      <c r="A72" s="297" t="s">
        <v>153</v>
      </c>
      <c r="B72" s="441" t="str">
        <f>VLOOKUP(A72,'DFP-Com'!$A$16:$B$50,2,1)</f>
        <v xml:space="preserve">     3.1.c  Voc Ed Tracer Studies</v>
      </c>
      <c r="C72" s="441"/>
      <c r="D72" s="234">
        <f>SUMIF($A$4:$A$56,"="&amp;A72,$D$4:$D$56)</f>
        <v>300000</v>
      </c>
    </row>
    <row r="73" spans="1:4" ht="15">
      <c r="A73" s="297" t="s">
        <v>154</v>
      </c>
      <c r="B73" s="441" t="str">
        <f>VLOOKUP(A73,'DFP-Com'!$A$16:$B$50,2,1)</f>
        <v xml:space="preserve">     3.1 d Other</v>
      </c>
      <c r="C73" s="441"/>
      <c r="D73" s="234">
        <f>SUMIF($A$4:$A$56,"="&amp;A73,$D$4:$D$56)</f>
        <v>200000</v>
      </c>
    </row>
    <row r="74" spans="2:6" ht="15">
      <c r="B74" s="306" t="s">
        <v>221</v>
      </c>
      <c r="C74" s="306"/>
      <c r="D74" s="308">
        <f>SUM(D70:D73)</f>
        <v>1506400</v>
      </c>
      <c r="E74" s="243">
        <f>'QFR - B'!G24</f>
        <v>1700000</v>
      </c>
      <c r="F74" s="301">
        <f>E74-D74</f>
        <v>193600</v>
      </c>
    </row>
    <row r="75" spans="1:4" ht="15">
      <c r="A75" s="297" t="s">
        <v>155</v>
      </c>
      <c r="B75" s="441" t="str">
        <f>VLOOKUP(A75,'DFP-Com'!$A$16:$B$50,2,1)</f>
        <v xml:space="preserve">     4.1.a  Staff Compensation*</v>
      </c>
      <c r="C75" s="441"/>
      <c r="D75" s="234">
        <f>SUMIF($A$4:$A$56,"="&amp;A75,$D$4:$D$56)</f>
        <v>636520</v>
      </c>
    </row>
    <row r="76" spans="1:4" ht="15">
      <c r="A76" s="297" t="s">
        <v>156</v>
      </c>
      <c r="B76" s="441" t="str">
        <f>VLOOKUP(A76,'DFP-Com'!$A$16:$B$50,2,1)</f>
        <v xml:space="preserve">     4.1.b  Travel*</v>
      </c>
      <c r="C76" s="441"/>
      <c r="D76" s="234">
        <f>SUMIF($A$4:$A$56,"="&amp;A76,$D$4:$D$56)</f>
        <v>35000</v>
      </c>
    </row>
    <row r="77" spans="1:4" ht="15">
      <c r="A77" s="297" t="s">
        <v>157</v>
      </c>
      <c r="B77" s="441" t="str">
        <f>VLOOKUP(A77,'DFP-Com'!$A$16:$B$50,2,1)</f>
        <v xml:space="preserve">     4.1.c  Audit</v>
      </c>
      <c r="C77" s="441"/>
      <c r="D77" s="234">
        <f>SUMIF($A$4:$A$56,"="&amp;A77,$D$4:$D$56)</f>
        <v>90000</v>
      </c>
    </row>
    <row r="78" spans="1:4" ht="15">
      <c r="A78" s="297" t="s">
        <v>158</v>
      </c>
      <c r="B78" s="441" t="str">
        <f>VLOOKUP(A78,'DFP-Com'!$A$16:$B$50,2,1)</f>
        <v xml:space="preserve">     4.1.d  Other</v>
      </c>
      <c r="C78" s="441"/>
      <c r="D78" s="234">
        <f>SUMIF($A$4:$A$56,"="&amp;A78,$D$4:$D$56)</f>
        <v>31500</v>
      </c>
    </row>
    <row r="79" spans="2:6" ht="15">
      <c r="B79" s="306" t="s">
        <v>242</v>
      </c>
      <c r="C79" s="306"/>
      <c r="D79" s="308">
        <f>SUM(D75:D78)</f>
        <v>793020</v>
      </c>
      <c r="E79" s="243">
        <f>'QFR - B'!G27</f>
        <v>797500</v>
      </c>
      <c r="F79" s="301">
        <f>E79-D79</f>
        <v>4480</v>
      </c>
    </row>
  </sheetData>
  <autoFilter ref="A3:BD38"/>
  <mergeCells count="16">
    <mergeCell ref="B65:C65"/>
    <mergeCell ref="B59:C59"/>
    <mergeCell ref="B60:C60"/>
    <mergeCell ref="B61:C61"/>
    <mergeCell ref="B62:C62"/>
    <mergeCell ref="B63:C63"/>
    <mergeCell ref="B75:C75"/>
    <mergeCell ref="B76:C76"/>
    <mergeCell ref="B77:C77"/>
    <mergeCell ref="B78:C78"/>
    <mergeCell ref="B67:C67"/>
    <mergeCell ref="B68:C68"/>
    <mergeCell ref="B70:C70"/>
    <mergeCell ref="B71:C71"/>
    <mergeCell ref="B72:C72"/>
    <mergeCell ref="B73:C73"/>
  </mergeCells>
  <printOptions/>
  <pageMargins left="0.7" right="0.7" top="0.75" bottom="0.75" header="0.3" footer="0.3"/>
  <pageSetup horizontalDpi="600" verticalDpi="600" orientation="portrait"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ThresholdDocs" ma:contentTypeID="0x01010060F0C3B9C1A6634EB9ABC54E876D711E003DCEA2CA0D72C4489A479CA46ABC2FD4" ma:contentTypeVersion="11" ma:contentTypeDescription="" ma:contentTypeScope="" ma:versionID="4fea394353aa98332856157fb3b026c7">
  <xsd:schema xmlns:xsd="http://www.w3.org/2001/XMLSchema" xmlns:xs="http://www.w3.org/2001/XMLSchema" xmlns:p="http://schemas.microsoft.com/office/2006/metadata/properties" xmlns:ns2="133de3ae-5bb8-4cbb-9752-c1040d721e37" xmlns:ns3="c6aa829a-de30-4eeb-a917-5f1e16f11f75" xmlns:ns4="d3b91ed5-3f36-4885-8f16-366304d6a523" targetNamespace="http://schemas.microsoft.com/office/2006/metadata/properties" ma:root="true" ma:fieldsID="3d40a0d8e27d163d789eaf5eece8350e" ns2:_="" ns3:_="" ns4:_="">
    <xsd:import namespace="133de3ae-5bb8-4cbb-9752-c1040d721e37"/>
    <xsd:import namespace="c6aa829a-de30-4eeb-a917-5f1e16f11f75"/>
    <xsd:import namespace="d3b91ed5-3f36-4885-8f16-366304d6a523"/>
    <xsd:element name="properties">
      <xsd:complexType>
        <xsd:sequence>
          <xsd:element name="documentManagement">
            <xsd:complexType>
              <xsd:all>
                <xsd:element ref="ns2:Country1" minOccurs="0"/>
                <xsd:element ref="ns3:Phase" minOccurs="0"/>
                <xsd:element ref="ns3:SubPhase" minOccurs="0"/>
                <xsd:element ref="ns2:FY" minOccurs="0"/>
                <xsd:element ref="ns2:ReviewType" minOccurs="0"/>
                <xsd:element ref="ns2:DocumentStatus" minOccurs="0"/>
                <xsd:element ref="ns3:Project" minOccurs="0"/>
                <xsd:element ref="ns3:Activity" minOccurs="0"/>
                <xsd:element ref="ns3:DocType" minOccurs="0"/>
                <xsd:element ref="ns3:SubDocType" minOccurs="0"/>
                <xsd:element ref="ns2:PracticeUnit" minOccurs="0"/>
                <xsd:element ref="ns2:SendTo" minOccurs="0"/>
                <xsd:element ref="ns2:AggregatedComments"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33de3ae-5bb8-4cbb-9752-c1040d721e37" elementFormDefault="qualified">
    <xsd:import namespace="http://schemas.microsoft.com/office/2006/documentManagement/types"/>
    <xsd:import namespace="http://schemas.microsoft.com/office/infopath/2007/PartnerControls"/>
    <xsd:element name="Country1" ma:index="1" nillable="true" ma:displayName="Country" ma:default="Guatemala" ma:format="Dropdown" ma:internalName="Country1">
      <xsd:simpleType>
        <xsd:restriction base="dms:Choice">
          <xsd:enumeration value="Guatemala"/>
          <xsd:enumeration value="Honduras"/>
        </xsd:restriction>
      </xsd:simpleType>
    </xsd:element>
    <xsd:element name="FY" ma:index="4" nillable="true" ma:displayName="FY" ma:default="2017" ma:format="Dropdown" ma:internalName="FY">
      <xsd:simpleType>
        <xsd:restriction base="dms:Choice">
          <xsd:enumeration value="2014"/>
          <xsd:enumeration value="2015"/>
          <xsd:enumeration value="2016"/>
          <xsd:enumeration value="2017"/>
          <xsd:enumeration value="2018"/>
          <xsd:enumeration value="2019"/>
          <xsd:enumeration value="2020"/>
          <xsd:enumeration value="2021"/>
          <xsd:enumeration value="2022"/>
        </xsd:restriction>
      </xsd:simpleType>
    </xsd:element>
    <xsd:element name="ReviewType" ma:index="5" nillable="true" ma:displayName="ReviewType" ma:format="Dropdown" ma:internalName="ReviewType">
      <xsd:simpleType>
        <xsd:restriction base="dms:Choice">
          <xsd:enumeration value="No Objection"/>
          <xsd:enumeration value="Technical Review"/>
        </xsd:restriction>
      </xsd:simpleType>
    </xsd:element>
    <xsd:element name="DocumentStatus" ma:index="6" nillable="true" ma:displayName="DocumentStatus" ma:default="Pending" ma:format="Dropdown" ma:internalName="DocumentStatus">
      <xsd:simpleType>
        <xsd:restriction base="dms:Choice">
          <xsd:enumeration value="Pending"/>
          <xsd:enumeration value="Clear"/>
          <xsd:enumeration value="Object"/>
          <xsd:enumeration value="Reviewed"/>
          <xsd:enumeration value="Deferred"/>
        </xsd:restriction>
      </xsd:simpleType>
    </xsd:element>
    <xsd:element name="PracticeUnit" ma:index="11" nillable="true" ma:displayName="PracticeUnit" ma:internalName="PracticeUnit">
      <xsd:complexType>
        <xsd:complexContent>
          <xsd:extension base="dms:MultiChoice">
            <xsd:sequence>
              <xsd:element name="Value" maxOccurs="unbounded" minOccurs="0" nillable="true">
                <xsd:simpleType>
                  <xsd:restriction base="dms:Choice">
                    <xsd:enumeration value="ADMN"/>
                    <xsd:enumeration value="AG"/>
                    <xsd:enumeration value="COMMS"/>
                    <xsd:enumeration value="ECON"/>
                    <xsd:enumeration value="EPG"/>
                    <xsd:enumeration value="ESP"/>
                    <xsd:enumeration value="FA"/>
                    <xsd:enumeration value="FIT"/>
                    <xsd:enumeration value="GSI"/>
                    <xsd:enumeration value="HCD"/>
                    <xsd:enumeration value="M&amp;E"/>
                    <xsd:enumeration value="OGC"/>
                    <xsd:enumeration value="PEPFAR"/>
                    <xsd:enumeration value="PRLP"/>
                    <xsd:enumeration value="PROC"/>
                    <xsd:enumeration value="TVS"/>
                    <xsd:enumeration value="WSI"/>
                    <xsd:enumeration value="ALL"/>
                    <xsd:enumeration value="NONE"/>
                  </xsd:restriction>
                </xsd:simpleType>
              </xsd:element>
            </xsd:sequence>
          </xsd:extension>
        </xsd:complexContent>
      </xsd:complexType>
    </xsd:element>
    <xsd:element name="SendTo" ma:index="12" nillable="true" ma:displayName="SendTo" ma:default="--Choose One--" ma:format="Dropdown" ma:internalName="SendTo">
      <xsd:simpleType>
        <xsd:restriction base="dms:Choice">
          <xsd:enumeration value="--Choose One--"/>
          <xsd:enumeration value="Program Ops"/>
          <xsd:enumeration value="Threshold Docs"/>
        </xsd:restriction>
      </xsd:simpleType>
    </xsd:element>
    <xsd:element name="AggregatedComments" ma:index="13" nillable="true" ma:displayName="AggregatedComments" ma:internalName="Aggregated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aa829a-de30-4eeb-a917-5f1e16f11f75" elementFormDefault="qualified">
    <xsd:import namespace="http://schemas.microsoft.com/office/2006/documentManagement/types"/>
    <xsd:import namespace="http://schemas.microsoft.com/office/infopath/2007/PartnerControls"/>
    <xsd:element name="Phase" ma:index="2" nillable="true" ma:displayName="Phase" ma:list="{40D30680-88E6-4E2D-B67E-CD876C42E85B}" ma:internalName="Phase" ma:showField="Title" ma:web="67c557b8-b921-471e-9697-a5b1256e8d40">
      <xsd:simpleType>
        <xsd:restriction base="dms:Lookup"/>
      </xsd:simpleType>
    </xsd:element>
    <xsd:element name="SubPhase" ma:index="3" nillable="true" ma:displayName="SubPhase" ma:list="{22140E0E-36AA-4C33-9A36-330CFCE54E87}" ma:internalName="SubPhase" ma:showField="Level1" ma:web="67c557b8-b921-471e-9697-a5b1256e8d40">
      <xsd:simpleType>
        <xsd:restriction base="dms:Lookup"/>
      </xsd:simpleType>
    </xsd:element>
    <xsd:element name="Project" ma:index="7" nillable="true" ma:displayName="Project" ma:list="{40D30680-88E6-4E2D-B67E-CD876C42E85B}" ma:internalName="Project" ma:showField="Title" ma:web="67c557b8-b921-471e-9697-a5b1256e8d40">
      <xsd:simpleType>
        <xsd:restriction base="dms:Lookup"/>
      </xsd:simpleType>
    </xsd:element>
    <xsd:element name="Activity" ma:index="8" nillable="true" ma:displayName="Activity" ma:list="{22140E0E-36AA-4C33-9A36-330CFCE54E87}" ma:internalName="Activity" ma:showField="Level1" ma:web="67c557b8-b921-471e-9697-a5b1256e8d40">
      <xsd:simpleType>
        <xsd:restriction base="dms:Lookup"/>
      </xsd:simpleType>
    </xsd:element>
    <xsd:element name="DocType" ma:index="9" nillable="true" ma:displayName="DocType" ma:list="{40D30680-88E6-4E2D-B67E-CD876C42E85B}" ma:internalName="DocType" ma:showField="Title" ma:web="67c557b8-b921-471e-9697-a5b1256e8d40">
      <xsd:simpleType>
        <xsd:restriction base="dms:Lookup"/>
      </xsd:simpleType>
    </xsd:element>
    <xsd:element name="SubDocType" ma:index="10" nillable="true" ma:displayName="SubDocType" ma:list="{22140E0E-36AA-4C33-9A36-330CFCE54E87}" ma:internalName="SubDocType" ma:showField="Level1" ma:web="67c557b8-b921-471e-9697-a5b1256e8d40">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d3b91ed5-3f36-4885-8f16-366304d6a523" elementFormDefault="qualified">
    <xsd:import namespace="http://schemas.microsoft.com/office/2006/documentManagement/types"/>
    <xsd:import namespace="http://schemas.microsoft.com/office/infopath/2007/PartnerControls"/>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AggregatedComments xmlns="133de3ae-5bb8-4cbb-9752-c1040d721e37">&lt;div&gt;&lt;/div&gt;</AggregatedComments>
    <Country1 xmlns="133de3ae-5bb8-4cbb-9752-c1040d721e37">Guatemala</Country1>
    <PracticeUnit xmlns="133de3ae-5bb8-4cbb-9752-c1040d721e37">
      <Value>FA</Value>
    </PracticeUnit>
    <ReviewType xmlns="133de3ae-5bb8-4cbb-9752-c1040d721e37">Technical Review</ReviewType>
    <FY xmlns="133de3ae-5bb8-4cbb-9752-c1040d721e37">2017</FY>
    <DocumentStatus xmlns="133de3ae-5bb8-4cbb-9752-c1040d721e37">Pending</DocumentStatus>
    <_dlc_DocId xmlns="d3b91ed5-3f36-4885-8f16-366304d6a523">ZNSTWXDCAFYN-217-4</_dlc_DocId>
    <_dlc_DocIdUrl xmlns="d3b91ed5-3f36-4885-8f16-366304d6a523">
      <Url>http://intranet.mcc.gov/department/DPE/Team/POL_CPI/guatemala1/_layouts/DocIdRedir.aspx?ID=ZNSTWXDCAFYN-217-4</Url>
      <Description>ZNSTWXDCAFYN-217-4</Description>
    </_dlc_DocIdUrl>
    <SubDocType xmlns="c6aa829a-de30-4eeb-a917-5f1e16f11f75" xsi:nil="true"/>
    <Activity xmlns="c6aa829a-de30-4eeb-a917-5f1e16f11f75" xsi:nil="true"/>
    <DocType xmlns="c6aa829a-de30-4eeb-a917-5f1e16f11f75" xsi:nil="true"/>
    <Phase xmlns="c6aa829a-de30-4eeb-a917-5f1e16f11f75" xsi:nil="true"/>
    <Project xmlns="c6aa829a-de30-4eeb-a917-5f1e16f11f75" xsi:nil="true"/>
    <SubPhase xmlns="c6aa829a-de30-4eeb-a917-5f1e16f11f75" xsi:nil="true"/>
    <SendTo xmlns="133de3ae-5bb8-4cbb-9752-c1040d721e37">--Choose One--</SendTo>
  </documentManagement>
</p:properties>
</file>

<file path=customXml/itemProps1.xml><?xml version="1.0" encoding="utf-8"?>
<ds:datastoreItem xmlns:ds="http://schemas.openxmlformats.org/officeDocument/2006/customXml" ds:itemID="{1C7308B3-4904-454B-9FE5-211FFF23EF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33de3ae-5bb8-4cbb-9752-c1040d721e37"/>
    <ds:schemaRef ds:uri="c6aa829a-de30-4eeb-a917-5f1e16f11f75"/>
    <ds:schemaRef ds:uri="d3b91ed5-3f36-4885-8f16-366304d6a5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6C1C87B-2292-46AA-AF9B-7AA0FD922DE1}">
  <ds:schemaRefs>
    <ds:schemaRef ds:uri="http://schemas.microsoft.com/sharepoint/v3/contenttype/forms"/>
  </ds:schemaRefs>
</ds:datastoreItem>
</file>

<file path=customXml/itemProps3.xml><?xml version="1.0" encoding="utf-8"?>
<ds:datastoreItem xmlns:ds="http://schemas.openxmlformats.org/officeDocument/2006/customXml" ds:itemID="{138D9C3E-8C92-4208-8A5B-5D97F1107407}">
  <ds:schemaRefs>
    <ds:schemaRef ds:uri="http://schemas.microsoft.com/sharepoint/events"/>
  </ds:schemaRefs>
</ds:datastoreItem>
</file>

<file path=customXml/itemProps4.xml><?xml version="1.0" encoding="utf-8"?>
<ds:datastoreItem xmlns:ds="http://schemas.openxmlformats.org/officeDocument/2006/customXml" ds:itemID="{2A3C046C-33C0-43F6-B7B3-4A615857768F}">
  <ds:schemaRefs>
    <ds:schemaRef ds:uri="http://purl.org/dc/terms/"/>
    <ds:schemaRef ds:uri="c6aa829a-de30-4eeb-a917-5f1e16f11f75"/>
    <ds:schemaRef ds:uri="http://schemas.microsoft.com/office/2006/documentManagement/types"/>
    <ds:schemaRef ds:uri="http://schemas.microsoft.com/office/infopath/2007/PartnerControls"/>
    <ds:schemaRef ds:uri="http://schemas.openxmlformats.org/package/2006/metadata/core-properties"/>
    <ds:schemaRef ds:uri="133de3ae-5bb8-4cbb-9752-c1040d721e37"/>
    <ds:schemaRef ds:uri="http://purl.org/dc/elements/1.1/"/>
    <ds:schemaRef ds:uri="http://schemas.microsoft.com/office/2006/metadata/properties"/>
    <ds:schemaRef ds:uri="d3b91ed5-3f36-4885-8f16-366304d6a52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Wingle, John F (DPE/POL-CPI)</dc:creator>
  <cp:keywords/>
  <dc:description/>
  <cp:lastModifiedBy>Josué Ricart</cp:lastModifiedBy>
  <cp:lastPrinted>2018-09-18T21:10:09Z</cp:lastPrinted>
  <dcterms:created xsi:type="dcterms:W3CDTF">2016-05-12T16:21:20Z</dcterms:created>
  <dcterms:modified xsi:type="dcterms:W3CDTF">2021-12-21T04:02:07Z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082eae01-d6a2-4991-94c0-3e83e35649f4</vt:lpwstr>
  </property>
  <property fmtid="{D5CDD505-2E9C-101B-9397-08002B2CF9AE}" pid="3" name="ContentTypeId">
    <vt:lpwstr>0x01010060F0C3B9C1A6634EB9ABC54E876D711E003DCEA2CA0D72C4489A479CA46ABC2FD4</vt:lpwstr>
  </property>
</Properties>
</file>