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9200" windowHeight="6945" activeTab="1"/>
  </bookViews>
  <sheets>
    <sheet name="DFP-Com" sheetId="1" r:id="rId1"/>
    <sheet name="DFP-CASH" sheetId="2" r:id="rId2"/>
    <sheet name="QFR - A" sheetId="3" r:id="rId3"/>
    <sheet name="QFR - B" sheetId="4" r:id="rId4"/>
    <sheet name="THP DR" sheetId="5" r:id="rId5"/>
    <sheet name="Contract level" sheetId="6" state="hidden" r:id="rId6"/>
    <sheet name="Error checks" sheetId="7" state="hidden" r:id="rId7"/>
    <sheet name="Historico" sheetId="9" state="hidden" r:id="rId8"/>
  </sheets>
  <externalReferences>
    <externalReference r:id="rId11"/>
  </externalReferences>
  <definedNames>
    <definedName name="_xlnm._FilterDatabase" localSheetId="5" hidden="1">'Contract level'!$A$3:$BD$90</definedName>
    <definedName name="_xlnm._FilterDatabase" localSheetId="7" hidden="1">'Historico'!$A$3:$BD$38</definedName>
    <definedName name="_xlnm.Print_Area" localSheetId="1">'DFP-CASH'!$B$11:$H$54</definedName>
    <definedName name="_xlnm.Print_Area" localSheetId="0">'DFP-Com'!$B$9:$H$52</definedName>
    <definedName name="ScheduleA" localSheetId="7">#REF!</definedName>
    <definedName name="ScheduleA">#REF!</definedName>
    <definedName name="ScheduleB" localSheetId="7">#REF!</definedName>
    <definedName name="ScheduleB">#REF!</definedName>
    <definedName name="ScheduleF" localSheetId="7">#REF!</definedName>
    <definedName name="ScheduleF">#REF!</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Josue Andreé Ricart Vásquez</author>
  </authors>
  <commentList>
    <comment ref="G29" authorId="0">
      <text>
        <r>
          <rPr>
            <b/>
            <sz val="9"/>
            <rFont val="Tahoma"/>
            <family val="2"/>
          </rPr>
          <t>Josue Andreé Ricart Vásquez:</t>
        </r>
        <r>
          <rPr>
            <sz val="9"/>
            <rFont val="Tahoma"/>
            <family val="2"/>
          </rPr>
          <t xml:space="preserve">
lilian merlo</t>
        </r>
      </text>
    </comment>
    <comment ref="G46" authorId="0">
      <text>
        <r>
          <rPr>
            <b/>
            <sz val="9"/>
            <rFont val="Tahoma"/>
            <family val="2"/>
          </rPr>
          <t>Josue Andreé Ricart Vásquez:</t>
        </r>
        <r>
          <rPr>
            <sz val="9"/>
            <rFont val="Tahoma"/>
            <family val="2"/>
          </rPr>
          <t xml:space="preserve">
Ruben, Rosa María, Liseth.</t>
        </r>
      </text>
    </comment>
    <comment ref="E49" authorId="0">
      <text>
        <r>
          <rPr>
            <b/>
            <sz val="9"/>
            <rFont val="Tahoma"/>
            <family val="2"/>
          </rPr>
          <t>Josue Andreé Ricart Vásquez:</t>
        </r>
        <r>
          <rPr>
            <sz val="9"/>
            <rFont val="Tahoma"/>
            <family val="2"/>
          </rPr>
          <t xml:space="preserve">
nuevo contrato de parqueo
</t>
        </r>
      </text>
    </comment>
  </commentList>
</comments>
</file>

<file path=xl/comments2.xml><?xml version="1.0" encoding="utf-8"?>
<comments xmlns="http://schemas.openxmlformats.org/spreadsheetml/2006/main">
  <authors>
    <author>Josue Andreé Ricart Vásquez</author>
  </authors>
  <commentList>
    <comment ref="G18" authorId="0">
      <text>
        <r>
          <rPr>
            <b/>
            <sz val="9"/>
            <rFont val="Tahoma"/>
            <family val="2"/>
          </rPr>
          <t>Josue Andreé Ricart Vásquez:</t>
        </r>
        <r>
          <rPr>
            <sz val="9"/>
            <rFont val="Tahoma"/>
            <family val="2"/>
          </rPr>
          <t xml:space="preserve">
basado en programación de liseth</t>
        </r>
      </text>
    </comment>
    <comment ref="E24" authorId="0">
      <text>
        <r>
          <rPr>
            <b/>
            <sz val="9"/>
            <rFont val="Tahoma"/>
            <family val="2"/>
          </rPr>
          <t>Josue Andreé Ricart Vásquez:</t>
        </r>
        <r>
          <rPr>
            <sz val="9"/>
            <rFont val="Tahoma"/>
            <family val="2"/>
          </rPr>
          <t xml:space="preserve">
basado en programación liseth</t>
        </r>
      </text>
    </comment>
    <comment ref="D40" authorId="0">
      <text>
        <r>
          <rPr>
            <b/>
            <sz val="9"/>
            <rFont val="Tahoma"/>
            <family val="2"/>
          </rPr>
          <t>Josue Andreé Ricart Vásquez:</t>
        </r>
        <r>
          <rPr>
            <sz val="9"/>
            <rFont val="Tahoma"/>
            <family val="2"/>
          </rPr>
          <t xml:space="preserve">
se suman 15000 aproximados por la firma de los contratos de los pilotos enumerators
</t>
        </r>
      </text>
    </comment>
  </commentList>
</comments>
</file>

<file path=xl/comments6.xml><?xml version="1.0" encoding="utf-8"?>
<comments xmlns="http://schemas.openxmlformats.org/spreadsheetml/2006/main">
  <authors>
    <author>Josue Andreé Ricart Vásquez</author>
  </authors>
  <commentList>
    <comment ref="J52" authorId="0">
      <text>
        <r>
          <rPr>
            <b/>
            <sz val="9"/>
            <rFont val="Tahoma"/>
            <family val="2"/>
          </rPr>
          <t>Josue Andreé Ricart Vásquez:</t>
        </r>
        <r>
          <rPr>
            <sz val="9"/>
            <rFont val="Tahoma"/>
            <family val="2"/>
          </rPr>
          <t xml:space="preserve">
Solo aumente para este trimestre porque no se que sucede si hago que uamenten los montos en los compromisos de todos, </t>
        </r>
      </text>
    </comment>
    <comment ref="C53" authorId="0">
      <text>
        <r>
          <rPr>
            <b/>
            <sz val="9"/>
            <rFont val="Tahoma"/>
            <family val="2"/>
          </rPr>
          <t xml:space="preserve">julio
</t>
        </r>
      </text>
    </comment>
  </commentList>
</comments>
</file>

<file path=xl/sharedStrings.xml><?xml version="1.0" encoding="utf-8"?>
<sst xmlns="http://schemas.openxmlformats.org/spreadsheetml/2006/main" count="856" uniqueCount="285">
  <si>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</si>
  <si>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</si>
  <si>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</si>
  <si>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</si>
  <si>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</si>
  <si>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</si>
  <si>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</si>
  <si>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</si>
  <si>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</si>
  <si>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</si>
  <si>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</si>
  <si>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</si>
  <si>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Actual Cumulative Commitments at Beginning of Current Period</t>
  </si>
  <si>
    <t>Projected Commitments during Current Period</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</si>
  <si>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</si>
  <si>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</si>
  <si>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</si>
  <si>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</si>
  <si>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</si>
  <si>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</si>
  <si>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</si>
  <si>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</si>
  <si>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</si>
  <si>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</si>
  <si>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</si>
  <si>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</si>
  <si>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</si>
  <si>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</si>
  <si>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</si>
  <si>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</si>
  <si>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</si>
  <si>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</si>
  <si>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</si>
  <si>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</si>
  <si>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</si>
  <si>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</si>
  <si>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</si>
  <si>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</si>
  <si>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</si>
  <si>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Theshold Program / Program Administration and Monitoring and Evaluation</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</si>
  <si>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</si>
  <si>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</si>
  <si>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</si>
  <si>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</si>
  <si>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</si>
  <si>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</si>
  <si>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</si>
  <si>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</si>
  <si>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</si>
  <si>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</si>
  <si>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</si>
  <si>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</si>
  <si>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</si>
  <si>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</si>
  <si>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</si>
  <si>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</si>
  <si>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</si>
  <si>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</si>
  <si>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</si>
  <si>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</si>
  <si>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</si>
  <si>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Date:  _____________________________________________________________</t>
  </si>
  <si>
    <t xml:space="preserve">Name: </t>
  </si>
  <si>
    <t>TOTAL - Education</t>
  </si>
  <si>
    <t>TOTAL - Resource Mobilization</t>
  </si>
  <si>
    <t>Jan '18
Mar '18</t>
  </si>
  <si>
    <t>Apr '18
Jun '18</t>
  </si>
  <si>
    <t>Oct '17
Dec '17</t>
  </si>
  <si>
    <t>Oct '18
Dec '18</t>
  </si>
  <si>
    <t>Jan '19
Mar '19</t>
  </si>
  <si>
    <t>Apr '19
Jun '19</t>
  </si>
  <si>
    <t>Signed by the  Executive Director of PRONACOM</t>
  </si>
  <si>
    <t>Guatemala</t>
  </si>
  <si>
    <t>PRONACOM</t>
  </si>
  <si>
    <t>TR14GTM15001</t>
  </si>
  <si>
    <t>Grant Quarter #7</t>
  </si>
  <si>
    <t>Grant Quarter #8</t>
  </si>
  <si>
    <t>Grant Quarter #10</t>
  </si>
  <si>
    <t>Grant Quarter #11</t>
  </si>
  <si>
    <t>Grant Quarter #12</t>
  </si>
  <si>
    <t>Grant Quarter #13</t>
  </si>
  <si>
    <t>Grant Quarter #14</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</si>
  <si>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</si>
  <si>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</si>
  <si>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</si>
  <si>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</si>
  <si>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</si>
  <si>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</si>
  <si>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</si>
  <si>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</si>
  <si>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</si>
  <si>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</si>
  <si>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</si>
  <si>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</si>
  <si>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</si>
  <si>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</si>
  <si>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Adjustment Reported/
Approved
(insert date)</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</si>
  <si>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</si>
  <si>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</si>
  <si>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</si>
  <si>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</si>
  <si>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</si>
  <si>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</si>
  <si>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</si>
  <si>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</si>
  <si>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</si>
  <si>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</si>
  <si>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</si>
  <si>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</si>
  <si>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</si>
  <si>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</si>
  <si>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</si>
  <si>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</si>
  <si>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</si>
  <si>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</si>
  <si>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</si>
  <si>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</si>
  <si>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</si>
  <si>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</si>
  <si>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</si>
  <si>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</si>
  <si>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</si>
  <si>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</si>
  <si>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</si>
  <si>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</si>
  <si>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</si>
  <si>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</si>
  <si>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</si>
  <si>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</si>
  <si>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</si>
  <si>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</si>
  <si>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</si>
  <si>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</si>
  <si>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</si>
  <si>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</si>
  <si>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</si>
  <si>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</si>
  <si>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</si>
  <si>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</si>
  <si>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</si>
  <si>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</si>
  <si>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</si>
  <si>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</si>
  <si>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</si>
  <si>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</si>
  <si>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</si>
  <si>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</si>
  <si>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</si>
  <si>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</si>
  <si>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</si>
  <si>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</si>
  <si>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</si>
  <si>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</si>
  <si>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</si>
  <si>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</si>
  <si>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</si>
  <si>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</si>
  <si>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</si>
  <si>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</si>
  <si>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</si>
  <si>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</si>
  <si>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</si>
  <si>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</si>
  <si>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</si>
  <si>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</si>
  <si>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</si>
  <si>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</si>
  <si>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</si>
  <si>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</si>
  <si>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</si>
  <si>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</si>
  <si>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</si>
  <si>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</si>
  <si>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</si>
  <si>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</si>
  <si>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</si>
  <si>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</si>
  <si>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</si>
  <si>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</si>
  <si>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</si>
  <si>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</si>
  <si>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</si>
  <si>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</si>
  <si>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</si>
  <si>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</si>
  <si>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</si>
  <si>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</si>
  <si>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</si>
  <si>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</si>
  <si>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</si>
  <si>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</si>
  <si>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</si>
  <si>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</si>
  <si>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</si>
  <si>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</si>
  <si>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</si>
  <si>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</si>
  <si>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</si>
  <si>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</si>
  <si>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</si>
  <si>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</si>
  <si>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</si>
  <si>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</si>
  <si>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</si>
  <si>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</si>
  <si>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</si>
  <si>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</si>
  <si>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</si>
  <si>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</si>
  <si>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</si>
  <si>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</si>
  <si>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</si>
  <si>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</si>
  <si>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</si>
  <si>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</si>
  <si>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</si>
  <si>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</si>
  <si>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</si>
  <si>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</si>
  <si>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</si>
  <si>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</si>
  <si>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</si>
  <si>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</si>
  <si>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</si>
  <si>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</si>
  <si>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</si>
  <si>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Grant Quarter #15</t>
  </si>
  <si>
    <t>Grant Quarter #16</t>
  </si>
  <si>
    <t>Oct '19
Dec '19</t>
  </si>
  <si>
    <t>Jan '20
Mar '20</t>
  </si>
  <si>
    <t>FxT Coordinator</t>
  </si>
  <si>
    <t>Actual Cumulative Disbursements at Beginning of Current Period</t>
  </si>
  <si>
    <t>Out of Cycle Report:  Yes [ ] | No [ x ]</t>
  </si>
  <si>
    <t>M&amp;E</t>
  </si>
  <si>
    <t>Total Comprometido a la fecha</t>
  </si>
  <si>
    <t>TVET place holder</t>
  </si>
  <si>
    <t>place holder</t>
  </si>
  <si>
    <t>q15</t>
  </si>
  <si>
    <t>Certified by the Minister of Economy</t>
  </si>
  <si>
    <t>MCC (Acting Fiscal Agent)</t>
  </si>
  <si>
    <t>April 8, 2015/May 15, 2016</t>
  </si>
  <si>
    <t>Adjustment Reported/
Approved
(Q1 - 9/10/2016)</t>
  </si>
  <si>
    <t>data subscriptions</t>
  </si>
  <si>
    <t>IT consultants</t>
  </si>
  <si>
    <t>Managaement coach for customs and audit</t>
  </si>
  <si>
    <t>PPP coach option 1</t>
  </si>
  <si>
    <t>PPP coach option 2</t>
  </si>
  <si>
    <t>q8</t>
  </si>
  <si>
    <t xml:space="preserve">Date:  </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</si>
  <si>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</si>
  <si>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</si>
  <si>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</si>
  <si>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</si>
  <si>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</si>
  <si>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</si>
  <si>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</si>
  <si>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</si>
  <si>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cash before Com</t>
  </si>
  <si>
    <t xml:space="preserve"> com-cash</t>
  </si>
  <si>
    <t>total</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</si>
  <si>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</si>
  <si>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</si>
  <si>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</si>
  <si>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</si>
  <si>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</si>
  <si>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</si>
  <si>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</si>
  <si>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Jul '18
Sep '18</t>
  </si>
  <si>
    <t>Jul '19
Sep '19</t>
  </si>
  <si>
    <t>Grant Quarter #9</t>
  </si>
  <si>
    <t>Apr '20
Jun '20</t>
  </si>
  <si>
    <t>* This activity has  MCC Managed (commitments and disbursements are reported on the quarterly MCC-Managed Report)</t>
  </si>
  <si>
    <t>* This activity (0443) is partially MCC-Managed</t>
  </si>
  <si>
    <t>Name:  Victor Asturias</t>
  </si>
  <si>
    <t>Jul '17
Sept '17</t>
  </si>
  <si>
    <t>Oct´17</t>
  </si>
  <si>
    <t>Nov`17</t>
  </si>
  <si>
    <t>Dic´17</t>
  </si>
  <si>
    <t>Projected Disbursements during Current Period</t>
  </si>
  <si>
    <t>Jun´ 2017</t>
  </si>
  <si>
    <t>q10</t>
  </si>
  <si>
    <t>q11</t>
  </si>
  <si>
    <t>Date: 13 de septiembre de 2017</t>
  </si>
  <si>
    <t>one million, seven hundred three thousand, nine hundred sixty-nine and sixty-three cents</t>
  </si>
  <si>
    <t>Name: José Fernando Suriano Buezo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</si>
</sst>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quot;#,##0.00_);\(&quot;$&quot;#,##0.00\)"/>
    <numFmt numFmtId="165" formatCode="_(&quot;$&quot;* #,##0.00_);_(&quot;$&quot;* \(#,##0.00\);_(&quot;$&quot;* &quot;-&quot;??_);_(@_)"/>
    <numFmt numFmtId="166" formatCode="_(* #,##0.00_);_(* \(#,##0.00\);_(* &quot;-&quot;??_);_(@_)"/>
    <numFmt numFmtId="167" formatCode="_(* #,##0_);_(* \(#,##0\);_(* &quot;-&quot;??_);_(@_)"/>
    <numFmt numFmtId="168" formatCode="0_);[Red]\(0\)"/>
    <numFmt numFmtId="169" formatCode="[$-409]mmmm\ d\,\ yyyy;@"/>
    <numFmt numFmtId="170" formatCode="[$-409]mmm\-yy;@"/>
    <numFmt numFmtId="171" formatCode="m/d/yy;@"/>
    <numFmt numFmtId="172" formatCode="_(&quot;$&quot;* #,##0_);_(&quot;$&quot;* \(#,##0\);_(&quot;$&quot;* &quot;-&quot;??_);_(@_)"/>
    <numFmt numFmtId="173" formatCode="0.0%"/>
    <numFmt numFmtId="174" formatCode="[$-409]dd\-mmm\-yy;@"/>
    <numFmt numFmtId="175" formatCode="0.0000000000%"/>
    <numFmt numFmtId="176" formatCode="0.00000000000%"/>
  </numFmts>
  <fonts count="34">
    <font>
      <sz val="11"/>
      <color theme="1"/>
      <name val="Calibri"/>
      <family val="2"/>
      <scheme val="minor"/>
    </font>
    <font>
      <sz val="10"/>
      <name val="Arial"/>
      <family val="2"/>
    </font>
    <font>
      <b/>
      <sz val="10"/>
      <name val="Arial Narrow"/>
      <family val="2"/>
    </font>
    <font>
      <b/>
      <sz val="10"/>
      <name val="Arial"/>
      <family val="2"/>
    </font>
    <font>
      <b/>
      <u val="single"/>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
      <sz val="10"/>
      <name val="Calibri"/>
      <family val="2"/>
      <scheme val="minor"/>
    </font>
    <font>
      <b/>
      <sz val="9"/>
      <name val="Tahoma"/>
      <family val="2"/>
    </font>
    <font>
      <sz val="9"/>
      <name val="Tahoma"/>
      <family val="2"/>
    </font>
    <font>
      <sz val="9"/>
      <color theme="1"/>
      <name val="Calibri"/>
      <family val="2"/>
      <scheme val="minor"/>
    </font>
    <font>
      <b/>
      <sz val="8"/>
      <name val="Calibri"/>
      <family val="2"/>
    </font>
  </fonts>
  <fills count="25">
    <fill>
      <patternFill/>
    </fill>
    <fill>
      <patternFill patternType="gray125"/>
    </fill>
    <fill>
      <patternFill patternType="solid">
        <fgColor indexed="46"/>
        <bgColor indexed="64"/>
      </patternFill>
    </fill>
    <fill>
      <patternFill patternType="solid">
        <fgColor indexed="5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theme="9" tint="0.5999900102615356"/>
        <bgColor indexed="64"/>
      </patternFill>
    </fill>
    <fill>
      <patternFill patternType="solid">
        <fgColor indexed="8"/>
        <bgColor indexed="64"/>
      </patternFill>
    </fill>
    <fill>
      <patternFill patternType="solid">
        <fgColor indexed="13"/>
        <bgColor indexed="64"/>
      </patternFill>
    </fill>
    <fill>
      <patternFill patternType="darkTrellis"/>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theme="7"/>
        <bgColor indexed="64"/>
      </patternFill>
    </fill>
    <fill>
      <patternFill patternType="solid">
        <fgColor theme="8" tint="-0.4999699890613556"/>
        <bgColor indexed="64"/>
      </patternFill>
    </fill>
    <fill>
      <patternFill patternType="solid">
        <fgColor theme="9" tint="-0.4999699890613556"/>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7999799847602844"/>
        <bgColor indexed="64"/>
      </patternFill>
    </fill>
  </fills>
  <borders count="47">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right style="medium"/>
      <top/>
      <bottom style="medium"/>
    </border>
    <border>
      <left style="thin"/>
      <right style="thin"/>
      <top style="medium"/>
      <bottom style="medium"/>
    </border>
    <border>
      <left style="medium"/>
      <right style="thin"/>
      <top/>
      <bottom style="thin"/>
    </border>
    <border>
      <left/>
      <right/>
      <top/>
      <bottom style="thin"/>
    </border>
    <border>
      <left style="thin">
        <color indexed="55"/>
      </left>
      <right/>
      <top/>
      <bottom/>
    </border>
    <border>
      <left style="thin"/>
      <right style="medium"/>
      <top/>
      <bottom style="thin"/>
    </border>
    <border>
      <left style="medium"/>
      <right style="thin"/>
      <top style="thin"/>
      <bottom style="thin"/>
    </border>
    <border>
      <left style="thin"/>
      <right style="medium"/>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medium"/>
      <right style="thin"/>
      <top style="thin"/>
      <bottom style="medium"/>
    </border>
    <border>
      <left style="medium"/>
      <right style="thin"/>
      <top/>
      <bottom style="medium"/>
    </border>
    <border>
      <left/>
      <right/>
      <top style="thin"/>
      <bottom style="thin"/>
    </border>
    <border>
      <left style="thin"/>
      <right/>
      <top style="thin"/>
      <bottom style="thin"/>
    </border>
    <border>
      <left/>
      <right style="thin"/>
      <top style="thin"/>
      <bottom style="double"/>
    </border>
    <border>
      <left style="thin"/>
      <right style="thin"/>
      <top style="thin"/>
      <bottom/>
    </border>
    <border>
      <left style="thin"/>
      <right/>
      <top style="medium"/>
      <bottom style="medium"/>
    </border>
    <border>
      <left/>
      <right style="thin"/>
      <top style="medium"/>
      <bottom style="mediu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0" fontId="23" fillId="0" borderId="0">
      <alignment/>
      <protection/>
    </xf>
    <xf numFmtId="43" fontId="23"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0" fillId="0" borderId="0" applyFont="0" applyFill="0" applyBorder="0" applyAlignment="0" applyProtection="0"/>
  </cellStyleXfs>
  <cellXfs count="418">
    <xf numFmtId="0" fontId="0" fillId="0" borderId="0" xfId="0"/>
    <xf numFmtId="167" fontId="1" fillId="0" borderId="0" xfId="21" applyNumberFormat="1"/>
    <xf numFmtId="167" fontId="2" fillId="0" borderId="1" xfId="22" applyNumberFormat="1" applyFont="1" applyBorder="1"/>
    <xf numFmtId="167" fontId="1" fillId="0" borderId="2" xfId="21" applyNumberFormat="1" applyFill="1" applyBorder="1"/>
    <xf numFmtId="167" fontId="1" fillId="0" borderId="3" xfId="21" applyNumberFormat="1" applyBorder="1"/>
    <xf numFmtId="167" fontId="1" fillId="0" borderId="0" xfId="21" applyNumberFormat="1" applyBorder="1"/>
    <xf numFmtId="168" fontId="1" fillId="0" borderId="0" xfId="21" applyNumberFormat="1"/>
    <xf numFmtId="0" fontId="1" fillId="0" borderId="0" xfId="23">
      <alignment/>
      <protection/>
    </xf>
    <xf numFmtId="167" fontId="3" fillId="0" borderId="1" xfId="21" applyNumberFormat="1" applyFont="1" applyBorder="1"/>
    <xf numFmtId="167" fontId="1" fillId="0" borderId="0" xfId="21" applyNumberFormat="1" applyFont="1"/>
    <xf numFmtId="0" fontId="1" fillId="0" borderId="0" xfId="23" applyBorder="1">
      <alignment/>
      <protection/>
    </xf>
    <xf numFmtId="167" fontId="1" fillId="0" borderId="4" xfId="21" applyNumberFormat="1" applyFill="1" applyBorder="1" applyAlignment="1">
      <alignment horizontal="right"/>
    </xf>
    <xf numFmtId="167" fontId="1" fillId="0" borderId="5" xfId="21" applyNumberFormat="1" applyFill="1" applyBorder="1"/>
    <xf numFmtId="0" fontId="0" fillId="0" borderId="6" xfId="0" applyBorder="1" applyAlignment="1">
      <alignment horizontal="left" indent="1"/>
    </xf>
    <xf numFmtId="167" fontId="1" fillId="0" borderId="7" xfId="21" applyNumberFormat="1" applyFill="1" applyBorder="1" applyAlignment="1">
      <alignment horizontal="right"/>
    </xf>
    <xf numFmtId="167" fontId="1" fillId="0" borderId="0" xfId="21" applyNumberFormat="1" applyFill="1" applyBorder="1"/>
    <xf numFmtId="0" fontId="0" fillId="0" borderId="8" xfId="0" applyBorder="1" applyAlignment="1">
      <alignment horizontal="left" indent="1"/>
    </xf>
    <xf numFmtId="167" fontId="1" fillId="0" borderId="7" xfId="21" applyNumberFormat="1" applyFont="1" applyFill="1" applyBorder="1" applyAlignment="1">
      <alignment horizontal="right"/>
    </xf>
    <xf numFmtId="167" fontId="1" fillId="0" borderId="9" xfId="21" applyNumberFormat="1" applyFont="1" applyBorder="1" applyAlignment="1">
      <alignment horizontal="right"/>
    </xf>
    <xf numFmtId="167" fontId="1" fillId="0" borderId="10" xfId="21" applyNumberFormat="1" applyFill="1" applyBorder="1" applyAlignment="1">
      <alignment/>
    </xf>
    <xf numFmtId="167" fontId="1" fillId="0" borderId="0" xfId="21" applyNumberFormat="1" applyAlignment="1">
      <alignment/>
    </xf>
    <xf numFmtId="167" fontId="1" fillId="0" borderId="0" xfId="21" applyNumberFormat="1" applyFill="1" applyBorder="1" applyAlignment="1">
      <alignment horizontal="center"/>
    </xf>
    <xf numFmtId="167" fontId="1" fillId="0" borderId="0" xfId="21" applyNumberFormat="1" applyBorder="1" applyAlignment="1">
      <alignment horizontal="center"/>
    </xf>
    <xf numFmtId="167" fontId="4" fillId="0" borderId="0" xfId="21" applyNumberFormat="1" applyFont="1" applyBorder="1" applyAlignment="1">
      <alignment horizontal="left"/>
    </xf>
    <xf numFmtId="168" fontId="3" fillId="0" borderId="0" xfId="21" applyNumberFormat="1" applyFont="1" applyFill="1"/>
    <xf numFmtId="167" fontId="3" fillId="0" borderId="0" xfId="21" applyNumberFormat="1" applyFont="1" applyFill="1"/>
    <xf numFmtId="167" fontId="1" fillId="0" borderId="0" xfId="21" applyNumberFormat="1" applyFont="1" applyFill="1" applyBorder="1" applyAlignment="1">
      <alignment horizontal="left"/>
    </xf>
    <xf numFmtId="167" fontId="4" fillId="0" borderId="0" xfId="21" applyNumberFormat="1" applyFont="1" applyFill="1" applyBorder="1" applyAlignment="1">
      <alignment horizontal="left"/>
    </xf>
    <xf numFmtId="0" fontId="1" fillId="0" borderId="0" xfId="23" applyFont="1" applyFill="1" applyBorder="1" applyAlignment="1">
      <alignment horizontal="left"/>
      <protection/>
    </xf>
    <xf numFmtId="49" fontId="6" fillId="2" borderId="11" xfId="22" applyNumberFormat="1" applyFont="1" applyFill="1" applyBorder="1" applyAlignment="1">
      <alignment horizontal="center" vertical="center"/>
    </xf>
    <xf numFmtId="49" fontId="6" fillId="3" borderId="12" xfId="22" applyNumberFormat="1" applyFont="1" applyFill="1" applyBorder="1" applyAlignment="1">
      <alignment horizontal="center" vertical="center"/>
    </xf>
    <xf numFmtId="168" fontId="3" fillId="4" borderId="12" xfId="21" applyNumberFormat="1" applyFont="1" applyFill="1" applyBorder="1" applyAlignment="1">
      <alignment horizontal="center" vertical="center"/>
    </xf>
    <xf numFmtId="168" fontId="3" fillId="0" borderId="0" xfId="21" applyNumberFormat="1" applyFont="1" applyFill="1" applyBorder="1" applyAlignment="1">
      <alignment horizontal="center" vertical="center"/>
    </xf>
    <xf numFmtId="49" fontId="2" fillId="2" borderId="11" xfId="22" applyNumberFormat="1" applyFont="1" applyFill="1" applyBorder="1" applyAlignment="1">
      <alignment horizontal="center" vertical="center" wrapText="1"/>
    </xf>
    <xf numFmtId="49" fontId="2" fillId="3" borderId="12" xfId="22" applyNumberFormat="1" applyFont="1" applyFill="1" applyBorder="1" applyAlignment="1">
      <alignment horizontal="center" vertical="center" wrapText="1"/>
    </xf>
    <xf numFmtId="0" fontId="3" fillId="5" borderId="12" xfId="23" applyFont="1" applyFill="1" applyBorder="1" applyAlignment="1">
      <alignment horizontal="center" vertical="center" wrapText="1"/>
      <protection/>
    </xf>
    <xf numFmtId="168" fontId="3" fillId="0" borderId="0" xfId="21" applyNumberFormat="1" applyFont="1" applyFill="1" applyBorder="1" applyAlignment="1">
      <alignment horizontal="center" vertical="center" wrapText="1"/>
    </xf>
    <xf numFmtId="167" fontId="1" fillId="0" borderId="11" xfId="21" applyNumberFormat="1" applyBorder="1"/>
    <xf numFmtId="167" fontId="1" fillId="0" borderId="12" xfId="21" applyNumberFormat="1" applyBorder="1"/>
    <xf numFmtId="167" fontId="8" fillId="5" borderId="12" xfId="22" applyNumberFormat="1" applyFont="1" applyFill="1" applyBorder="1" applyAlignment="1">
      <alignment horizontal="center" vertical="center"/>
    </xf>
    <xf numFmtId="49" fontId="2" fillId="2" borderId="13" xfId="22" applyNumberFormat="1" applyFont="1" applyFill="1" applyBorder="1" applyAlignment="1">
      <alignment horizontal="center" vertical="center" wrapText="1"/>
    </xf>
    <xf numFmtId="49" fontId="2" fillId="3" borderId="14" xfId="22" applyNumberFormat="1" applyFont="1" applyFill="1" applyBorder="1" applyAlignment="1">
      <alignment horizontal="center" vertical="center" wrapText="1"/>
    </xf>
    <xf numFmtId="167" fontId="3" fillId="6" borderId="12" xfId="21" applyNumberFormat="1" applyFont="1" applyFill="1" applyBorder="1"/>
    <xf numFmtId="167" fontId="3" fillId="7" borderId="12" xfId="21" applyNumberFormat="1" applyFont="1" applyFill="1" applyBorder="1" applyAlignment="1">
      <alignment horizontal="center"/>
    </xf>
    <xf numFmtId="167" fontId="3" fillId="7" borderId="11" xfId="21" applyNumberFormat="1" applyFont="1" applyFill="1" applyBorder="1" applyAlignment="1">
      <alignment horizontal="center"/>
    </xf>
    <xf numFmtId="167" fontId="9" fillId="8" borderId="12" xfId="21" applyNumberFormat="1" applyFont="1" applyFill="1" applyBorder="1" applyAlignment="1">
      <alignment wrapText="1"/>
    </xf>
    <xf numFmtId="167" fontId="3" fillId="8" borderId="11" xfId="21" applyNumberFormat="1" applyFont="1" applyFill="1" applyBorder="1" applyAlignment="1">
      <alignment horizontal="center"/>
    </xf>
    <xf numFmtId="167" fontId="3" fillId="8" borderId="12" xfId="21" applyNumberFormat="1" applyFont="1" applyFill="1" applyBorder="1" applyAlignment="1">
      <alignment horizontal="center"/>
    </xf>
    <xf numFmtId="168" fontId="3" fillId="8" borderId="12" xfId="21" applyNumberFormat="1" applyFont="1" applyFill="1" applyBorder="1" applyAlignment="1">
      <alignment horizontal="center"/>
    </xf>
    <xf numFmtId="1" fontId="1" fillId="0" borderId="0" xfId="21" applyNumberFormat="1" applyBorder="1"/>
    <xf numFmtId="167" fontId="2" fillId="6" borderId="12" xfId="21" applyNumberFormat="1" applyFont="1" applyFill="1" applyBorder="1" applyAlignment="1">
      <alignment horizontal="left" vertical="center" wrapText="1"/>
    </xf>
    <xf numFmtId="167" fontId="3" fillId="6" borderId="11" xfId="21" applyNumberFormat="1" applyFont="1" applyFill="1" applyBorder="1"/>
    <xf numFmtId="167" fontId="2" fillId="9" borderId="12" xfId="21" applyNumberFormat="1" applyFont="1" applyFill="1" applyBorder="1" applyAlignment="1">
      <alignment horizontal="left" wrapText="1"/>
    </xf>
    <xf numFmtId="167" fontId="3" fillId="9" borderId="11" xfId="21" applyNumberFormat="1" applyFont="1" applyFill="1" applyBorder="1"/>
    <xf numFmtId="167" fontId="2" fillId="0" borderId="12" xfId="21" applyNumberFormat="1" applyFont="1" applyBorder="1" applyAlignment="1">
      <alignment wrapText="1"/>
    </xf>
    <xf numFmtId="167" fontId="3" fillId="0" borderId="11" xfId="21" applyNumberFormat="1" applyFont="1" applyBorder="1"/>
    <xf numFmtId="167" fontId="3" fillId="0" borderId="12" xfId="21" applyNumberFormat="1" applyFont="1" applyBorder="1"/>
    <xf numFmtId="167" fontId="3" fillId="8" borderId="11" xfId="21" applyNumberFormat="1" applyFont="1" applyFill="1" applyBorder="1"/>
    <xf numFmtId="167" fontId="3" fillId="8" borderId="12" xfId="21" applyNumberFormat="1" applyFont="1" applyFill="1" applyBorder="1"/>
    <xf numFmtId="167" fontId="2" fillId="9" borderId="12" xfId="21" applyNumberFormat="1" applyFont="1" applyFill="1" applyBorder="1" applyAlignment="1">
      <alignment wrapText="1"/>
    </xf>
    <xf numFmtId="1" fontId="1" fillId="0" borderId="0" xfId="23" applyNumberFormat="1" applyBorder="1">
      <alignment/>
      <protection/>
    </xf>
    <xf numFmtId="0" fontId="3" fillId="8" borderId="11" xfId="23" applyFont="1" applyFill="1" applyBorder="1">
      <alignment/>
      <protection/>
    </xf>
    <xf numFmtId="0" fontId="3" fillId="8" borderId="12" xfId="23" applyFont="1" applyFill="1" applyBorder="1">
      <alignment/>
      <protection/>
    </xf>
    <xf numFmtId="0" fontId="1" fillId="0" borderId="11" xfId="23" applyBorder="1">
      <alignment/>
      <protection/>
    </xf>
    <xf numFmtId="0" fontId="1" fillId="0" borderId="12" xfId="23" applyBorder="1">
      <alignment/>
      <protection/>
    </xf>
    <xf numFmtId="0" fontId="2" fillId="6" borderId="12" xfId="21" applyNumberFormat="1" applyFont="1" applyFill="1" applyBorder="1" applyAlignment="1">
      <alignment horizontal="left" wrapText="1"/>
    </xf>
    <xf numFmtId="167" fontId="2" fillId="6" borderId="12" xfId="21" applyNumberFormat="1" applyFont="1" applyFill="1" applyBorder="1" applyAlignment="1">
      <alignment horizontal="left" wrapText="1"/>
    </xf>
    <xf numFmtId="0" fontId="2" fillId="9" borderId="12" xfId="21" applyNumberFormat="1" applyFont="1" applyFill="1" applyBorder="1" applyAlignment="1">
      <alignment horizontal="left" wrapText="1"/>
    </xf>
    <xf numFmtId="167" fontId="1" fillId="0" borderId="0" xfId="21" applyNumberFormat="1" applyFill="1"/>
    <xf numFmtId="0" fontId="1" fillId="0" borderId="0" xfId="23" applyFont="1">
      <alignment/>
      <protection/>
    </xf>
    <xf numFmtId="167" fontId="13" fillId="0" borderId="0" xfId="21" applyNumberFormat="1" applyFont="1"/>
    <xf numFmtId="168" fontId="13" fillId="0" borderId="0" xfId="21" applyNumberFormat="1" applyFont="1"/>
    <xf numFmtId="167" fontId="13" fillId="0" borderId="0" xfId="21" applyNumberFormat="1" applyFont="1" applyFill="1"/>
    <xf numFmtId="0" fontId="3" fillId="0" borderId="4" xfId="0" applyFont="1" applyBorder="1"/>
    <xf numFmtId="0" fontId="0" fillId="0" borderId="5" xfId="0" applyBorder="1"/>
    <xf numFmtId="0" fontId="0" fillId="0" borderId="6" xfId="0" applyBorder="1"/>
    <xf numFmtId="0" fontId="1"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169" fontId="0" fillId="0" borderId="0" xfId="0" applyNumberFormat="1" applyBorder="1" applyAlignment="1">
      <alignment horizontal="left" indent="1"/>
    </xf>
    <xf numFmtId="0" fontId="1" fillId="0" borderId="9" xfId="0" applyFont="1" applyBorder="1" applyAlignment="1">
      <alignment horizontal="center"/>
    </xf>
    <xf numFmtId="0" fontId="0" fillId="0" borderId="10" xfId="0"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4" fillId="0" borderId="4" xfId="0" applyFont="1" applyBorder="1" applyAlignment="1">
      <alignment/>
    </xf>
    <xf numFmtId="0" fontId="4" fillId="0" borderId="5" xfId="0" applyFont="1" applyBorder="1" applyAlignment="1">
      <alignment horizontal="left"/>
    </xf>
    <xf numFmtId="0" fontId="4" fillId="0" borderId="6" xfId="0" applyFont="1" applyBorder="1" applyAlignment="1">
      <alignment horizontal="left"/>
    </xf>
    <xf numFmtId="167" fontId="1" fillId="0" borderId="0" xfId="20" applyNumberFormat="1" applyFont="1" applyBorder="1"/>
    <xf numFmtId="171" fontId="1" fillId="0" borderId="7" xfId="0" applyNumberFormat="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7" xfId="0" applyFont="1" applyBorder="1" applyAlignment="1">
      <alignment horizontal="left"/>
    </xf>
    <xf numFmtId="0" fontId="14" fillId="0" borderId="0" xfId="0" applyFont="1" applyBorder="1" applyAlignment="1">
      <alignment/>
    </xf>
    <xf numFmtId="0" fontId="14" fillId="0" borderId="0" xfId="0" applyFont="1" applyBorder="1"/>
    <xf numFmtId="0" fontId="14" fillId="0" borderId="8" xfId="0" applyFont="1" applyBorder="1"/>
    <xf numFmtId="167" fontId="3" fillId="0" borderId="0" xfId="20" applyNumberFormat="1" applyFont="1" applyBorder="1"/>
    <xf numFmtId="0" fontId="3" fillId="0" borderId="0" xfId="0" applyFont="1"/>
    <xf numFmtId="0" fontId="14" fillId="0" borderId="9" xfId="0" applyFont="1" applyBorder="1" applyAlignment="1">
      <alignment/>
    </xf>
    <xf numFmtId="0" fontId="0" fillId="0" borderId="10" xfId="0" applyBorder="1"/>
    <xf numFmtId="0" fontId="0" fillId="0" borderId="15" xfId="0" applyBorder="1"/>
    <xf numFmtId="0" fontId="15" fillId="0" borderId="1" xfId="0" applyFont="1" applyFill="1" applyBorder="1"/>
    <xf numFmtId="0" fontId="15" fillId="5" borderId="16" xfId="0" applyFont="1" applyFill="1" applyBorder="1" applyAlignment="1">
      <alignment horizont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17" xfId="0" applyFont="1" applyFill="1" applyBorder="1"/>
    <xf numFmtId="0" fontId="15" fillId="0" borderId="14" xfId="0" applyFont="1" applyFill="1" applyBorder="1" applyAlignment="1">
      <alignment horizontal="left"/>
    </xf>
    <xf numFmtId="0" fontId="16" fillId="0" borderId="18" xfId="0" applyFont="1" applyFill="1" applyBorder="1" applyAlignment="1">
      <alignment horizontal="center" wrapText="1"/>
    </xf>
    <xf numFmtId="0" fontId="15" fillId="0" borderId="0"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21" xfId="0" applyFont="1" applyFill="1" applyBorder="1"/>
    <xf numFmtId="0" fontId="15" fillId="0" borderId="12" xfId="0" applyFont="1" applyFill="1" applyBorder="1" applyAlignment="1">
      <alignment horizontal="center"/>
    </xf>
    <xf numFmtId="0" fontId="15" fillId="0" borderId="22" xfId="0" applyFont="1" applyFill="1" applyBorder="1" applyAlignment="1">
      <alignment horizontal="center"/>
    </xf>
    <xf numFmtId="0" fontId="4" fillId="0" borderId="5" xfId="0" applyFont="1" applyBorder="1" applyAlignment="1">
      <alignment/>
    </xf>
    <xf numFmtId="0" fontId="4" fillId="0" borderId="6" xfId="0" applyFont="1" applyBorder="1" applyAlignment="1">
      <alignment/>
    </xf>
    <xf numFmtId="0" fontId="18" fillId="0" borderId="4" xfId="24" applyFont="1" applyBorder="1">
      <alignment/>
      <protection/>
    </xf>
    <xf numFmtId="0" fontId="1" fillId="0" borderId="6" xfId="24" applyBorder="1" applyAlignment="1">
      <alignment horizontal="center"/>
      <protection/>
    </xf>
    <xf numFmtId="0" fontId="1" fillId="0" borderId="0" xfId="24">
      <alignment/>
      <protection/>
    </xf>
    <xf numFmtId="0" fontId="19" fillId="0" borderId="7" xfId="24" applyFont="1" applyBorder="1">
      <alignment/>
      <protection/>
    </xf>
    <xf numFmtId="0" fontId="1" fillId="0" borderId="8" xfId="24" applyBorder="1" applyAlignment="1">
      <alignment horizontal="center"/>
      <protection/>
    </xf>
    <xf numFmtId="0" fontId="3" fillId="0" borderId="14" xfId="24" applyFont="1" applyBorder="1">
      <alignment/>
      <protection/>
    </xf>
    <xf numFmtId="0" fontId="1" fillId="0" borderId="14" xfId="24" applyFont="1" applyBorder="1" applyAlignment="1">
      <alignment horizontal="left"/>
      <protection/>
    </xf>
    <xf numFmtId="0" fontId="3" fillId="0" borderId="12" xfId="24" applyFont="1" applyBorder="1">
      <alignment/>
      <protection/>
    </xf>
    <xf numFmtId="0" fontId="1" fillId="0" borderId="12" xfId="23" applyFont="1" applyFill="1" applyBorder="1" applyAlignment="1">
      <alignment horizontal="left" wrapText="1"/>
      <protection/>
    </xf>
    <xf numFmtId="0" fontId="1" fillId="0" borderId="0" xfId="23" applyFont="1" applyFill="1" applyBorder="1" applyAlignment="1">
      <alignment wrapText="1"/>
      <protection/>
    </xf>
    <xf numFmtId="0" fontId="3" fillId="0" borderId="12" xfId="23" applyFont="1" applyFill="1" applyBorder="1" applyAlignment="1">
      <alignment/>
      <protection/>
    </xf>
    <xf numFmtId="0" fontId="1" fillId="0" borderId="12" xfId="24" applyFont="1" applyBorder="1" applyAlignment="1">
      <alignment horizontal="left"/>
      <protection/>
    </xf>
    <xf numFmtId="0" fontId="3" fillId="0" borderId="12" xfId="23" applyFont="1" applyFill="1" applyBorder="1" applyAlignment="1">
      <alignment wrapText="1"/>
      <protection/>
    </xf>
    <xf numFmtId="0" fontId="1" fillId="0" borderId="12" xfId="24" applyFont="1" applyBorder="1" applyAlignment="1">
      <alignment horizontal="left" wrapText="1"/>
      <protection/>
    </xf>
    <xf numFmtId="169" fontId="1" fillId="0" borderId="12" xfId="24" applyNumberFormat="1" applyFont="1" applyBorder="1" applyAlignment="1">
      <alignment horizontal="left"/>
      <protection/>
    </xf>
    <xf numFmtId="0" fontId="3" fillId="0" borderId="12" xfId="24" applyFont="1" applyFill="1" applyBorder="1">
      <alignment/>
      <protection/>
    </xf>
    <xf numFmtId="0" fontId="3" fillId="0" borderId="12" xfId="24" applyFont="1" applyBorder="1" applyAlignment="1">
      <alignment wrapText="1"/>
      <protection/>
    </xf>
    <xf numFmtId="172" fontId="1" fillId="0" borderId="12" xfId="25" applyNumberFormat="1" applyFont="1" applyFill="1" applyBorder="1" applyAlignment="1">
      <alignment horizontal="center"/>
    </xf>
    <xf numFmtId="172" fontId="1" fillId="10" borderId="12" xfId="25" applyNumberFormat="1" applyFont="1" applyFill="1" applyBorder="1" applyAlignment="1">
      <alignment horizontal="center"/>
    </xf>
    <xf numFmtId="0" fontId="1" fillId="0" borderId="23" xfId="24" applyFont="1" applyBorder="1">
      <alignment/>
      <protection/>
    </xf>
    <xf numFmtId="0" fontId="1" fillId="0" borderId="24" xfId="24" applyFont="1" applyBorder="1" applyAlignment="1">
      <alignment horizontal="center"/>
      <protection/>
    </xf>
    <xf numFmtId="0" fontId="3" fillId="0" borderId="25" xfId="24" applyFont="1" applyBorder="1">
      <alignment/>
      <protection/>
    </xf>
    <xf numFmtId="0" fontId="1" fillId="0" borderId="26" xfId="24" applyFont="1" applyBorder="1" applyAlignment="1">
      <alignment horizontal="center"/>
      <protection/>
    </xf>
    <xf numFmtId="0" fontId="3" fillId="0" borderId="27" xfId="24" applyFont="1" applyBorder="1">
      <alignment/>
      <protection/>
    </xf>
    <xf numFmtId="0" fontId="1" fillId="0" borderId="13" xfId="24" applyFont="1" applyBorder="1" applyAlignment="1">
      <alignment horizontal="center"/>
      <protection/>
    </xf>
    <xf numFmtId="0" fontId="3" fillId="0" borderId="28" xfId="24" applyFont="1" applyBorder="1">
      <alignment/>
      <protection/>
    </xf>
    <xf numFmtId="0" fontId="1" fillId="0" borderId="27" xfId="24" applyFont="1" applyBorder="1">
      <alignment/>
      <protection/>
    </xf>
    <xf numFmtId="0" fontId="1" fillId="0" borderId="0" xfId="24" applyFont="1">
      <alignment/>
      <protection/>
    </xf>
    <xf numFmtId="0" fontId="1" fillId="0" borderId="0" xfId="24" applyFont="1" applyAlignment="1">
      <alignment horizontal="center"/>
      <protection/>
    </xf>
    <xf numFmtId="0" fontId="1" fillId="0" borderId="0" xfId="24" applyFill="1" applyBorder="1">
      <alignment/>
      <protection/>
    </xf>
    <xf numFmtId="0" fontId="1" fillId="0" borderId="0" xfId="24" applyFill="1" applyBorder="1" applyAlignment="1">
      <alignment horizontal="center"/>
      <protection/>
    </xf>
    <xf numFmtId="0" fontId="1" fillId="0" borderId="0" xfId="24" applyAlignment="1">
      <alignment horizontal="center"/>
      <protection/>
    </xf>
    <xf numFmtId="0" fontId="0" fillId="0" borderId="18" xfId="0" applyBorder="1" applyAlignment="1">
      <alignment horizontal="left" indent="1"/>
    </xf>
    <xf numFmtId="169" fontId="0" fillId="0" borderId="18" xfId="0" applyNumberFormat="1" applyBorder="1" applyAlignment="1">
      <alignment horizontal="left" indent="1"/>
    </xf>
    <xf numFmtId="0" fontId="1" fillId="0" borderId="7" xfId="0" applyFont="1" applyBorder="1" applyAlignment="1">
      <alignment/>
    </xf>
    <xf numFmtId="0" fontId="3" fillId="6" borderId="7" xfId="0" applyFont="1" applyFill="1" applyBorder="1"/>
    <xf numFmtId="0" fontId="14" fillId="0" borderId="4" xfId="0" applyFont="1" applyFill="1" applyBorder="1"/>
    <xf numFmtId="0" fontId="1" fillId="0" borderId="29" xfId="0" applyFont="1" applyFill="1" applyBorder="1"/>
    <xf numFmtId="0" fontId="3" fillId="6" borderId="17" xfId="0" applyFont="1" applyFill="1" applyBorder="1" applyAlignment="1">
      <alignment wrapText="1"/>
    </xf>
    <xf numFmtId="0" fontId="3" fillId="6" borderId="21" xfId="0" applyFont="1" applyFill="1" applyBorder="1" applyAlignment="1">
      <alignment horizontal="left" wrapText="1"/>
    </xf>
    <xf numFmtId="0" fontId="3" fillId="0" borderId="30" xfId="0" applyFont="1" applyFill="1" applyBorder="1" applyAlignment="1">
      <alignment horizontal="center"/>
    </xf>
    <xf numFmtId="4" fontId="3" fillId="6" borderId="12" xfId="0" applyNumberFormat="1" applyFont="1" applyFill="1" applyBorder="1"/>
    <xf numFmtId="166" fontId="3" fillId="6" borderId="12" xfId="0" applyNumberFormat="1" applyFont="1" applyFill="1" applyBorder="1"/>
    <xf numFmtId="4" fontId="3" fillId="6" borderId="22" xfId="0" applyNumberFormat="1" applyFont="1" applyFill="1" applyBorder="1"/>
    <xf numFmtId="4" fontId="1" fillId="11" borderId="12" xfId="0" applyNumberFormat="1" applyFont="1" applyFill="1" applyBorder="1"/>
    <xf numFmtId="4" fontId="1" fillId="11" borderId="22" xfId="0" applyNumberFormat="1" applyFont="1" applyFill="1" applyBorder="1"/>
    <xf numFmtId="4" fontId="3" fillId="11" borderId="22" xfId="0" applyNumberFormat="1" applyFont="1" applyFill="1" applyBorder="1"/>
    <xf numFmtId="0" fontId="3" fillId="12" borderId="31" xfId="0" applyFont="1" applyFill="1" applyBorder="1" applyAlignment="1">
      <alignment horizontal="center"/>
    </xf>
    <xf numFmtId="4" fontId="1" fillId="11" borderId="32" xfId="0" applyNumberFormat="1" applyFont="1" applyFill="1" applyBorder="1"/>
    <xf numFmtId="4" fontId="1" fillId="11" borderId="33" xfId="0" applyNumberFormat="1" applyFont="1" applyFill="1" applyBorder="1"/>
    <xf numFmtId="4" fontId="3" fillId="4" borderId="34" xfId="0" applyNumberFormat="1" applyFont="1" applyFill="1" applyBorder="1"/>
    <xf numFmtId="166" fontId="1" fillId="11" borderId="12" xfId="0" applyNumberFormat="1" applyFont="1" applyFill="1" applyBorder="1"/>
    <xf numFmtId="0" fontId="1" fillId="11" borderId="21" xfId="0" applyFont="1" applyFill="1" applyBorder="1" applyAlignment="1">
      <alignment horizontal="left" vertical="top" wrapText="1"/>
    </xf>
    <xf numFmtId="0" fontId="3" fillId="11" borderId="21" xfId="0" applyFont="1" applyFill="1" applyBorder="1" applyAlignment="1">
      <alignment vertical="top" wrapText="1"/>
    </xf>
    <xf numFmtId="0" fontId="3" fillId="6" borderId="21" xfId="0" applyFont="1" applyFill="1" applyBorder="1" applyAlignment="1">
      <alignment vertical="top" wrapText="1"/>
    </xf>
    <xf numFmtId="0" fontId="3" fillId="6" borderId="21" xfId="0" applyFont="1" applyFill="1" applyBorder="1" applyAlignment="1">
      <alignment horizontal="left" vertical="top" wrapText="1"/>
    </xf>
    <xf numFmtId="0" fontId="3" fillId="11" borderId="35" xfId="0" applyFont="1" applyFill="1" applyBorder="1" applyAlignment="1">
      <alignment vertical="top" wrapText="1"/>
    </xf>
    <xf numFmtId="0" fontId="3" fillId="4" borderId="36" xfId="0" applyFont="1" applyFill="1" applyBorder="1" applyAlignment="1">
      <alignment wrapText="1"/>
    </xf>
    <xf numFmtId="0" fontId="1" fillId="11" borderId="21" xfId="0" applyFont="1" applyFill="1" applyBorder="1" applyAlignment="1">
      <alignment horizontal="left" wrapText="1"/>
    </xf>
    <xf numFmtId="0" fontId="0" fillId="0" borderId="37" xfId="0" applyBorder="1" applyAlignment="1">
      <alignment horizontal="left" indent="1"/>
    </xf>
    <xf numFmtId="169" fontId="0" fillId="0" borderId="37" xfId="0" applyNumberFormat="1" applyBorder="1" applyAlignment="1">
      <alignment horizontal="left" indent="1"/>
    </xf>
    <xf numFmtId="166" fontId="3" fillId="6" borderId="14" xfId="0" applyNumberFormat="1" applyFont="1" applyFill="1" applyBorder="1"/>
    <xf numFmtId="166" fontId="1" fillId="9" borderId="12" xfId="0" applyNumberFormat="1" applyFont="1" applyFill="1" applyBorder="1"/>
    <xf numFmtId="166" fontId="1" fillId="11" borderId="10" xfId="0" applyNumberFormat="1" applyFont="1" applyFill="1" applyBorder="1"/>
    <xf numFmtId="166" fontId="3" fillId="5" borderId="32" xfId="0" applyNumberFormat="1" applyFont="1" applyFill="1" applyBorder="1" applyAlignment="1">
      <alignment/>
    </xf>
    <xf numFmtId="166" fontId="3" fillId="6" borderId="20" xfId="0" applyNumberFormat="1" applyFont="1" applyFill="1" applyBorder="1"/>
    <xf numFmtId="166" fontId="1" fillId="11" borderId="22" xfId="0" applyNumberFormat="1" applyFont="1" applyFill="1" applyBorder="1"/>
    <xf numFmtId="166" fontId="3" fillId="6" borderId="22" xfId="0" applyNumberFormat="1" applyFont="1" applyFill="1" applyBorder="1"/>
    <xf numFmtId="166" fontId="3" fillId="11" borderId="22" xfId="0" applyNumberFormat="1" applyFont="1" applyFill="1" applyBorder="1"/>
    <xf numFmtId="166" fontId="1" fillId="11" borderId="15" xfId="0" applyNumberFormat="1" applyFont="1" applyFill="1" applyBorder="1"/>
    <xf numFmtId="166" fontId="3" fillId="5" borderId="33" xfId="0" applyNumberFormat="1" applyFont="1" applyFill="1" applyBorder="1" applyAlignment="1">
      <alignment/>
    </xf>
    <xf numFmtId="167" fontId="2" fillId="13" borderId="12" xfId="20" applyNumberFormat="1" applyFont="1" applyFill="1" applyBorder="1" applyAlignment="1">
      <alignment horizontal="center"/>
    </xf>
    <xf numFmtId="49" fontId="1" fillId="0" borderId="15" xfId="21" applyNumberFormat="1" applyFont="1" applyBorder="1" applyAlignment="1">
      <alignment horizontal="center"/>
    </xf>
    <xf numFmtId="0" fontId="1" fillId="0" borderId="15" xfId="21" applyNumberFormat="1" applyFont="1" applyBorder="1" applyAlignment="1">
      <alignment horizontal="center"/>
    </xf>
    <xf numFmtId="167" fontId="1" fillId="0" borderId="0" xfId="21" applyNumberFormat="1" applyAlignment="1">
      <alignment vertical="top"/>
    </xf>
    <xf numFmtId="167" fontId="1" fillId="0" borderId="0" xfId="21" applyNumberFormat="1" applyFont="1" applyAlignment="1">
      <alignment vertical="top"/>
    </xf>
    <xf numFmtId="0" fontId="1" fillId="0" borderId="0" xfId="23" applyAlignment="1">
      <alignment vertical="top"/>
      <protection/>
    </xf>
    <xf numFmtId="168" fontId="3" fillId="4" borderId="12" xfId="21" applyNumberFormat="1" applyFont="1" applyFill="1" applyBorder="1" applyAlignment="1">
      <alignment horizontal="center" vertical="top"/>
    </xf>
    <xf numFmtId="167" fontId="2" fillId="13" borderId="12" xfId="20" applyNumberFormat="1" applyFont="1" applyFill="1" applyBorder="1" applyAlignment="1">
      <alignment horizontal="center" vertical="top"/>
    </xf>
    <xf numFmtId="167" fontId="3" fillId="8" borderId="12" xfId="21" applyNumberFormat="1" applyFont="1" applyFill="1" applyBorder="1" applyAlignment="1">
      <alignment horizontal="center" vertical="top"/>
    </xf>
    <xf numFmtId="166" fontId="3" fillId="6" borderId="11" xfId="21" applyNumberFormat="1" applyFont="1" applyFill="1" applyBorder="1"/>
    <xf numFmtId="166" fontId="3" fillId="9" borderId="11" xfId="21" applyNumberFormat="1" applyFont="1" applyFill="1" applyBorder="1"/>
    <xf numFmtId="166" fontId="3" fillId="6" borderId="12" xfId="21" applyNumberFormat="1" applyFont="1" applyFill="1" applyBorder="1" applyAlignment="1">
      <alignment vertical="top"/>
    </xf>
    <xf numFmtId="166" fontId="3" fillId="9" borderId="12" xfId="21" applyNumberFormat="1" applyFont="1" applyFill="1" applyBorder="1" applyAlignment="1">
      <alignment vertical="top"/>
    </xf>
    <xf numFmtId="167" fontId="21" fillId="14" borderId="12" xfId="21" applyNumberFormat="1" applyFont="1" applyFill="1" applyBorder="1" applyAlignment="1">
      <alignment horizontal="left" vertical="center" wrapText="1"/>
    </xf>
    <xf numFmtId="166" fontId="1" fillId="14" borderId="11" xfId="21" applyNumberFormat="1" applyFont="1" applyFill="1" applyBorder="1"/>
    <xf numFmtId="166" fontId="1" fillId="14" borderId="12" xfId="21" applyNumberFormat="1" applyFont="1" applyFill="1" applyBorder="1"/>
    <xf numFmtId="166" fontId="1" fillId="14" borderId="12" xfId="21" applyNumberFormat="1" applyFont="1" applyFill="1" applyBorder="1" applyAlignment="1">
      <alignment vertical="top"/>
    </xf>
    <xf numFmtId="1" fontId="1" fillId="0" borderId="0" xfId="21" applyNumberFormat="1" applyFont="1" applyBorder="1"/>
    <xf numFmtId="167" fontId="1" fillId="0" borderId="0" xfId="21" applyNumberFormat="1" applyFont="1" applyBorder="1"/>
    <xf numFmtId="167" fontId="1" fillId="0" borderId="11" xfId="21" applyNumberFormat="1" applyFont="1" applyBorder="1"/>
    <xf numFmtId="167" fontId="1" fillId="0" borderId="12" xfId="21" applyNumberFormat="1" applyFont="1" applyBorder="1"/>
    <xf numFmtId="167" fontId="1" fillId="14" borderId="11" xfId="21" applyNumberFormat="1" applyFont="1" applyFill="1" applyBorder="1"/>
    <xf numFmtId="167" fontId="1" fillId="14" borderId="12" xfId="21" applyNumberFormat="1" applyFont="1" applyFill="1" applyBorder="1"/>
    <xf numFmtId="1" fontId="1" fillId="0" borderId="0" xfId="23" applyNumberFormat="1" applyFont="1" applyBorder="1">
      <alignment/>
      <protection/>
    </xf>
    <xf numFmtId="0" fontId="21" fillId="14" borderId="12" xfId="21" applyNumberFormat="1" applyFont="1" applyFill="1" applyBorder="1" applyAlignment="1">
      <alignment horizontal="left" wrapText="1"/>
    </xf>
    <xf numFmtId="0" fontId="1" fillId="0" borderId="0" xfId="23" applyFont="1" applyBorder="1">
      <alignment/>
      <protection/>
    </xf>
    <xf numFmtId="0" fontId="1" fillId="0" borderId="11" xfId="23" applyFont="1" applyBorder="1">
      <alignment/>
      <protection/>
    </xf>
    <xf numFmtId="0" fontId="1" fillId="0" borderId="12" xfId="23" applyFont="1" applyBorder="1">
      <alignment/>
      <protection/>
    </xf>
    <xf numFmtId="167" fontId="21" fillId="14" borderId="12" xfId="21" applyNumberFormat="1" applyFont="1" applyFill="1" applyBorder="1" applyAlignment="1">
      <alignment horizontal="left" wrapText="1"/>
    </xf>
    <xf numFmtId="166" fontId="3" fillId="0" borderId="12" xfId="21" applyNumberFormat="1" applyFont="1" applyBorder="1"/>
    <xf numFmtId="166" fontId="3" fillId="8" borderId="12" xfId="21" applyNumberFormat="1" applyFont="1" applyFill="1" applyBorder="1"/>
    <xf numFmtId="166" fontId="3" fillId="0" borderId="12" xfId="21" applyNumberFormat="1" applyFont="1" applyFill="1" applyBorder="1"/>
    <xf numFmtId="166" fontId="3" fillId="6" borderId="12" xfId="21" applyNumberFormat="1" applyFont="1" applyFill="1" applyBorder="1"/>
    <xf numFmtId="0" fontId="0" fillId="0" borderId="38" xfId="0" applyBorder="1"/>
    <xf numFmtId="0" fontId="0" fillId="0" borderId="37" xfId="0" applyBorder="1"/>
    <xf numFmtId="0" fontId="0" fillId="0" borderId="11" xfId="0" applyBorder="1"/>
    <xf numFmtId="0" fontId="10" fillId="0" borderId="0" xfId="23" applyFont="1" applyBorder="1" applyAlignment="1">
      <alignment horizontal="center" vertical="center"/>
      <protection/>
    </xf>
    <xf numFmtId="167" fontId="12" fillId="13" borderId="39" xfId="21" applyNumberFormat="1" applyFont="1" applyFill="1" applyBorder="1" applyAlignment="1">
      <alignment horizontal="center" vertical="center"/>
    </xf>
    <xf numFmtId="166" fontId="12" fillId="13" borderId="39" xfId="21" applyNumberFormat="1" applyFont="1" applyFill="1" applyBorder="1" applyAlignment="1">
      <alignment horizontal="center" vertical="center"/>
    </xf>
    <xf numFmtId="0" fontId="10" fillId="0" borderId="11" xfId="23" applyFont="1" applyBorder="1" applyAlignment="1">
      <alignment horizontal="center" vertical="center"/>
      <protection/>
    </xf>
    <xf numFmtId="0" fontId="10" fillId="0" borderId="12" xfId="23" applyFont="1" applyBorder="1" applyAlignment="1">
      <alignment horizontal="center" vertical="center"/>
      <protection/>
    </xf>
    <xf numFmtId="0" fontId="11" fillId="13" borderId="12" xfId="21" applyNumberFormat="1" applyFont="1" applyFill="1" applyBorder="1" applyAlignment="1">
      <alignment horizontal="left" vertical="center" wrapText="1"/>
    </xf>
    <xf numFmtId="0" fontId="1" fillId="0" borderId="0" xfId="24" applyFill="1">
      <alignment/>
      <protection/>
    </xf>
    <xf numFmtId="167" fontId="3" fillId="4" borderId="37" xfId="21" applyNumberFormat="1" applyFont="1" applyFill="1" applyBorder="1" applyAlignment="1">
      <alignment horizontal="center" vertical="center"/>
    </xf>
    <xf numFmtId="0" fontId="3" fillId="5" borderId="12" xfId="23" applyFont="1" applyFill="1" applyBorder="1" applyAlignment="1">
      <alignment horizontal="center" vertical="center" wrapText="1"/>
      <protection/>
    </xf>
    <xf numFmtId="170" fontId="0" fillId="0" borderId="0" xfId="0" applyNumberFormat="1"/>
    <xf numFmtId="173" fontId="0" fillId="0" borderId="0" xfId="0" applyNumberFormat="1"/>
    <xf numFmtId="172" fontId="0" fillId="0" borderId="0" xfId="31" applyNumberFormat="1" applyFont="1"/>
    <xf numFmtId="172" fontId="0" fillId="0" borderId="0" xfId="0" applyNumberFormat="1"/>
    <xf numFmtId="0" fontId="0" fillId="15" borderId="0" xfId="0" applyFill="1"/>
    <xf numFmtId="0" fontId="0" fillId="16" borderId="0" xfId="0" applyFill="1"/>
    <xf numFmtId="10" fontId="0" fillId="0" borderId="0" xfId="0" applyNumberFormat="1"/>
    <xf numFmtId="0" fontId="22" fillId="4" borderId="0" xfId="0" applyFont="1" applyFill="1"/>
    <xf numFmtId="0" fontId="0" fillId="4" borderId="0" xfId="0" applyFill="1"/>
    <xf numFmtId="170" fontId="22" fillId="4" borderId="0" xfId="0" applyNumberFormat="1" applyFont="1" applyFill="1"/>
    <xf numFmtId="172" fontId="0" fillId="4" borderId="0" xfId="0" applyNumberFormat="1" applyFill="1"/>
    <xf numFmtId="166" fontId="1" fillId="0" borderId="0" xfId="23" applyNumberFormat="1" applyAlignment="1">
      <alignment horizontal="center" vertical="center"/>
      <protection/>
    </xf>
    <xf numFmtId="4" fontId="0" fillId="0" borderId="0" xfId="0" applyNumberFormat="1"/>
    <xf numFmtId="172" fontId="0" fillId="0" borderId="0" xfId="0" applyNumberFormat="1" applyFill="1"/>
    <xf numFmtId="0" fontId="0" fillId="17" borderId="0" xfId="0" applyFill="1"/>
    <xf numFmtId="166" fontId="3" fillId="0" borderId="0" xfId="0" applyNumberFormat="1" applyFont="1"/>
    <xf numFmtId="0" fontId="0" fillId="0" borderId="0" xfId="0" applyFill="1"/>
    <xf numFmtId="0" fontId="24" fillId="0" borderId="0" xfId="0" applyFont="1" applyFill="1"/>
    <xf numFmtId="166" fontId="24" fillId="0" borderId="0" xfId="20" applyFont="1" applyFill="1"/>
    <xf numFmtId="166" fontId="24" fillId="0" borderId="0" xfId="0" applyNumberFormat="1" applyFont="1" applyFill="1"/>
    <xf numFmtId="172" fontId="22" fillId="4" borderId="0" xfId="0" applyNumberFormat="1" applyFont="1" applyFill="1"/>
    <xf numFmtId="166" fontId="0" fillId="0" borderId="0" xfId="0" applyNumberFormat="1"/>
    <xf numFmtId="43" fontId="0" fillId="0" borderId="0" xfId="0" applyNumberFormat="1"/>
    <xf numFmtId="172" fontId="22" fillId="0" borderId="0" xfId="0" applyNumberFormat="1" applyFont="1" applyFill="1"/>
    <xf numFmtId="0" fontId="22" fillId="0" borderId="0" xfId="0" applyFont="1" applyFill="1"/>
    <xf numFmtId="0" fontId="24" fillId="18" borderId="0" xfId="0" applyFont="1" applyFill="1"/>
    <xf numFmtId="4" fontId="2" fillId="13" borderId="12" xfId="20" applyNumberFormat="1" applyFont="1" applyFill="1" applyBorder="1" applyAlignment="1">
      <alignment horizontal="center"/>
    </xf>
    <xf numFmtId="166" fontId="1" fillId="0" borderId="0" xfId="21" applyNumberFormat="1" applyBorder="1"/>
    <xf numFmtId="166" fontId="1" fillId="0" borderId="0" xfId="21" applyNumberFormat="1" applyFont="1" applyBorder="1" applyAlignment="1">
      <alignment horizontal="center"/>
    </xf>
    <xf numFmtId="166" fontId="1" fillId="0" borderId="0" xfId="21" applyNumberFormat="1" applyBorder="1" applyAlignment="1">
      <alignment horizontal="center"/>
    </xf>
    <xf numFmtId="166" fontId="4" fillId="0" borderId="0" xfId="21" applyNumberFormat="1" applyFont="1" applyBorder="1" applyAlignment="1">
      <alignment horizontal="left"/>
    </xf>
    <xf numFmtId="166" fontId="4" fillId="0" borderId="0" xfId="21" applyNumberFormat="1" applyFont="1" applyFill="1" applyBorder="1" applyAlignment="1">
      <alignment horizontal="left"/>
    </xf>
    <xf numFmtId="166" fontId="2" fillId="13" borderId="12" xfId="20" applyNumberFormat="1" applyFont="1" applyFill="1" applyBorder="1" applyAlignment="1">
      <alignment horizontal="center"/>
    </xf>
    <xf numFmtId="166" fontId="3" fillId="7" borderId="12" xfId="21" applyNumberFormat="1" applyFont="1" applyFill="1" applyBorder="1" applyAlignment="1">
      <alignment horizontal="center"/>
    </xf>
    <xf numFmtId="166" fontId="3" fillId="8" borderId="12" xfId="21" applyNumberFormat="1" applyFont="1" applyFill="1" applyBorder="1" applyAlignment="1">
      <alignment horizontal="center"/>
    </xf>
    <xf numFmtId="166" fontId="3" fillId="8" borderId="12" xfId="23" applyNumberFormat="1" applyFont="1" applyFill="1" applyBorder="1">
      <alignment/>
      <protection/>
    </xf>
    <xf numFmtId="166" fontId="1" fillId="0" borderId="0" xfId="21" applyNumberFormat="1"/>
    <xf numFmtId="14" fontId="2" fillId="6" borderId="12" xfId="0" applyNumberFormat="1" applyFont="1" applyFill="1" applyBorder="1" applyAlignment="1">
      <alignment horizontal="center" vertical="center" wrapText="1"/>
    </xf>
    <xf numFmtId="166" fontId="3" fillId="0" borderId="12" xfId="21" applyNumberFormat="1" applyFont="1" applyFill="1" applyBorder="1" applyAlignment="1">
      <alignment vertical="top"/>
    </xf>
    <xf numFmtId="166" fontId="3" fillId="8" borderId="12" xfId="21" applyNumberFormat="1" applyFont="1" applyFill="1" applyBorder="1" applyAlignment="1">
      <alignment vertical="top"/>
    </xf>
    <xf numFmtId="166" fontId="1" fillId="14" borderId="11" xfId="21" applyNumberFormat="1" applyFont="1" applyFill="1" applyBorder="1" applyAlignment="1">
      <alignment vertical="top"/>
    </xf>
    <xf numFmtId="166" fontId="3" fillId="9" borderId="11" xfId="21" applyNumberFormat="1" applyFont="1" applyFill="1" applyBorder="1" applyAlignment="1">
      <alignment vertical="top"/>
    </xf>
    <xf numFmtId="166" fontId="3" fillId="0" borderId="11" xfId="21" applyNumberFormat="1" applyFont="1" applyBorder="1"/>
    <xf numFmtId="166" fontId="3" fillId="8" borderId="11" xfId="21" applyNumberFormat="1" applyFont="1" applyFill="1" applyBorder="1"/>
    <xf numFmtId="166" fontId="3" fillId="8" borderId="11" xfId="23" applyNumberFormat="1" applyFont="1" applyFill="1" applyBorder="1">
      <alignment/>
      <protection/>
    </xf>
    <xf numFmtId="166" fontId="1" fillId="0" borderId="0" xfId="21" applyNumberFormat="1" applyFill="1"/>
    <xf numFmtId="166" fontId="1" fillId="0" borderId="0" xfId="21" applyNumberFormat="1" applyAlignment="1">
      <alignment vertical="top"/>
    </xf>
    <xf numFmtId="40" fontId="3" fillId="6" borderId="12" xfId="0" applyNumberFormat="1" applyFont="1" applyFill="1" applyBorder="1"/>
    <xf numFmtId="40" fontId="1" fillId="11" borderId="12" xfId="0" applyNumberFormat="1" applyFont="1" applyFill="1" applyBorder="1"/>
    <xf numFmtId="40" fontId="1" fillId="0" borderId="12" xfId="0" applyNumberFormat="1" applyFont="1" applyFill="1" applyBorder="1"/>
    <xf numFmtId="40" fontId="1" fillId="11" borderId="32" xfId="0" applyNumberFormat="1" applyFont="1" applyFill="1" applyBorder="1"/>
    <xf numFmtId="40" fontId="1" fillId="0" borderId="32" xfId="0" applyNumberFormat="1" applyFont="1" applyFill="1" applyBorder="1"/>
    <xf numFmtId="40" fontId="3" fillId="4" borderId="34" xfId="0" applyNumberFormat="1" applyFont="1" applyFill="1" applyBorder="1"/>
    <xf numFmtId="40" fontId="3" fillId="6" borderId="12" xfId="21" applyNumberFormat="1" applyFont="1" applyFill="1" applyBorder="1"/>
    <xf numFmtId="40" fontId="1" fillId="14" borderId="12" xfId="21" applyNumberFormat="1" applyFont="1" applyFill="1" applyBorder="1"/>
    <xf numFmtId="40" fontId="3" fillId="9" borderId="12" xfId="21" applyNumberFormat="1" applyFont="1" applyFill="1" applyBorder="1"/>
    <xf numFmtId="40" fontId="3" fillId="0" borderId="12" xfId="21" applyNumberFormat="1" applyFont="1" applyBorder="1"/>
    <xf numFmtId="40" fontId="3" fillId="8" borderId="12" xfId="21" applyNumberFormat="1" applyFont="1" applyFill="1" applyBorder="1"/>
    <xf numFmtId="40" fontId="1" fillId="14" borderId="11" xfId="21" applyNumberFormat="1" applyFont="1" applyFill="1" applyBorder="1"/>
    <xf numFmtId="40" fontId="3" fillId="9" borderId="11" xfId="21" applyNumberFormat="1" applyFont="1" applyFill="1" applyBorder="1"/>
    <xf numFmtId="40" fontId="3" fillId="0" borderId="12" xfId="21" applyNumberFormat="1" applyFont="1" applyFill="1" applyBorder="1"/>
    <xf numFmtId="40" fontId="12" fillId="13" borderId="39" xfId="21" applyNumberFormat="1" applyFont="1" applyFill="1" applyBorder="1" applyAlignment="1">
      <alignment horizontal="center" vertical="center"/>
    </xf>
    <xf numFmtId="40" fontId="1" fillId="0" borderId="0" xfId="23" applyNumberFormat="1" applyFont="1">
      <alignment/>
      <protection/>
    </xf>
    <xf numFmtId="40" fontId="1" fillId="0" borderId="0" xfId="23" applyNumberFormat="1">
      <alignment/>
      <protection/>
    </xf>
    <xf numFmtId="40" fontId="3" fillId="7" borderId="12" xfId="21" applyNumberFormat="1" applyFont="1" applyFill="1" applyBorder="1" applyAlignment="1">
      <alignment horizontal="center"/>
    </xf>
    <xf numFmtId="40" fontId="3" fillId="8" borderId="12" xfId="21" applyNumberFormat="1" applyFont="1" applyFill="1" applyBorder="1" applyAlignment="1">
      <alignment horizontal="center"/>
    </xf>
    <xf numFmtId="0" fontId="0" fillId="0" borderId="0" xfId="0"/>
    <xf numFmtId="166" fontId="1" fillId="14" borderId="11" xfId="21" applyNumberFormat="1" applyFont="1" applyFill="1" applyBorder="1"/>
    <xf numFmtId="166" fontId="1" fillId="14" borderId="12" xfId="21" applyNumberFormat="1" applyFont="1" applyFill="1" applyBorder="1"/>
    <xf numFmtId="9" fontId="0" fillId="0" borderId="0" xfId="0" applyNumberFormat="1"/>
    <xf numFmtId="172" fontId="0" fillId="0" borderId="0" xfId="0" applyNumberFormat="1"/>
    <xf numFmtId="172" fontId="0" fillId="4" borderId="0" xfId="0" applyNumberFormat="1" applyFill="1"/>
    <xf numFmtId="172" fontId="24" fillId="19" borderId="0" xfId="31" applyNumberFormat="1" applyFont="1" applyFill="1"/>
    <xf numFmtId="172" fontId="20" fillId="0" borderId="0" xfId="31" applyNumberFormat="1" applyFont="1"/>
    <xf numFmtId="174" fontId="0" fillId="0" borderId="8" xfId="0" applyNumberFormat="1" applyBorder="1" applyAlignment="1">
      <alignment horizontal="left" indent="1"/>
    </xf>
    <xf numFmtId="0" fontId="28" fillId="20" borderId="0" xfId="0" applyFont="1" applyFill="1" applyAlignment="1">
      <alignment horizontal="left"/>
    </xf>
    <xf numFmtId="172" fontId="22" fillId="20" borderId="0" xfId="31" applyNumberFormat="1" applyFont="1" applyFill="1" applyAlignment="1">
      <alignment horizontal="left"/>
    </xf>
    <xf numFmtId="172" fontId="22" fillId="20" borderId="0" xfId="31" applyNumberFormat="1" applyFont="1" applyFill="1"/>
    <xf numFmtId="0" fontId="27" fillId="21" borderId="0" xfId="0" applyFont="1" applyFill="1"/>
    <xf numFmtId="172" fontId="27" fillId="21" borderId="0" xfId="0" applyNumberFormat="1" applyFont="1" applyFill="1"/>
    <xf numFmtId="0" fontId="1" fillId="0" borderId="0" xfId="21" applyNumberFormat="1" applyFont="1" applyBorder="1" applyAlignment="1">
      <alignment horizontal="center"/>
    </xf>
    <xf numFmtId="9" fontId="0" fillId="0" borderId="0" xfId="38" applyFont="1"/>
    <xf numFmtId="172" fontId="25" fillId="22" borderId="0" xfId="31" applyNumberFormat="1" applyFont="1" applyFill="1"/>
    <xf numFmtId="0" fontId="27" fillId="0" borderId="0" xfId="0" applyFont="1"/>
    <xf numFmtId="170" fontId="27" fillId="0" borderId="0" xfId="0" applyNumberFormat="1" applyFont="1"/>
    <xf numFmtId="173" fontId="27" fillId="0" borderId="0" xfId="0" applyNumberFormat="1" applyFont="1"/>
    <xf numFmtId="9" fontId="27" fillId="0" borderId="0" xfId="0" applyNumberFormat="1" applyFont="1"/>
    <xf numFmtId="9" fontId="27" fillId="0" borderId="0" xfId="38" applyFont="1"/>
    <xf numFmtId="172" fontId="29" fillId="0" borderId="0" xfId="31" applyNumberFormat="1" applyFont="1"/>
    <xf numFmtId="0" fontId="27" fillId="0" borderId="0" xfId="0" applyFont="1" applyFill="1"/>
    <xf numFmtId="0" fontId="27" fillId="4" borderId="0" xfId="0" applyFont="1" applyFill="1"/>
    <xf numFmtId="0" fontId="3" fillId="12" borderId="25" xfId="24" applyFont="1" applyFill="1" applyBorder="1">
      <alignment/>
      <protection/>
    </xf>
    <xf numFmtId="172" fontId="0" fillId="0" borderId="0" xfId="31" applyNumberFormat="1" applyFont="1" applyFill="1"/>
    <xf numFmtId="167" fontId="3" fillId="4" borderId="37" xfId="21" applyNumberFormat="1" applyFont="1" applyFill="1" applyBorder="1" applyAlignment="1">
      <alignment vertical="center"/>
    </xf>
    <xf numFmtId="172" fontId="0" fillId="12" borderId="0" xfId="31" applyNumberFormat="1" applyFont="1" applyFill="1"/>
    <xf numFmtId="172" fontId="25" fillId="12" borderId="0" xfId="31" applyNumberFormat="1" applyFont="1" applyFill="1"/>
    <xf numFmtId="0" fontId="3" fillId="5" borderId="12" xfId="23" applyFont="1" applyFill="1" applyBorder="1" applyAlignment="1">
      <alignment horizontal="center" vertical="center" wrapText="1"/>
      <protection/>
    </xf>
    <xf numFmtId="164" fontId="1" fillId="0" borderId="12" xfId="25" applyNumberFormat="1" applyFont="1" applyFill="1" applyBorder="1" applyAlignment="1">
      <alignment/>
    </xf>
    <xf numFmtId="167" fontId="3" fillId="0" borderId="0" xfId="21" applyNumberFormat="1" applyFont="1" applyFill="1" applyBorder="1"/>
    <xf numFmtId="0" fontId="0" fillId="0" borderId="0" xfId="0" applyBorder="1"/>
    <xf numFmtId="166" fontId="12" fillId="13" borderId="39" xfId="20" applyFont="1" applyFill="1" applyBorder="1" applyAlignment="1">
      <alignment horizontal="center" vertical="center"/>
    </xf>
    <xf numFmtId="0" fontId="0" fillId="0" borderId="0" xfId="0" applyAlignment="1">
      <alignment vertical="center"/>
    </xf>
    <xf numFmtId="172" fontId="0" fillId="4" borderId="0" xfId="0" applyNumberFormat="1" applyFill="1" applyAlignment="1">
      <alignment vertical="center"/>
    </xf>
    <xf numFmtId="0" fontId="0" fillId="4" borderId="0" xfId="0" applyFill="1" applyAlignment="1">
      <alignment vertical="center"/>
    </xf>
    <xf numFmtId="0" fontId="0" fillId="0" borderId="0" xfId="0" applyFill="1" applyAlignment="1">
      <alignment vertical="center"/>
    </xf>
    <xf numFmtId="173" fontId="0" fillId="0" borderId="0" xfId="0" applyNumberFormat="1" applyFill="1" applyAlignment="1">
      <alignment vertical="center"/>
    </xf>
    <xf numFmtId="0" fontId="27" fillId="0" borderId="0" xfId="0" applyFont="1" applyFill="1" applyAlignment="1">
      <alignment vertical="center"/>
    </xf>
    <xf numFmtId="9" fontId="0" fillId="0" borderId="0" xfId="0" applyNumberFormat="1" applyFill="1" applyAlignment="1">
      <alignment vertical="center"/>
    </xf>
    <xf numFmtId="10" fontId="0" fillId="0" borderId="0" xfId="0" applyNumberFormat="1" applyFill="1" applyAlignment="1">
      <alignment vertical="center"/>
    </xf>
    <xf numFmtId="9" fontId="0" fillId="0" borderId="0" xfId="0" applyNumberFormat="1" applyFill="1" applyBorder="1" applyAlignment="1">
      <alignment vertical="center"/>
    </xf>
    <xf numFmtId="172" fontId="20" fillId="0" borderId="0" xfId="31" applyNumberFormat="1" applyFont="1" applyFill="1" applyAlignment="1">
      <alignment vertical="center"/>
    </xf>
    <xf numFmtId="172" fontId="29" fillId="0" borderId="0" xfId="31" applyNumberFormat="1" applyFont="1" applyFill="1" applyAlignment="1">
      <alignment vertical="center"/>
    </xf>
    <xf numFmtId="172" fontId="0" fillId="0" borderId="0" xfId="31" applyNumberFormat="1" applyFont="1" applyFill="1"/>
    <xf numFmtId="0" fontId="0" fillId="23" borderId="0" xfId="0" applyFill="1"/>
    <xf numFmtId="172" fontId="27" fillId="23" borderId="0" xfId="0" applyNumberFormat="1" applyFont="1" applyFill="1"/>
    <xf numFmtId="0" fontId="3" fillId="0" borderId="25" xfId="24" applyFont="1" applyFill="1" applyBorder="1">
      <alignment/>
      <protection/>
    </xf>
    <xf numFmtId="166" fontId="0" fillId="4" borderId="0" xfId="20" applyFont="1" applyFill="1"/>
    <xf numFmtId="0" fontId="16" fillId="0" borderId="12" xfId="24" applyFont="1" applyFill="1" applyBorder="1" applyAlignment="1">
      <alignment horizontal="left" vertical="top" wrapText="1"/>
      <protection/>
    </xf>
    <xf numFmtId="0" fontId="0" fillId="14" borderId="0" xfId="0" applyFill="1"/>
    <xf numFmtId="0" fontId="0" fillId="14" borderId="0" xfId="0" applyFill="1" applyAlignment="1">
      <alignment vertical="center"/>
    </xf>
    <xf numFmtId="172" fontId="20" fillId="14" borderId="0" xfId="31" applyNumberFormat="1" applyFont="1" applyFill="1" applyAlignment="1">
      <alignment vertical="center"/>
    </xf>
    <xf numFmtId="172" fontId="20" fillId="14" borderId="0" xfId="31" applyNumberFormat="1" applyFont="1" applyFill="1"/>
    <xf numFmtId="0" fontId="22" fillId="14" borderId="0" xfId="0" applyFont="1" applyFill="1"/>
    <xf numFmtId="172" fontId="0" fillId="4" borderId="0" xfId="0" applyNumberFormat="1" applyFont="1" applyFill="1"/>
    <xf numFmtId="172" fontId="0" fillId="24" borderId="0" xfId="0" applyNumberFormat="1" applyFill="1"/>
    <xf numFmtId="165" fontId="0" fillId="24" borderId="0" xfId="0" applyNumberFormat="1" applyFill="1"/>
    <xf numFmtId="9" fontId="0" fillId="0" borderId="0" xfId="38" applyFont="1" applyFill="1" applyAlignment="1">
      <alignment vertical="center"/>
    </xf>
    <xf numFmtId="169" fontId="32" fillId="0" borderId="8" xfId="0" applyNumberFormat="1" applyFont="1" applyBorder="1" applyAlignment="1">
      <alignment horizontal="left" indent="1"/>
    </xf>
    <xf numFmtId="173" fontId="27" fillId="0" borderId="0" xfId="0" applyNumberFormat="1" applyFont="1" applyFill="1" applyAlignment="1">
      <alignment vertical="center"/>
    </xf>
    <xf numFmtId="9" fontId="27" fillId="0" borderId="0" xfId="0" applyNumberFormat="1" applyFont="1" applyFill="1" applyAlignment="1">
      <alignment vertical="center"/>
    </xf>
    <xf numFmtId="9" fontId="0" fillId="0" borderId="0" xfId="38" applyFont="1" applyFill="1"/>
    <xf numFmtId="0" fontId="0" fillId="0" borderId="0" xfId="0" applyFont="1" applyFill="1"/>
    <xf numFmtId="0" fontId="0" fillId="0" borderId="0" xfId="0" applyFont="1" applyFill="1" applyAlignment="1">
      <alignment vertical="center"/>
    </xf>
    <xf numFmtId="9" fontId="27" fillId="0" borderId="0" xfId="0" applyNumberFormat="1" applyFont="1" applyFill="1" applyBorder="1" applyAlignment="1">
      <alignment vertical="center"/>
    </xf>
    <xf numFmtId="9" fontId="27" fillId="0" borderId="0" xfId="38" applyFont="1" applyFill="1" applyAlignment="1">
      <alignment vertical="center"/>
    </xf>
    <xf numFmtId="172" fontId="20" fillId="0" borderId="0" xfId="31" applyNumberFormat="1" applyFont="1" applyFill="1"/>
    <xf numFmtId="172" fontId="29" fillId="0" borderId="0" xfId="31" applyNumberFormat="1" applyFont="1" applyFill="1"/>
    <xf numFmtId="4" fontId="0" fillId="0" borderId="0" xfId="0" applyNumberFormat="1" applyFill="1"/>
    <xf numFmtId="173" fontId="0" fillId="14" borderId="0" xfId="0" applyNumberFormat="1" applyFill="1" applyAlignment="1">
      <alignment vertical="center"/>
    </xf>
    <xf numFmtId="9" fontId="0" fillId="14" borderId="0" xfId="0" applyNumberFormat="1" applyFill="1" applyAlignment="1">
      <alignment vertical="center"/>
    </xf>
    <xf numFmtId="0" fontId="0" fillId="14" borderId="0" xfId="0" applyFont="1" applyFill="1" applyAlignment="1">
      <alignment vertical="center"/>
    </xf>
    <xf numFmtId="9" fontId="0" fillId="14" borderId="0" xfId="0" applyNumberFormat="1" applyFill="1" applyBorder="1" applyAlignment="1">
      <alignment vertical="center"/>
    </xf>
    <xf numFmtId="10" fontId="0" fillId="14" borderId="0" xfId="0" applyNumberFormat="1" applyFill="1" applyAlignment="1">
      <alignment vertical="center"/>
    </xf>
    <xf numFmtId="9" fontId="0" fillId="0" borderId="0" xfId="0" applyNumberFormat="1" applyFill="1"/>
    <xf numFmtId="175" fontId="0" fillId="0" borderId="0" xfId="0" applyNumberFormat="1" applyFill="1"/>
    <xf numFmtId="176" fontId="0" fillId="0" borderId="0" xfId="0" applyNumberFormat="1" applyFill="1"/>
    <xf numFmtId="9" fontId="0" fillId="0" borderId="0" xfId="38" applyNumberFormat="1" applyFont="1" applyFill="1"/>
    <xf numFmtId="166" fontId="1" fillId="22" borderId="12" xfId="0" applyNumberFormat="1" applyFont="1" applyFill="1" applyBorder="1"/>
    <xf numFmtId="172" fontId="27" fillId="0" borderId="0" xfId="31" applyNumberFormat="1" applyFont="1" applyFill="1"/>
    <xf numFmtId="172" fontId="0" fillId="0" borderId="0" xfId="31" applyNumberFormat="1" applyFont="1" applyFill="1" applyAlignment="1">
      <alignment vertical="center"/>
    </xf>
    <xf numFmtId="0" fontId="1" fillId="0" borderId="0" xfId="23" applyFont="1" applyAlignment="1">
      <alignment horizontal="left" wrapText="1"/>
      <protection/>
    </xf>
    <xf numFmtId="168" fontId="3" fillId="5" borderId="12" xfId="21" applyNumberFormat="1" applyFont="1" applyFill="1" applyBorder="1" applyAlignment="1">
      <alignment horizontal="center" vertical="top" wrapText="1"/>
    </xf>
    <xf numFmtId="167" fontId="5" fillId="8" borderId="12" xfId="22" applyNumberFormat="1" applyFont="1" applyFill="1" applyBorder="1" applyAlignment="1">
      <alignment horizontal="center" vertical="center" wrapText="1"/>
    </xf>
    <xf numFmtId="0" fontId="3" fillId="5" borderId="12" xfId="23" applyFont="1" applyFill="1" applyBorder="1" applyAlignment="1">
      <alignment horizontal="center" vertical="top" wrapText="1"/>
      <protection/>
    </xf>
    <xf numFmtId="49" fontId="3" fillId="5" borderId="40" xfId="0" applyNumberFormat="1"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166" fontId="2" fillId="6" borderId="38" xfId="0" applyNumberFormat="1" applyFont="1" applyFill="1" applyBorder="1" applyAlignment="1">
      <alignment horizontal="center" vertical="center" wrapText="1"/>
    </xf>
    <xf numFmtId="166" fontId="2" fillId="6" borderId="37" xfId="0" applyNumberFormat="1" applyFont="1" applyFill="1" applyBorder="1" applyAlignment="1">
      <alignment horizontal="center" vertical="center" wrapText="1"/>
    </xf>
    <xf numFmtId="166" fontId="2" fillId="6" borderId="11" xfId="0" applyNumberFormat="1" applyFont="1" applyFill="1" applyBorder="1" applyAlignment="1">
      <alignment horizontal="center" vertical="center" wrapText="1"/>
    </xf>
    <xf numFmtId="4" fontId="2" fillId="6" borderId="38" xfId="0" applyNumberFormat="1" applyFont="1" applyFill="1" applyBorder="1" applyAlignment="1">
      <alignment horizontal="center" vertical="center" wrapText="1"/>
    </xf>
    <xf numFmtId="4" fontId="2" fillId="6" borderId="37" xfId="0" applyNumberFormat="1" applyFont="1" applyFill="1" applyBorder="1" applyAlignment="1">
      <alignment horizontal="center" vertical="center" wrapText="1"/>
    </xf>
    <xf numFmtId="168" fontId="3" fillId="5" borderId="12" xfId="21"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0" fontId="3" fillId="5" borderId="12" xfId="23" applyFont="1" applyFill="1" applyBorder="1" applyAlignment="1">
      <alignment horizontal="center" vertical="center" wrapText="1"/>
      <protection/>
    </xf>
    <xf numFmtId="49" fontId="2" fillId="6" borderId="38" xfId="0" applyNumberFormat="1" applyFont="1" applyFill="1" applyBorder="1" applyAlignment="1">
      <alignment horizontal="center" vertical="center" wrapText="1"/>
    </xf>
    <xf numFmtId="49" fontId="2" fillId="6" borderId="37" xfId="0" applyNumberFormat="1"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42" xfId="0" applyFont="1" applyFill="1" applyBorder="1" applyAlignment="1">
      <alignment horizontal="center" vertical="center"/>
    </xf>
    <xf numFmtId="0" fontId="17" fillId="5" borderId="29" xfId="0" applyFont="1" applyFill="1" applyBorder="1" applyAlignment="1">
      <alignment vertical="center" wrapText="1"/>
    </xf>
    <xf numFmtId="0" fontId="0" fillId="5" borderId="43" xfId="0" applyFill="1" applyBorder="1" applyAlignment="1">
      <alignment/>
    </xf>
    <xf numFmtId="0" fontId="0" fillId="5" borderId="44" xfId="0" applyFill="1" applyBorder="1" applyAlignment="1">
      <alignment/>
    </xf>
    <xf numFmtId="0" fontId="3" fillId="5" borderId="45" xfId="0" applyFont="1" applyFill="1" applyBorder="1" applyAlignment="1">
      <alignment horizontal="center" vertical="center" wrapText="1"/>
    </xf>
    <xf numFmtId="0" fontId="20" fillId="0" borderId="46" xfId="0" applyFont="1" applyBorder="1" applyAlignment="1">
      <alignment horizontal="center" vertical="center"/>
    </xf>
    <xf numFmtId="0" fontId="3" fillId="0" borderId="25" xfId="24" applyFont="1" applyBorder="1">
      <alignment/>
      <protection/>
    </xf>
    <xf numFmtId="0" fontId="3" fillId="0" borderId="26" xfId="24" applyFont="1" applyBorder="1">
      <alignment/>
      <protection/>
    </xf>
    <xf numFmtId="0" fontId="3" fillId="0" borderId="23" xfId="24" applyFont="1" applyFill="1" applyBorder="1" applyAlignment="1">
      <alignment/>
      <protection/>
    </xf>
    <xf numFmtId="0" fontId="3" fillId="0" borderId="24" xfId="24" applyFont="1" applyFill="1" applyBorder="1" applyAlignment="1">
      <alignment/>
      <protection/>
    </xf>
    <xf numFmtId="0" fontId="18" fillId="0" borderId="9" xfId="24" applyFont="1" applyFill="1" applyBorder="1" applyAlignment="1">
      <alignment horizontal="center"/>
      <protection/>
    </xf>
    <xf numFmtId="0" fontId="18" fillId="0" borderId="15" xfId="24" applyFont="1" applyFill="1" applyBorder="1" applyAlignment="1">
      <alignment horizontal="center"/>
      <protection/>
    </xf>
    <xf numFmtId="0" fontId="3" fillId="5" borderId="38" xfId="24" applyFont="1" applyFill="1" applyBorder="1" applyAlignment="1">
      <alignment wrapText="1"/>
      <protection/>
    </xf>
    <xf numFmtId="0" fontId="3" fillId="5" borderId="11" xfId="24" applyFont="1" applyFill="1" applyBorder="1" applyAlignment="1">
      <alignment wrapText="1"/>
      <protection/>
    </xf>
    <xf numFmtId="0" fontId="3" fillId="5" borderId="12" xfId="24" applyFont="1" applyFill="1" applyBorder="1" applyAlignment="1">
      <alignment vertical="center" wrapText="1"/>
      <protection/>
    </xf>
    <xf numFmtId="0" fontId="1" fillId="5" borderId="12" xfId="24" applyFill="1" applyBorder="1" applyAlignment="1">
      <alignment vertical="center" wrapText="1"/>
      <protection/>
    </xf>
    <xf numFmtId="0" fontId="24" fillId="18" borderId="0" xfId="0" applyFont="1" applyFill="1" applyAlignment="1">
      <alignment horizontal="left"/>
    </xf>
  </cellXfs>
  <cellStyles count="25">
    <cellStyle name="Normal" xfId="0"/>
    <cellStyle name="Percent" xfId="15"/>
    <cellStyle name="Currency" xfId="16"/>
    <cellStyle name="Currency [0]" xfId="17"/>
    <cellStyle name="Comma" xfId="18"/>
    <cellStyle name="Comma [0]" xfId="19"/>
    <cellStyle name="Millares" xfId="20"/>
    <cellStyle name="Comma_Formatos Nuevos 6ta Desemb. MCA Oct-Dic 10_09_07" xfId="21"/>
    <cellStyle name="Millares 5" xfId="22"/>
    <cellStyle name="Normal 2" xfId="23"/>
    <cellStyle name="Normal 2 2" xfId="24"/>
    <cellStyle name="Moneda 4" xfId="25"/>
    <cellStyle name="Normal 3" xfId="26"/>
    <cellStyle name="Comma 4" xfId="27"/>
    <cellStyle name="Comma 2" xfId="28"/>
    <cellStyle name="Comma 3" xfId="29"/>
    <cellStyle name="Currency 2" xfId="30"/>
    <cellStyle name="Moneda" xfId="31"/>
    <cellStyle name="Normal 4" xfId="32"/>
    <cellStyle name="Comma 5" xfId="33"/>
    <cellStyle name="Normal 3 2" xfId="34"/>
    <cellStyle name="Comma 4 2" xfId="35"/>
    <cellStyle name="Comma 2 2" xfId="36"/>
    <cellStyle name="Currency 2 2" xfId="37"/>
    <cellStyle name="Porcentaje" xfId="38"/>
  </cellStyles>
  <dxfs count="5">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ricart\Downloads\QDRP%20Guatemala_Q6%20Draft%20_DA%20Edi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FP-Com"/>
      <sheetName val="DFP-CASH"/>
      <sheetName val="QFR - A"/>
      <sheetName val="QFR - B"/>
      <sheetName val="THP DR"/>
      <sheetName val="Contract level"/>
      <sheetName val="Error checks"/>
      <sheetName val="Historico"/>
    </sheetNames>
    <sheetDataSet>
      <sheetData sheetId="0"/>
      <sheetData sheetId="1"/>
      <sheetData sheetId="2"/>
      <sheetData sheetId="3">
        <row r="34">
          <cell r="G34">
            <v>1800000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8"/>
  <sheetViews>
    <sheetView showGridLines="0" zoomScale="70" zoomScaleNormal="70" zoomScaleSheetLayoutView="70" zoomScalePageLayoutView="85" workbookViewId="0" topLeftCell="B10">
      <selection activeCell="Q55" sqref="Q55"/>
    </sheetView>
  </sheetViews>
  <sheetFormatPr defaultColWidth="0" defaultRowHeight="15" outlineLevelRow="1" outlineLevelCol="1"/>
  <cols>
    <col min="1" max="1" width="9.140625" style="1" hidden="1" customWidth="1" outlineLevel="1"/>
    <col min="2" max="2" width="50.421875" style="1" customWidth="1" collapsed="1"/>
    <col min="3" max="3" width="17.421875" style="68" customWidth="1" outlineLevel="1"/>
    <col min="4" max="4" width="17.421875" style="1" customWidth="1"/>
    <col min="5" max="7" width="17.421875" style="270" customWidth="1" outlineLevel="1"/>
    <col min="8" max="18" width="17.421875" style="1" customWidth="1"/>
    <col min="19" max="19" width="17.421875" style="6" customWidth="1"/>
    <col min="20" max="20" width="17.421875" style="192" customWidth="1"/>
    <col min="21" max="21" width="17.421875" style="7" customWidth="1"/>
    <col min="22" max="16384" width="0" style="1" hidden="1" customWidth="1"/>
  </cols>
  <sheetData>
    <row r="1" spans="2:7" ht="13.5" hidden="1" outlineLevel="1" thickBot="1">
      <c r="B1" s="2" t="s">
        <v>0</v>
      </c>
      <c r="C1" s="3"/>
      <c r="D1" s="4"/>
      <c r="E1" s="261"/>
      <c r="F1" s="261"/>
      <c r="G1" s="261"/>
    </row>
    <row r="2" spans="2:20" ht="13.5" hidden="1" outlineLevel="1" thickBot="1">
      <c r="B2" s="8"/>
      <c r="C2" s="3"/>
      <c r="D2" s="4"/>
      <c r="E2" s="261"/>
      <c r="F2" s="261"/>
      <c r="G2" s="261"/>
      <c r="T2" s="193"/>
    </row>
    <row r="3" spans="2:7" ht="12.75" customHeight="1" hidden="1" outlineLevel="1">
      <c r="B3" s="11" t="s">
        <v>1</v>
      </c>
      <c r="C3" s="12"/>
      <c r="D3" s="13" t="s">
        <v>72</v>
      </c>
      <c r="E3" s="262"/>
      <c r="F3" s="262"/>
      <c r="G3" s="262"/>
    </row>
    <row r="4" spans="2:7" ht="12.75" customHeight="1" hidden="1" outlineLevel="1">
      <c r="B4" s="14" t="s">
        <v>2</v>
      </c>
      <c r="C4" s="15"/>
      <c r="D4" s="16" t="s">
        <v>73</v>
      </c>
      <c r="E4" s="262"/>
      <c r="F4" s="262"/>
      <c r="G4" s="262"/>
    </row>
    <row r="5" spans="2:7" ht="12.75" customHeight="1" hidden="1" outlineLevel="1">
      <c r="B5" s="17" t="s">
        <v>3</v>
      </c>
      <c r="C5" s="15"/>
      <c r="D5" s="16" t="str">
        <f>'THP DR'!B7</f>
        <v>TR14GTM15001</v>
      </c>
      <c r="E5" s="262"/>
      <c r="F5" s="262"/>
      <c r="G5" s="262"/>
    </row>
    <row r="6" spans="2:20" ht="12.75" customHeight="1" hidden="1" outlineLevel="1">
      <c r="B6" s="14" t="s">
        <v>4</v>
      </c>
      <c r="C6" s="15"/>
      <c r="D6" s="308">
        <v>42991</v>
      </c>
      <c r="E6" s="262"/>
      <c r="F6" s="262"/>
      <c r="G6" s="262"/>
      <c r="T6" s="194"/>
    </row>
    <row r="7" spans="2:7" ht="13.5" customHeight="1" hidden="1" outlineLevel="1" thickBot="1">
      <c r="B7" s="18" t="s">
        <v>5</v>
      </c>
      <c r="C7" s="19"/>
      <c r="D7" s="190">
        <f>'THP DR'!B13</f>
        <v>6</v>
      </c>
      <c r="E7" s="262"/>
      <c r="F7" s="262"/>
      <c r="G7" s="262"/>
    </row>
    <row r="8" spans="2:21" s="25" customFormat="1" ht="13.5" customHeight="1" hidden="1" outlineLevel="1">
      <c r="B8" s="26"/>
      <c r="C8" s="27"/>
      <c r="D8" s="28"/>
      <c r="E8" s="265"/>
      <c r="F8" s="265"/>
      <c r="G8" s="265"/>
      <c r="S8" s="24"/>
      <c r="T8" s="192"/>
      <c r="U8" s="7"/>
    </row>
    <row r="9" spans="1:21" ht="15.75" hidden="1" outlineLevel="1">
      <c r="A9" s="5"/>
      <c r="B9" s="386" t="s">
        <v>6</v>
      </c>
      <c r="C9" s="29" t="s">
        <v>7</v>
      </c>
      <c r="D9" s="30" t="s">
        <v>8</v>
      </c>
      <c r="E9" s="393" t="s">
        <v>9</v>
      </c>
      <c r="F9" s="394"/>
      <c r="G9" s="394"/>
      <c r="H9" s="394"/>
      <c r="I9" s="327"/>
      <c r="J9" s="327"/>
      <c r="K9" s="327"/>
      <c r="L9" s="327"/>
      <c r="M9" s="327"/>
      <c r="N9" s="327"/>
      <c r="O9" s="232"/>
      <c r="P9" s="232"/>
      <c r="Q9" s="232"/>
      <c r="R9" s="232"/>
      <c r="S9" s="31" t="s">
        <v>10</v>
      </c>
      <c r="T9" s="195" t="s">
        <v>10</v>
      </c>
      <c r="U9" s="31" t="s">
        <v>11</v>
      </c>
    </row>
    <row r="10" spans="1:22" s="38" customFormat="1" ht="72.75" customHeight="1" collapsed="1">
      <c r="A10" s="5"/>
      <c r="B10" s="386"/>
      <c r="C10" s="33" t="s">
        <v>12</v>
      </c>
      <c r="D10" s="34" t="s">
        <v>13</v>
      </c>
      <c r="E10" s="390" t="str">
        <f>"Grant Quarter #"&amp;$D$7</f>
        <v>Grant Quarter #6</v>
      </c>
      <c r="F10" s="391"/>
      <c r="G10" s="391"/>
      <c r="H10" s="392"/>
      <c r="I10" s="35" t="s">
        <v>75</v>
      </c>
      <c r="J10" s="35" t="s">
        <v>76</v>
      </c>
      <c r="K10" s="35" t="s">
        <v>269</v>
      </c>
      <c r="L10" s="330" t="s">
        <v>77</v>
      </c>
      <c r="M10" s="330" t="s">
        <v>78</v>
      </c>
      <c r="N10" s="330" t="s">
        <v>79</v>
      </c>
      <c r="O10" s="330" t="s">
        <v>80</v>
      </c>
      <c r="P10" s="330" t="s">
        <v>81</v>
      </c>
      <c r="Q10" s="330" t="s">
        <v>226</v>
      </c>
      <c r="R10" s="330" t="s">
        <v>227</v>
      </c>
      <c r="S10" s="388" t="s">
        <v>14</v>
      </c>
      <c r="T10" s="387" t="s">
        <v>142</v>
      </c>
      <c r="U10" s="385" t="s">
        <v>15</v>
      </c>
      <c r="V10" s="37"/>
    </row>
    <row r="11" spans="1:22" s="38" customFormat="1" ht="25.5">
      <c r="A11" s="5"/>
      <c r="B11" s="39" t="s">
        <v>16</v>
      </c>
      <c r="C11" s="40" t="s">
        <v>279</v>
      </c>
      <c r="D11" s="41" t="s">
        <v>274</v>
      </c>
      <c r="E11" s="271" t="s">
        <v>275</v>
      </c>
      <c r="F11" s="271" t="s">
        <v>276</v>
      </c>
      <c r="G11" s="271" t="s">
        <v>277</v>
      </c>
      <c r="H11" s="271" t="s">
        <v>67</v>
      </c>
      <c r="I11" s="233" t="s">
        <v>65</v>
      </c>
      <c r="J11" s="233" t="s">
        <v>66</v>
      </c>
      <c r="K11" s="233" t="s">
        <v>267</v>
      </c>
      <c r="L11" s="233" t="s">
        <v>68</v>
      </c>
      <c r="M11" s="233" t="s">
        <v>69</v>
      </c>
      <c r="N11" s="233" t="s">
        <v>70</v>
      </c>
      <c r="O11" s="233" t="s">
        <v>268</v>
      </c>
      <c r="P11" s="233" t="s">
        <v>228</v>
      </c>
      <c r="Q11" s="233" t="s">
        <v>229</v>
      </c>
      <c r="R11" s="330" t="s">
        <v>270</v>
      </c>
      <c r="S11" s="389"/>
      <c r="T11" s="387"/>
      <c r="U11" s="385"/>
      <c r="V11" s="37"/>
    </row>
    <row r="12" spans="2:21" ht="15">
      <c r="B12" s="189" t="s">
        <v>102</v>
      </c>
      <c r="C12" s="189" t="s">
        <v>103</v>
      </c>
      <c r="D12" s="189" t="s">
        <v>104</v>
      </c>
      <c r="E12" s="266" t="s">
        <v>105</v>
      </c>
      <c r="F12" s="266" t="s">
        <v>106</v>
      </c>
      <c r="G12" s="260" t="s">
        <v>107</v>
      </c>
      <c r="H12" s="189" t="s">
        <v>108</v>
      </c>
      <c r="I12" s="189" t="s">
        <v>109</v>
      </c>
      <c r="J12" s="189" t="s">
        <v>110</v>
      </c>
      <c r="K12" s="189" t="s">
        <v>111</v>
      </c>
      <c r="L12" s="189" t="s">
        <v>112</v>
      </c>
      <c r="M12" s="189" t="s">
        <v>113</v>
      </c>
      <c r="N12" s="189" t="s">
        <v>114</v>
      </c>
      <c r="O12" s="189" t="s">
        <v>115</v>
      </c>
      <c r="P12" s="189" t="s">
        <v>116</v>
      </c>
      <c r="Q12" s="189" t="s">
        <v>117</v>
      </c>
      <c r="R12" s="189" t="s">
        <v>118</v>
      </c>
      <c r="S12" s="189" t="s">
        <v>119</v>
      </c>
      <c r="T12" s="196" t="s">
        <v>120</v>
      </c>
      <c r="U12" s="189" t="s">
        <v>121</v>
      </c>
    </row>
    <row r="13" spans="1:22" s="38" customFormat="1" ht="15">
      <c r="A13" s="5"/>
      <c r="B13" s="43"/>
      <c r="C13" s="44"/>
      <c r="D13" s="43"/>
      <c r="E13" s="267"/>
      <c r="F13" s="267"/>
      <c r="G13" s="267"/>
      <c r="H13" s="43"/>
      <c r="I13" s="43"/>
      <c r="J13" s="43"/>
      <c r="K13" s="43"/>
      <c r="L13" s="43"/>
      <c r="M13" s="43"/>
      <c r="N13" s="43"/>
      <c r="O13" s="43"/>
      <c r="P13" s="43"/>
      <c r="Q13" s="43"/>
      <c r="R13" s="43"/>
      <c r="S13" s="43"/>
      <c r="T13" s="43"/>
      <c r="U13" s="43"/>
      <c r="V13" s="37"/>
    </row>
    <row r="14" spans="1:22" s="38" customFormat="1" ht="15">
      <c r="A14" s="5"/>
      <c r="B14" s="45" t="s">
        <v>83</v>
      </c>
      <c r="C14" s="46"/>
      <c r="D14" s="47"/>
      <c r="E14" s="268"/>
      <c r="F14" s="268"/>
      <c r="G14" s="268"/>
      <c r="H14" s="47"/>
      <c r="I14" s="47"/>
      <c r="J14" s="47"/>
      <c r="K14" s="47"/>
      <c r="L14" s="47"/>
      <c r="M14" s="47"/>
      <c r="N14" s="47"/>
      <c r="O14" s="47"/>
      <c r="P14" s="47"/>
      <c r="Q14" s="47"/>
      <c r="R14" s="47"/>
      <c r="S14" s="48"/>
      <c r="T14" s="197"/>
      <c r="U14" s="48"/>
      <c r="V14" s="37"/>
    </row>
    <row r="15" spans="1:22" s="209" customFormat="1" ht="15" outlineLevel="1">
      <c r="A15" s="206" t="str">
        <f>LEFT(B15,4)</f>
        <v xml:space="preserve">1.1 </v>
      </c>
      <c r="B15" s="50" t="s">
        <v>84</v>
      </c>
      <c r="C15" s="198">
        <f>SUM(C16:C18)</f>
        <v>8010007.66</v>
      </c>
      <c r="D15" s="198">
        <f>SUM(D16:D18)</f>
        <v>3000</v>
      </c>
      <c r="E15" s="198">
        <f aca="true" t="shared" si="0" ref="E15:M15">SUM(E16:E18)</f>
        <v>1000</v>
      </c>
      <c r="F15" s="198">
        <f t="shared" si="0"/>
        <v>201000</v>
      </c>
      <c r="G15" s="198">
        <f t="shared" si="0"/>
        <v>1000</v>
      </c>
      <c r="H15" s="198">
        <f t="shared" si="0"/>
        <v>203000</v>
      </c>
      <c r="I15" s="198">
        <f t="shared" si="0"/>
        <v>3200000</v>
      </c>
      <c r="J15" s="198">
        <f t="shared" si="0"/>
        <v>0</v>
      </c>
      <c r="K15" s="198">
        <f t="shared" si="0"/>
        <v>0</v>
      </c>
      <c r="L15" s="198">
        <f t="shared" si="0"/>
        <v>0</v>
      </c>
      <c r="M15" s="198">
        <f t="shared" si="0"/>
        <v>0</v>
      </c>
      <c r="N15" s="198">
        <f aca="true" t="shared" si="1" ref="N15:Q15">SUM(N16:N18)</f>
        <v>0</v>
      </c>
      <c r="O15" s="198">
        <f t="shared" si="1"/>
        <v>0</v>
      </c>
      <c r="P15" s="198">
        <f t="shared" si="1"/>
        <v>0</v>
      </c>
      <c r="Q15" s="198">
        <f t="shared" si="1"/>
        <v>0</v>
      </c>
      <c r="R15" s="198"/>
      <c r="S15" s="198">
        <f>SUM(S16:S18)</f>
        <v>11416007.66</v>
      </c>
      <c r="T15" s="200">
        <f>'QFR - B'!G15</f>
        <v>12000000</v>
      </c>
      <c r="U15" s="287">
        <f>T15-S15</f>
        <v>583992.3399999999</v>
      </c>
      <c r="V15" s="208"/>
    </row>
    <row r="16" spans="1:22" s="209" customFormat="1" ht="15" outlineLevel="1">
      <c r="A16" s="206" t="s">
        <v>152</v>
      </c>
      <c r="B16" s="202" t="s">
        <v>122</v>
      </c>
      <c r="C16" s="203">
        <v>8010007.66</v>
      </c>
      <c r="D16" s="302">
        <v>0</v>
      </c>
      <c r="E16" s="302"/>
      <c r="F16" s="302">
        <v>200000</v>
      </c>
      <c r="G16" s="302"/>
      <c r="H16" s="302">
        <f>SUMIF('Contract level'!$A:$A,"="&amp;'DFP-Com'!$A16,'Contract level'!AS:AS)</f>
        <v>200000</v>
      </c>
      <c r="I16" s="204">
        <f>SUMIF('Contract level'!$A:$A,"="&amp;'DFP-Com'!$A16,'Contract level'!AT:AT)</f>
        <v>200000</v>
      </c>
      <c r="J16" s="204">
        <f>SUMIF('Contract level'!$A:$A,"="&amp;'DFP-Com'!$A16,'Contract level'!AU:AU)</f>
        <v>0</v>
      </c>
      <c r="K16" s="204">
        <f>SUMIF('Contract level'!$A:$A,"="&amp;'DFP-Com'!$A16,'Contract level'!AV:AV)</f>
        <v>0</v>
      </c>
      <c r="L16" s="204">
        <f>SUMIF('Contract level'!$A:$A,"="&amp;'DFP-Com'!$A16,'Contract level'!AW:AW)</f>
        <v>0</v>
      </c>
      <c r="M16" s="204">
        <f>SUMIF('Contract level'!$A:$A,"="&amp;'DFP-Com'!$A16,'Contract level'!AX:AX)</f>
        <v>0</v>
      </c>
      <c r="N16" s="204">
        <f>SUMIF('Contract level'!$A:$A,"="&amp;'DFP-Com'!$A16,'Contract level'!AY:AY)</f>
        <v>0</v>
      </c>
      <c r="O16" s="204">
        <f>SUMIF('Contract level'!$A:$A,"="&amp;'DFP-Com'!$A16,'Contract level'!AZ:AZ)</f>
        <v>0</v>
      </c>
      <c r="P16" s="204">
        <f>SUMIF('Contract level'!$A:$A,"="&amp;'DFP-Com'!$A16,'Contract level'!BA:BA)</f>
        <v>0</v>
      </c>
      <c r="Q16" s="204">
        <f>SUMIF('Contract level'!$A:$A,"="&amp;'DFP-Com'!$A16,'Contract level'!BB:BB)</f>
        <v>0</v>
      </c>
      <c r="R16" s="302"/>
      <c r="S16" s="204">
        <f>SUM(H16:R16)+D16+C16</f>
        <v>8410007.66</v>
      </c>
      <c r="T16" s="205" t="s">
        <v>128</v>
      </c>
      <c r="U16" s="288"/>
      <c r="V16" s="208"/>
    </row>
    <row r="17" spans="1:22" s="209" customFormat="1" ht="15" outlineLevel="1">
      <c r="A17" s="206" t="s">
        <v>153</v>
      </c>
      <c r="B17" s="202" t="s">
        <v>123</v>
      </c>
      <c r="C17" s="203"/>
      <c r="D17" s="204">
        <v>0</v>
      </c>
      <c r="E17" s="204"/>
      <c r="F17" s="204"/>
      <c r="G17" s="204"/>
      <c r="H17" s="204">
        <f>SUMIF('Contract level'!$A:$A,"="&amp;'DFP-Com'!$A17,'Contract level'!AS:AS)</f>
        <v>0</v>
      </c>
      <c r="I17" s="204">
        <f>SUMIF('Contract level'!$A:$A,"="&amp;'DFP-Com'!$A17,'Contract level'!AT:AT)</f>
        <v>3000000</v>
      </c>
      <c r="J17" s="204">
        <f>SUMIF('Contract level'!$A:$A,"="&amp;'DFP-Com'!$A17,'Contract level'!AU:AU)</f>
        <v>0</v>
      </c>
      <c r="K17" s="204">
        <f>SUMIF('Contract level'!$A:$A,"="&amp;'DFP-Com'!$A17,'Contract level'!AV:AV)</f>
        <v>0</v>
      </c>
      <c r="L17" s="204">
        <f>SUMIF('Contract level'!$A:$A,"="&amp;'DFP-Com'!$A17,'Contract level'!AW:AW)</f>
        <v>0</v>
      </c>
      <c r="M17" s="204">
        <f>SUMIF('Contract level'!$A:$A,"="&amp;'DFP-Com'!$A17,'Contract level'!AX:AX)</f>
        <v>0</v>
      </c>
      <c r="N17" s="204">
        <f>SUMIF('Contract level'!$A:$A,"="&amp;'DFP-Com'!$A17,'Contract level'!AY:AY)</f>
        <v>0</v>
      </c>
      <c r="O17" s="204">
        <f>SUMIF('Contract level'!$A:$A,"="&amp;'DFP-Com'!$A17,'Contract level'!AZ:AZ)</f>
        <v>0</v>
      </c>
      <c r="P17" s="204">
        <f>SUMIF('Contract level'!$A:$A,"="&amp;'DFP-Com'!$A17,'Contract level'!BA:BA)</f>
        <v>0</v>
      </c>
      <c r="Q17" s="204">
        <f>SUMIF('Contract level'!$A:$A,"="&amp;'DFP-Com'!$A17,'Contract level'!BB:BB)</f>
        <v>0</v>
      </c>
      <c r="R17" s="302"/>
      <c r="S17" s="302">
        <f>SUM(H17:R17)+D17+C17</f>
        <v>3000000</v>
      </c>
      <c r="T17" s="205"/>
      <c r="U17" s="288"/>
      <c r="V17" s="208"/>
    </row>
    <row r="18" spans="1:22" s="209" customFormat="1" ht="15" outlineLevel="1">
      <c r="A18" s="206" t="s">
        <v>154</v>
      </c>
      <c r="B18" s="202" t="s">
        <v>130</v>
      </c>
      <c r="C18" s="203"/>
      <c r="D18" s="204">
        <v>3000</v>
      </c>
      <c r="E18" s="204">
        <v>1000</v>
      </c>
      <c r="F18" s="204">
        <v>1000</v>
      </c>
      <c r="G18" s="204">
        <v>1000</v>
      </c>
      <c r="H18" s="204">
        <f>SUMIF('Contract level'!$A:$A,"="&amp;'DFP-Com'!$A18,'Contract level'!AS:AS)</f>
        <v>3000</v>
      </c>
      <c r="I18" s="204">
        <f>SUMIF('Contract level'!$A:$A,"="&amp;'DFP-Com'!$A18,'Contract level'!AT:AT)</f>
        <v>0</v>
      </c>
      <c r="J18" s="204">
        <f>SUMIF('Contract level'!$A:$A,"="&amp;'DFP-Com'!$A18,'Contract level'!AU:AU)</f>
        <v>0</v>
      </c>
      <c r="K18" s="204">
        <f>SUMIF('Contract level'!$A:$A,"="&amp;'DFP-Com'!$A18,'Contract level'!AV:AV)</f>
        <v>0</v>
      </c>
      <c r="L18" s="204">
        <f>SUMIF('Contract level'!$A:$A,"="&amp;'DFP-Com'!$A18,'Contract level'!AW:AW)</f>
        <v>0</v>
      </c>
      <c r="M18" s="204">
        <f>SUMIF('Contract level'!$A:$A,"="&amp;'DFP-Com'!$A18,'Contract level'!AX:AX)</f>
        <v>0</v>
      </c>
      <c r="N18" s="204">
        <f>SUMIF('Contract level'!$A:$A,"="&amp;'DFP-Com'!$A18,'Contract level'!AY:AY)</f>
        <v>0</v>
      </c>
      <c r="O18" s="204">
        <f>SUMIF('Contract level'!$A:$A,"="&amp;'DFP-Com'!$A18,'Contract level'!AZ:AZ)</f>
        <v>0</v>
      </c>
      <c r="P18" s="204">
        <f>SUMIF('Contract level'!$A:$A,"="&amp;'DFP-Com'!$A18,'Contract level'!BA:BA)</f>
        <v>0</v>
      </c>
      <c r="Q18" s="204">
        <f>SUMIF('Contract level'!$A:$A,"="&amp;'DFP-Com'!$A18,'Contract level'!BB:BB)</f>
        <v>0</v>
      </c>
      <c r="R18" s="302"/>
      <c r="S18" s="204">
        <f>SUM(H18:Q18)+D18+C18</f>
        <v>6000</v>
      </c>
      <c r="T18" s="205"/>
      <c r="U18" s="288"/>
      <c r="V18" s="208"/>
    </row>
    <row r="19" spans="1:22" s="209" customFormat="1" ht="12.95" customHeight="1" outlineLevel="1">
      <c r="A19" s="206" t="str">
        <f aca="true" t="shared" si="2" ref="A19:A37">LEFT(B19,4)</f>
        <v xml:space="preserve">1.2 </v>
      </c>
      <c r="B19" s="50" t="s">
        <v>85</v>
      </c>
      <c r="C19" s="198">
        <f>C20</f>
        <v>35002.5</v>
      </c>
      <c r="D19" s="198">
        <f>D20</f>
        <v>0</v>
      </c>
      <c r="E19" s="198">
        <f aca="true" t="shared" si="3" ref="E19:S19">E20</f>
        <v>0</v>
      </c>
      <c r="F19" s="198">
        <f t="shared" si="3"/>
        <v>2800000</v>
      </c>
      <c r="G19" s="198">
        <f t="shared" si="3"/>
        <v>0</v>
      </c>
      <c r="H19" s="198">
        <f t="shared" si="3"/>
        <v>2800000</v>
      </c>
      <c r="I19" s="198">
        <f t="shared" si="3"/>
        <v>1000000</v>
      </c>
      <c r="J19" s="198">
        <f t="shared" si="3"/>
        <v>406929.5</v>
      </c>
      <c r="K19" s="198">
        <f t="shared" si="3"/>
        <v>0</v>
      </c>
      <c r="L19" s="198">
        <f t="shared" si="3"/>
        <v>0</v>
      </c>
      <c r="M19" s="198">
        <f t="shared" si="3"/>
        <v>0</v>
      </c>
      <c r="N19" s="198">
        <f t="shared" si="3"/>
        <v>0</v>
      </c>
      <c r="O19" s="198">
        <f t="shared" si="3"/>
        <v>0</v>
      </c>
      <c r="P19" s="198">
        <f t="shared" si="3"/>
        <v>0</v>
      </c>
      <c r="Q19" s="198">
        <f t="shared" si="3"/>
        <v>0</v>
      </c>
      <c r="R19" s="198"/>
      <c r="S19" s="198">
        <f t="shared" si="3"/>
        <v>4241932</v>
      </c>
      <c r="T19" s="200">
        <f>'QFR - B'!G16</f>
        <v>4300000</v>
      </c>
      <c r="U19" s="287">
        <f>T19-S19</f>
        <v>58068</v>
      </c>
      <c r="V19" s="208"/>
    </row>
    <row r="20" spans="1:22" s="209" customFormat="1" ht="12.95" customHeight="1" outlineLevel="1">
      <c r="A20" s="206" t="s">
        <v>155</v>
      </c>
      <c r="B20" s="202" t="s">
        <v>131</v>
      </c>
      <c r="C20" s="203">
        <v>35002.5</v>
      </c>
      <c r="D20" s="302">
        <v>0</v>
      </c>
      <c r="E20" s="302">
        <v>0</v>
      </c>
      <c r="F20" s="302">
        <v>2800000</v>
      </c>
      <c r="G20" s="302"/>
      <c r="H20" s="302">
        <f>SUMIF('Contract level'!$A:$A,"="&amp;'DFP-Com'!$A20,'Contract level'!AS:AS)</f>
        <v>2800000</v>
      </c>
      <c r="I20" s="204">
        <f>SUMIF('Contract level'!$A:$A,"="&amp;'DFP-Com'!$A20,'Contract level'!AT:AT)</f>
        <v>1000000</v>
      </c>
      <c r="J20" s="204">
        <f>SUMIF('Contract level'!$A:$A,"="&amp;'DFP-Com'!$A20,'Contract level'!AU:AU)</f>
        <v>406929.5</v>
      </c>
      <c r="K20" s="204">
        <f>SUMIF('Contract level'!$A:$A,"="&amp;'DFP-Com'!$A20,'Contract level'!AV:AV)</f>
        <v>0</v>
      </c>
      <c r="L20" s="204">
        <f>SUMIF('Contract level'!$A:$A,"="&amp;'DFP-Com'!$A20,'Contract level'!AW:AW)</f>
        <v>0</v>
      </c>
      <c r="M20" s="204">
        <f>SUMIF('Contract level'!$A:$A,"="&amp;'DFP-Com'!$A20,'Contract level'!AX:AX)</f>
        <v>0</v>
      </c>
      <c r="N20" s="204">
        <f>SUMIF('Contract level'!$A:$A,"="&amp;'DFP-Com'!$A20,'Contract level'!AY:AY)</f>
        <v>0</v>
      </c>
      <c r="O20" s="204">
        <f>SUMIF('Contract level'!$A:$A,"="&amp;'DFP-Com'!$A20,'Contract level'!AZ:AZ)</f>
        <v>0</v>
      </c>
      <c r="P20" s="204">
        <f>SUMIF('Contract level'!$A:$A,"="&amp;'DFP-Com'!$A20,'Contract level'!BA:BA)</f>
        <v>0</v>
      </c>
      <c r="Q20" s="204">
        <f>SUMIF('Contract level'!$A:$A,"="&amp;'DFP-Com'!$A20,'Contract level'!BB:BB)</f>
        <v>0</v>
      </c>
      <c r="R20" s="302"/>
      <c r="S20" s="204">
        <f>SUM(H20:R20)+D20+C20</f>
        <v>4241932</v>
      </c>
      <c r="T20" s="205"/>
      <c r="U20" s="288"/>
      <c r="V20" s="208"/>
    </row>
    <row r="21" spans="1:22" s="209" customFormat="1" ht="15" outlineLevel="1">
      <c r="A21" s="206">
        <v>1.3</v>
      </c>
      <c r="B21" s="50" t="s">
        <v>86</v>
      </c>
      <c r="C21" s="198">
        <f>SUM(C22:C24)</f>
        <v>2396284.61</v>
      </c>
      <c r="D21" s="198">
        <f aca="true" t="shared" si="4" ref="D21:S21">SUM(D22:D24)</f>
        <v>18000</v>
      </c>
      <c r="E21" s="198">
        <f t="shared" si="4"/>
        <v>16800</v>
      </c>
      <c r="F21" s="198">
        <f t="shared" si="4"/>
        <v>0</v>
      </c>
      <c r="G21" s="198">
        <f t="shared" si="4"/>
        <v>43758</v>
      </c>
      <c r="H21" s="198">
        <f t="shared" si="4"/>
        <v>60558</v>
      </c>
      <c r="I21" s="198">
        <f t="shared" si="4"/>
        <v>0</v>
      </c>
      <c r="J21" s="198">
        <f t="shared" si="4"/>
        <v>0</v>
      </c>
      <c r="K21" s="198">
        <f t="shared" si="4"/>
        <v>0</v>
      </c>
      <c r="L21" s="198">
        <f t="shared" si="4"/>
        <v>42000</v>
      </c>
      <c r="M21" s="198">
        <f t="shared" si="4"/>
        <v>0</v>
      </c>
      <c r="N21" s="198">
        <f aca="true" t="shared" si="5" ref="N21:Q21">SUM(N22:N24)</f>
        <v>0</v>
      </c>
      <c r="O21" s="198">
        <f t="shared" si="5"/>
        <v>0</v>
      </c>
      <c r="P21" s="198">
        <f t="shared" si="5"/>
        <v>21000</v>
      </c>
      <c r="Q21" s="198">
        <f t="shared" si="5"/>
        <v>0</v>
      </c>
      <c r="R21" s="198"/>
      <c r="S21" s="198">
        <f t="shared" si="4"/>
        <v>2537842.61</v>
      </c>
      <c r="T21" s="200">
        <f>'QFR - B'!G17</f>
        <v>3000000</v>
      </c>
      <c r="U21" s="287">
        <f>T21-S21</f>
        <v>462157.39000000013</v>
      </c>
      <c r="V21" s="208"/>
    </row>
    <row r="22" spans="1:22" s="209" customFormat="1" ht="12.95" customHeight="1" outlineLevel="1">
      <c r="A22" s="206" t="s">
        <v>156</v>
      </c>
      <c r="B22" s="202" t="s">
        <v>124</v>
      </c>
      <c r="C22" s="203">
        <v>2355884.61</v>
      </c>
      <c r="D22" s="302">
        <v>0</v>
      </c>
      <c r="E22" s="204"/>
      <c r="F22" s="204"/>
      <c r="G22" s="204"/>
      <c r="H22" s="204">
        <f>SUMIF('Contract level'!$A:$A,"="&amp;'DFP-Com'!$A22,'Contract level'!AS:AS)</f>
        <v>0</v>
      </c>
      <c r="I22" s="204">
        <f>SUMIF('Contract level'!$A:$A,"="&amp;'DFP-Com'!$A22,'Contract level'!AT:AT)</f>
        <v>0</v>
      </c>
      <c r="J22" s="204">
        <f>SUMIF('Contract level'!$A:$A,"="&amp;'DFP-Com'!$A22,'Contract level'!AU:AU)</f>
        <v>0</v>
      </c>
      <c r="K22" s="204">
        <f>SUMIF('Contract level'!$A:$A,"="&amp;'DFP-Com'!$A22,'Contract level'!AV:AV)</f>
        <v>0</v>
      </c>
      <c r="L22" s="204">
        <f>SUMIF('Contract level'!$A:$A,"="&amp;'DFP-Com'!$A22,'Contract level'!AW:AW)</f>
        <v>0</v>
      </c>
      <c r="M22" s="204">
        <f>SUMIF('Contract level'!$A:$A,"="&amp;'DFP-Com'!$A22,'Contract level'!AX:AX)</f>
        <v>0</v>
      </c>
      <c r="N22" s="204">
        <f>SUMIF('Contract level'!$A:$A,"="&amp;'DFP-Com'!$A22,'Contract level'!AY:AY)</f>
        <v>0</v>
      </c>
      <c r="O22" s="204">
        <f>SUMIF('Contract level'!$A:$A,"="&amp;'DFP-Com'!$A22,'Contract level'!AZ:AZ)</f>
        <v>0</v>
      </c>
      <c r="P22" s="204">
        <f>SUMIF('Contract level'!$A:$A,"="&amp;'DFP-Com'!$A22,'Contract level'!BA:BA)</f>
        <v>0</v>
      </c>
      <c r="Q22" s="204">
        <f>SUMIF('Contract level'!$A:$A,"="&amp;'DFP-Com'!$A22,'Contract level'!BB:BB)</f>
        <v>0</v>
      </c>
      <c r="R22" s="302"/>
      <c r="S22" s="204">
        <f>SUM(H22:R22)+D22+C22</f>
        <v>2355884.61</v>
      </c>
      <c r="T22" s="205"/>
      <c r="U22" s="288"/>
      <c r="V22" s="208"/>
    </row>
    <row r="23" spans="1:22" s="209" customFormat="1" ht="12.95" customHeight="1" outlineLevel="1">
      <c r="A23" s="206" t="s">
        <v>157</v>
      </c>
      <c r="B23" s="202" t="s">
        <v>140</v>
      </c>
      <c r="C23" s="203">
        <v>40400</v>
      </c>
      <c r="D23" s="204">
        <v>18000</v>
      </c>
      <c r="E23" s="302">
        <v>16800</v>
      </c>
      <c r="F23" s="302"/>
      <c r="G23" s="302">
        <v>43758</v>
      </c>
      <c r="H23" s="302">
        <f>SUMIF('Contract level'!$A:$A,"="&amp;'DFP-Com'!$A23,'Contract level'!AS:AS)</f>
        <v>60558</v>
      </c>
      <c r="I23" s="204">
        <f>SUMIF('Contract level'!$A:$A,"="&amp;'DFP-Com'!$A23,'Contract level'!AT:AT)</f>
        <v>0</v>
      </c>
      <c r="J23" s="204">
        <f>SUMIF('Contract level'!$A:$A,"="&amp;'DFP-Com'!$A23,'Contract level'!AU:AU)</f>
        <v>0</v>
      </c>
      <c r="K23" s="204">
        <f>SUMIF('Contract level'!$A:$A,"="&amp;'DFP-Com'!$A23,'Contract level'!AV:AV)</f>
        <v>0</v>
      </c>
      <c r="L23" s="204">
        <f>SUMIF('Contract level'!$A:$A,"="&amp;'DFP-Com'!$A23,'Contract level'!AW:AW)</f>
        <v>42000</v>
      </c>
      <c r="M23" s="204">
        <f>SUMIF('Contract level'!$A:$A,"="&amp;'DFP-Com'!$A23,'Contract level'!AX:AX)</f>
        <v>0</v>
      </c>
      <c r="N23" s="204">
        <f>SUMIF('Contract level'!$A:$A,"="&amp;'DFP-Com'!$A23,'Contract level'!AY:AY)</f>
        <v>0</v>
      </c>
      <c r="O23" s="204">
        <f>SUMIF('Contract level'!$A:$A,"="&amp;'DFP-Com'!$A23,'Contract level'!AZ:AZ)</f>
        <v>0</v>
      </c>
      <c r="P23" s="204">
        <f>SUMIF('Contract level'!$A:$A,"="&amp;'DFP-Com'!$A23,'Contract level'!BA:BA)</f>
        <v>21000</v>
      </c>
      <c r="Q23" s="204">
        <f>SUMIF('Contract level'!$A:$A,"="&amp;'DFP-Com'!$A23,'Contract level'!BB:BB)</f>
        <v>0</v>
      </c>
      <c r="R23" s="302"/>
      <c r="S23" s="302">
        <f>SUM(H23:R23)+D23+C23</f>
        <v>181958</v>
      </c>
      <c r="T23" s="205"/>
      <c r="U23" s="288"/>
      <c r="V23" s="208"/>
    </row>
    <row r="24" spans="1:22" s="209" customFormat="1" ht="15" outlineLevel="1">
      <c r="A24" s="206" t="s">
        <v>158</v>
      </c>
      <c r="B24" s="202" t="s">
        <v>139</v>
      </c>
      <c r="C24" s="203"/>
      <c r="D24" s="204">
        <v>0</v>
      </c>
      <c r="E24" s="204"/>
      <c r="F24" s="204"/>
      <c r="G24" s="204"/>
      <c r="H24" s="204">
        <f>SUMIF('Contract level'!$A:$A,"="&amp;'DFP-Com'!$A24,'Contract level'!AS:AS)</f>
        <v>0</v>
      </c>
      <c r="I24" s="204">
        <f>SUMIF('Contract level'!$A:$A,"="&amp;'DFP-Com'!$A24,'Contract level'!AT:AT)</f>
        <v>0</v>
      </c>
      <c r="J24" s="204">
        <f>SUMIF('Contract level'!$A:$A,"="&amp;'DFP-Com'!$A24,'Contract level'!AU:AU)</f>
        <v>0</v>
      </c>
      <c r="K24" s="204">
        <f>SUMIF('Contract level'!$A:$A,"="&amp;'DFP-Com'!$A24,'Contract level'!AV:AV)</f>
        <v>0</v>
      </c>
      <c r="L24" s="204">
        <f>SUMIF('Contract level'!$A:$A,"="&amp;'DFP-Com'!$A24,'Contract level'!AW:AW)</f>
        <v>0</v>
      </c>
      <c r="M24" s="204">
        <f>SUMIF('Contract level'!$A:$A,"="&amp;'DFP-Com'!$A24,'Contract level'!AX:AX)</f>
        <v>0</v>
      </c>
      <c r="N24" s="204">
        <f>SUMIF('Contract level'!$A:$A,"="&amp;'DFP-Com'!$A24,'Contract level'!AY:AY)</f>
        <v>0</v>
      </c>
      <c r="O24" s="204">
        <f>SUMIF('Contract level'!$A:$A,"="&amp;'DFP-Com'!$A24,'Contract level'!AZ:AZ)</f>
        <v>0</v>
      </c>
      <c r="P24" s="204">
        <f>SUMIF('Contract level'!$A:$A,"="&amp;'DFP-Com'!$A24,'Contract level'!BA:BA)</f>
        <v>0</v>
      </c>
      <c r="Q24" s="204">
        <f>SUMIF('Contract level'!$A:$A,"="&amp;'DFP-Com'!$A24,'Contract level'!BB:BB)</f>
        <v>0</v>
      </c>
      <c r="R24" s="302"/>
      <c r="S24" s="204">
        <f>SUM(H24:Q24)+D24+C24</f>
        <v>0</v>
      </c>
      <c r="T24" s="205"/>
      <c r="U24" s="288"/>
      <c r="V24" s="208"/>
    </row>
    <row r="25" spans="1:22" s="209" customFormat="1" ht="15">
      <c r="A25" s="206" t="str">
        <f t="shared" si="2"/>
        <v>TOTA</v>
      </c>
      <c r="B25" s="52" t="s">
        <v>63</v>
      </c>
      <c r="C25" s="199">
        <f>C21+C19+C15</f>
        <v>10441294.77</v>
      </c>
      <c r="D25" s="199">
        <f aca="true" t="shared" si="6" ref="D25:S25">D21+D19+D15</f>
        <v>21000</v>
      </c>
      <c r="E25" s="199">
        <f t="shared" si="6"/>
        <v>17800</v>
      </c>
      <c r="F25" s="199">
        <f t="shared" si="6"/>
        <v>3001000</v>
      </c>
      <c r="G25" s="199">
        <f t="shared" si="6"/>
        <v>44758</v>
      </c>
      <c r="H25" s="199">
        <f t="shared" si="6"/>
        <v>3063558</v>
      </c>
      <c r="I25" s="199">
        <f t="shared" si="6"/>
        <v>4200000</v>
      </c>
      <c r="J25" s="199">
        <f t="shared" si="6"/>
        <v>406929.5</v>
      </c>
      <c r="K25" s="199">
        <f t="shared" si="6"/>
        <v>0</v>
      </c>
      <c r="L25" s="199">
        <f t="shared" si="6"/>
        <v>42000</v>
      </c>
      <c r="M25" s="199">
        <f t="shared" si="6"/>
        <v>0</v>
      </c>
      <c r="N25" s="199">
        <f aca="true" t="shared" si="7" ref="N25:Q25">N21+N19+N15</f>
        <v>0</v>
      </c>
      <c r="O25" s="199">
        <f t="shared" si="7"/>
        <v>0</v>
      </c>
      <c r="P25" s="199">
        <f t="shared" si="7"/>
        <v>21000</v>
      </c>
      <c r="Q25" s="199">
        <f t="shared" si="7"/>
        <v>0</v>
      </c>
      <c r="R25" s="199"/>
      <c r="S25" s="199">
        <f t="shared" si="6"/>
        <v>18195782.27</v>
      </c>
      <c r="T25" s="201">
        <f>T15+T19+T21</f>
        <v>19300000</v>
      </c>
      <c r="U25" s="289">
        <f>U15+U19+U21</f>
        <v>1104217.73</v>
      </c>
      <c r="V25" s="208"/>
    </row>
    <row r="26" spans="1:22" s="38" customFormat="1" ht="15">
      <c r="A26" s="206" t="str">
        <f t="shared" si="2"/>
        <v/>
      </c>
      <c r="B26" s="54"/>
      <c r="C26" s="276"/>
      <c r="D26" s="218"/>
      <c r="E26" s="218"/>
      <c r="F26" s="218"/>
      <c r="G26" s="218"/>
      <c r="H26" s="218"/>
      <c r="I26" s="218"/>
      <c r="J26" s="218"/>
      <c r="K26" s="218"/>
      <c r="L26" s="218"/>
      <c r="M26" s="218"/>
      <c r="N26" s="218"/>
      <c r="O26" s="218"/>
      <c r="P26" s="218"/>
      <c r="Q26" s="218"/>
      <c r="R26" s="218"/>
      <c r="S26" s="218"/>
      <c r="T26" s="272"/>
      <c r="U26" s="290"/>
      <c r="V26" s="37"/>
    </row>
    <row r="27" spans="1:22" s="38" customFormat="1" ht="15">
      <c r="A27" s="206" t="str">
        <f t="shared" si="2"/>
        <v>2. R</v>
      </c>
      <c r="B27" s="45" t="s">
        <v>89</v>
      </c>
      <c r="C27" s="277"/>
      <c r="D27" s="219"/>
      <c r="E27" s="219"/>
      <c r="F27" s="219"/>
      <c r="G27" s="219"/>
      <c r="H27" s="219"/>
      <c r="I27" s="219"/>
      <c r="J27" s="219"/>
      <c r="K27" s="219"/>
      <c r="L27" s="219"/>
      <c r="M27" s="219"/>
      <c r="N27" s="219"/>
      <c r="O27" s="219"/>
      <c r="P27" s="219"/>
      <c r="Q27" s="219"/>
      <c r="R27" s="219"/>
      <c r="S27" s="219"/>
      <c r="T27" s="273"/>
      <c r="U27" s="291"/>
      <c r="V27" s="37"/>
    </row>
    <row r="28" spans="1:22" s="38" customFormat="1" ht="15" outlineLevel="1">
      <c r="A28" s="206">
        <v>2.1</v>
      </c>
      <c r="B28" s="50" t="s">
        <v>141</v>
      </c>
      <c r="C28" s="221">
        <f aca="true" t="shared" si="8" ref="C28:S28">SUM(C29:C29)</f>
        <v>140500</v>
      </c>
      <c r="D28" s="221">
        <f t="shared" si="8"/>
        <v>35000</v>
      </c>
      <c r="E28" s="221">
        <f t="shared" si="8"/>
        <v>0</v>
      </c>
      <c r="F28" s="221">
        <f t="shared" si="8"/>
        <v>372000</v>
      </c>
      <c r="G28" s="221">
        <f t="shared" si="8"/>
        <v>18000</v>
      </c>
      <c r="H28" s="221">
        <f t="shared" si="8"/>
        <v>390000</v>
      </c>
      <c r="I28" s="221">
        <f t="shared" si="8"/>
        <v>36000</v>
      </c>
      <c r="J28" s="221">
        <f t="shared" si="8"/>
        <v>0</v>
      </c>
      <c r="K28" s="221">
        <f t="shared" si="8"/>
        <v>0</v>
      </c>
      <c r="L28" s="221">
        <f t="shared" si="8"/>
        <v>100000</v>
      </c>
      <c r="M28" s="221">
        <f t="shared" si="8"/>
        <v>0</v>
      </c>
      <c r="N28" s="221">
        <f t="shared" si="8"/>
        <v>0</v>
      </c>
      <c r="O28" s="221">
        <f t="shared" si="8"/>
        <v>0</v>
      </c>
      <c r="P28" s="221">
        <f t="shared" si="8"/>
        <v>0</v>
      </c>
      <c r="Q28" s="221">
        <f t="shared" si="8"/>
        <v>0</v>
      </c>
      <c r="R28" s="221"/>
      <c r="S28" s="221">
        <f t="shared" si="8"/>
        <v>701500</v>
      </c>
      <c r="T28" s="200">
        <f>'QFR - B'!G20</f>
        <v>800000</v>
      </c>
      <c r="U28" s="287">
        <f>T28-S28</f>
        <v>98500</v>
      </c>
      <c r="V28" s="37"/>
    </row>
    <row r="29" spans="1:22" s="209" customFormat="1" ht="15" outlineLevel="1">
      <c r="A29" s="206" t="s">
        <v>159</v>
      </c>
      <c r="B29" s="202" t="s">
        <v>134</v>
      </c>
      <c r="C29" s="203">
        <v>140500</v>
      </c>
      <c r="D29" s="302">
        <v>35000</v>
      </c>
      <c r="E29" s="302">
        <v>0</v>
      </c>
      <c r="F29" s="302">
        <f>230000+72000+40000+30000</f>
        <v>372000</v>
      </c>
      <c r="G29" s="302">
        <v>18000</v>
      </c>
      <c r="H29" s="302">
        <f>SUMIF('Contract level'!$A:$A,"="&amp;'DFP-Com'!$A29,'Contract level'!AS:AS)</f>
        <v>390000</v>
      </c>
      <c r="I29" s="204">
        <f>SUMIF('Contract level'!$A:$A,"="&amp;'DFP-Com'!$A29,'Contract level'!AT:AT)</f>
        <v>36000</v>
      </c>
      <c r="J29" s="204">
        <f>SUMIF('Contract level'!$A:$A,"="&amp;'DFP-Com'!$A29,'Contract level'!AU:AU)</f>
        <v>0</v>
      </c>
      <c r="K29" s="204">
        <f>SUMIF('Contract level'!$A:$A,"="&amp;'DFP-Com'!$A29,'Contract level'!AV:AV)</f>
        <v>0</v>
      </c>
      <c r="L29" s="204">
        <f>SUMIF('Contract level'!$A:$A,"="&amp;'DFP-Com'!$A29,'Contract level'!AW:AW)</f>
        <v>100000</v>
      </c>
      <c r="M29" s="204">
        <f>SUMIF('Contract level'!$A:$A,"="&amp;'DFP-Com'!$A29,'Contract level'!AX:AX)</f>
        <v>0</v>
      </c>
      <c r="N29" s="204">
        <f>SUMIF('Contract level'!$A:$A,"="&amp;'DFP-Com'!$A29,'Contract level'!AY:AY)</f>
        <v>0</v>
      </c>
      <c r="O29" s="204">
        <f>SUMIF('Contract level'!$A:$A,"="&amp;'DFP-Com'!$A29,'Contract level'!AZ:AZ)</f>
        <v>0</v>
      </c>
      <c r="P29" s="204">
        <f>SUMIF('Contract level'!$A:$A,"="&amp;'DFP-Com'!$A29,'Contract level'!BA:BA)</f>
        <v>0</v>
      </c>
      <c r="Q29" s="204">
        <f>SUMIF('Contract level'!$A:$A,"="&amp;'DFP-Com'!$A29,'Contract level'!BB:BB)</f>
        <v>0</v>
      </c>
      <c r="R29" s="302"/>
      <c r="S29" s="204">
        <f>SUM(H29:R29)+D29+C29</f>
        <v>701500</v>
      </c>
      <c r="T29" s="205"/>
      <c r="U29" s="288"/>
      <c r="V29" s="208"/>
    </row>
    <row r="30" spans="1:22" s="38" customFormat="1" ht="15" outlineLevel="1">
      <c r="A30" s="206">
        <v>2.2</v>
      </c>
      <c r="B30" s="50" t="s">
        <v>93</v>
      </c>
      <c r="C30" s="198">
        <f>SUM(C31:C33)</f>
        <v>388411.64</v>
      </c>
      <c r="D30" s="198">
        <f aca="true" t="shared" si="9" ref="D30:M30">SUM(D31:D33)</f>
        <v>1166500</v>
      </c>
      <c r="E30" s="198">
        <f t="shared" si="9"/>
        <v>0</v>
      </c>
      <c r="F30" s="198">
        <f t="shared" si="9"/>
        <v>400000</v>
      </c>
      <c r="G30" s="198">
        <f t="shared" si="9"/>
        <v>0</v>
      </c>
      <c r="H30" s="198">
        <f t="shared" si="9"/>
        <v>400000</v>
      </c>
      <c r="I30" s="198">
        <f t="shared" si="9"/>
        <v>0</v>
      </c>
      <c r="J30" s="198">
        <f t="shared" si="9"/>
        <v>247000</v>
      </c>
      <c r="K30" s="198">
        <f t="shared" si="9"/>
        <v>0</v>
      </c>
      <c r="L30" s="198">
        <f t="shared" si="9"/>
        <v>73500</v>
      </c>
      <c r="M30" s="198">
        <f t="shared" si="9"/>
        <v>500000</v>
      </c>
      <c r="N30" s="198">
        <f aca="true" t="shared" si="10" ref="N30:Q30">SUM(N31:N33)</f>
        <v>0</v>
      </c>
      <c r="O30" s="198">
        <f t="shared" si="10"/>
        <v>0</v>
      </c>
      <c r="P30" s="198">
        <f t="shared" si="10"/>
        <v>0</v>
      </c>
      <c r="Q30" s="198">
        <f t="shared" si="10"/>
        <v>0</v>
      </c>
      <c r="R30" s="198"/>
      <c r="S30" s="198">
        <f>SUM(S31:S33)</f>
        <v>2775411.64</v>
      </c>
      <c r="T30" s="200">
        <f>'QFR - B'!G21</f>
        <v>3600000</v>
      </c>
      <c r="U30" s="287">
        <f>T30-S30</f>
        <v>824588.3599999999</v>
      </c>
      <c r="V30" s="37"/>
    </row>
    <row r="31" spans="1:22" s="209" customFormat="1" ht="15" outlineLevel="1">
      <c r="A31" s="206" t="s">
        <v>160</v>
      </c>
      <c r="B31" s="202" t="s">
        <v>135</v>
      </c>
      <c r="C31" s="203">
        <v>382450</v>
      </c>
      <c r="D31" s="302">
        <v>123500</v>
      </c>
      <c r="E31" s="204">
        <v>0</v>
      </c>
      <c r="F31" s="204"/>
      <c r="G31" s="204"/>
      <c r="H31" s="204">
        <f>SUMIF('Contract level'!$A:$A,"="&amp;'DFP-Com'!$A31,'Contract level'!AS:AS)</f>
        <v>0</v>
      </c>
      <c r="I31" s="204">
        <f>SUMIF('Contract level'!$A:$A,"="&amp;'DFP-Com'!$A31,'Contract level'!AT:AT)</f>
        <v>0</v>
      </c>
      <c r="J31" s="204">
        <f>SUMIF('Contract level'!$A:$A,"="&amp;'DFP-Com'!$A31,'Contract level'!AU:AU)</f>
        <v>247000</v>
      </c>
      <c r="K31" s="204">
        <f>SUMIF('Contract level'!$A:$A,"="&amp;'DFP-Com'!$A31,'Contract level'!AV:AV)</f>
        <v>0</v>
      </c>
      <c r="L31" s="204">
        <f>SUMIF('Contract level'!$A:$A,"="&amp;'DFP-Com'!$A31,'Contract level'!AW:AW)</f>
        <v>73500</v>
      </c>
      <c r="M31" s="204">
        <f>SUMIF('Contract level'!$A:$A,"="&amp;'DFP-Com'!$A31,'Contract level'!AX:AX)</f>
        <v>0</v>
      </c>
      <c r="N31" s="204">
        <f>SUMIF('Contract level'!$A:$A,"="&amp;'DFP-Com'!$A31,'Contract level'!AY:AY)</f>
        <v>0</v>
      </c>
      <c r="O31" s="204">
        <f>SUMIF('Contract level'!$A:$A,"="&amp;'DFP-Com'!$A31,'Contract level'!AZ:AZ)</f>
        <v>0</v>
      </c>
      <c r="P31" s="204">
        <f>SUMIF('Contract level'!$A:$A,"="&amp;'DFP-Com'!$A31,'Contract level'!BA:BA)</f>
        <v>0</v>
      </c>
      <c r="Q31" s="204">
        <f>SUMIF('Contract level'!$A:$A,"="&amp;'DFP-Com'!$A31,'Contract level'!BB:BB)</f>
        <v>0</v>
      </c>
      <c r="R31" s="302"/>
      <c r="S31" s="204">
        <f>SUM(H31:R31)+D31+C31</f>
        <v>826450</v>
      </c>
      <c r="T31" s="205"/>
      <c r="U31" s="288"/>
      <c r="V31" s="208"/>
    </row>
    <row r="32" spans="1:22" s="209" customFormat="1" ht="15" outlineLevel="1">
      <c r="A32" s="206" t="s">
        <v>161</v>
      </c>
      <c r="B32" s="202" t="s">
        <v>136</v>
      </c>
      <c r="C32" s="203"/>
      <c r="D32" s="204">
        <v>1040000</v>
      </c>
      <c r="E32" s="302">
        <v>0</v>
      </c>
      <c r="F32" s="302">
        <v>400000</v>
      </c>
      <c r="G32" s="302">
        <v>0</v>
      </c>
      <c r="H32" s="302">
        <f>SUMIF('Contract level'!$A:$A,"="&amp;'DFP-Com'!$A32,'Contract level'!AS:AS)</f>
        <v>400000</v>
      </c>
      <c r="I32" s="204">
        <f>SUMIF('Contract level'!$A:$A,"="&amp;'DFP-Com'!$A32,'Contract level'!AT:AT)</f>
        <v>0</v>
      </c>
      <c r="J32" s="204">
        <f>SUMIF('Contract level'!$A:$A,"="&amp;'DFP-Com'!$A32,'Contract level'!AU:AU)</f>
        <v>0</v>
      </c>
      <c r="K32" s="204">
        <f>SUMIF('Contract level'!$A:$A,"="&amp;'DFP-Com'!$A32,'Contract level'!AV:AV)</f>
        <v>0</v>
      </c>
      <c r="L32" s="204">
        <f>SUMIF('Contract level'!$A:$A,"="&amp;'DFP-Com'!$A32,'Contract level'!AW:AW)</f>
        <v>0</v>
      </c>
      <c r="M32" s="204">
        <f>SUMIF('Contract level'!$A:$A,"="&amp;'DFP-Com'!$A32,'Contract level'!AX:AX)</f>
        <v>500000</v>
      </c>
      <c r="N32" s="204">
        <f>SUMIF('Contract level'!$A:$A,"="&amp;'DFP-Com'!$A32,'Contract level'!AY:AY)</f>
        <v>0</v>
      </c>
      <c r="O32" s="204">
        <f>SUMIF('Contract level'!$A:$A,"="&amp;'DFP-Com'!$A32,'Contract level'!AZ:AZ)</f>
        <v>0</v>
      </c>
      <c r="P32" s="204">
        <f>SUMIF('Contract level'!$A:$A,"="&amp;'DFP-Com'!$A32,'Contract level'!BA:BA)</f>
        <v>0</v>
      </c>
      <c r="Q32" s="204">
        <f>SUMIF('Contract level'!$A:$A,"="&amp;'DFP-Com'!$A32,'Contract level'!BB:BB)</f>
        <v>0</v>
      </c>
      <c r="R32" s="302"/>
      <c r="S32" s="302">
        <f>SUM(H32:R32)+D32+C32</f>
        <v>1940000</v>
      </c>
      <c r="T32" s="205"/>
      <c r="U32" s="288"/>
      <c r="V32" s="208"/>
    </row>
    <row r="33" spans="1:22" s="209" customFormat="1" ht="15" outlineLevel="1">
      <c r="A33" s="206" t="s">
        <v>162</v>
      </c>
      <c r="B33" s="202" t="s">
        <v>138</v>
      </c>
      <c r="C33" s="203">
        <v>5961.64</v>
      </c>
      <c r="D33" s="302">
        <v>3000</v>
      </c>
      <c r="E33" s="204">
        <v>0</v>
      </c>
      <c r="F33" s="204">
        <v>0</v>
      </c>
      <c r="G33" s="204">
        <v>0</v>
      </c>
      <c r="H33" s="204">
        <f>SUMIF('Contract level'!$A:$A,"="&amp;'DFP-Com'!$A33,'Contract level'!AS:AS)</f>
        <v>0</v>
      </c>
      <c r="I33" s="204">
        <f>SUMIF('Contract level'!$A:$A,"="&amp;'DFP-Com'!$A33,'Contract level'!AT:AT)</f>
        <v>0</v>
      </c>
      <c r="J33" s="204">
        <f>SUMIF('Contract level'!$A:$A,"="&amp;'DFP-Com'!$A33,'Contract level'!AU:AU)</f>
        <v>0</v>
      </c>
      <c r="K33" s="204">
        <f>SUMIF('Contract level'!$A:$A,"="&amp;'DFP-Com'!$A33,'Contract level'!AV:AV)</f>
        <v>0</v>
      </c>
      <c r="L33" s="204">
        <f>SUMIF('Contract level'!$A:$A,"="&amp;'DFP-Com'!$A33,'Contract level'!AW:AW)</f>
        <v>0</v>
      </c>
      <c r="M33" s="204">
        <f>SUMIF('Contract level'!$A:$A,"="&amp;'DFP-Com'!$A33,'Contract level'!AX:AX)</f>
        <v>0</v>
      </c>
      <c r="N33" s="204">
        <f>SUMIF('Contract level'!$A:$A,"="&amp;'DFP-Com'!$A33,'Contract level'!AY:AY)</f>
        <v>0</v>
      </c>
      <c r="O33" s="204">
        <f>SUMIF('Contract level'!$A:$A,"="&amp;'DFP-Com'!$A33,'Contract level'!AZ:AZ)</f>
        <v>0</v>
      </c>
      <c r="P33" s="204">
        <f>SUMIF('Contract level'!$A:$A,"="&amp;'DFP-Com'!$A33,'Contract level'!BA:BA)</f>
        <v>0</v>
      </c>
      <c r="Q33" s="204">
        <f>SUMIF('Contract level'!$A:$A,"="&amp;'DFP-Com'!$A33,'Contract level'!BB:BB)</f>
        <v>0</v>
      </c>
      <c r="R33" s="302"/>
      <c r="S33" s="204">
        <f>SUM(H33:Q33)+D33+C33</f>
        <v>8961.64</v>
      </c>
      <c r="T33" s="205"/>
      <c r="U33" s="288"/>
      <c r="V33" s="208"/>
    </row>
    <row r="34" spans="1:22" s="38" customFormat="1" ht="15">
      <c r="A34" s="206" t="str">
        <f t="shared" si="2"/>
        <v>TOTA</v>
      </c>
      <c r="B34" s="59" t="s">
        <v>64</v>
      </c>
      <c r="C34" s="199">
        <f>C30+C28</f>
        <v>528911.64</v>
      </c>
      <c r="D34" s="199">
        <f>D30+D28</f>
        <v>1201500</v>
      </c>
      <c r="E34" s="199">
        <f>+E28+E30</f>
        <v>0</v>
      </c>
      <c r="F34" s="199">
        <f>+F28+F30</f>
        <v>772000</v>
      </c>
      <c r="G34" s="199">
        <f>+G28+G30</f>
        <v>18000</v>
      </c>
      <c r="H34" s="199">
        <f aca="true" t="shared" si="11" ref="H34:Q34">H30+H28</f>
        <v>790000</v>
      </c>
      <c r="I34" s="199">
        <f t="shared" si="11"/>
        <v>36000</v>
      </c>
      <c r="J34" s="199">
        <f t="shared" si="11"/>
        <v>247000</v>
      </c>
      <c r="K34" s="199">
        <f t="shared" si="11"/>
        <v>0</v>
      </c>
      <c r="L34" s="199">
        <f t="shared" si="11"/>
        <v>173500</v>
      </c>
      <c r="M34" s="199">
        <f t="shared" si="11"/>
        <v>500000</v>
      </c>
      <c r="N34" s="199">
        <f t="shared" si="11"/>
        <v>0</v>
      </c>
      <c r="O34" s="199">
        <f t="shared" si="11"/>
        <v>0</v>
      </c>
      <c r="P34" s="199">
        <f t="shared" si="11"/>
        <v>0</v>
      </c>
      <c r="Q34" s="199">
        <f t="shared" si="11"/>
        <v>0</v>
      </c>
      <c r="R34" s="199"/>
      <c r="S34" s="199">
        <f>S28+S30</f>
        <v>3476911.64</v>
      </c>
      <c r="T34" s="275">
        <f>SUM(T28:T33)</f>
        <v>4400000</v>
      </c>
      <c r="U34" s="289">
        <f>SUM(U27:U33)</f>
        <v>923088.3599999999</v>
      </c>
      <c r="V34" s="37"/>
    </row>
    <row r="35" spans="1:22" s="38" customFormat="1" ht="15">
      <c r="A35" s="206" t="str">
        <f t="shared" si="2"/>
        <v/>
      </c>
      <c r="B35" s="54"/>
      <c r="C35" s="276"/>
      <c r="D35" s="218"/>
      <c r="E35" s="218"/>
      <c r="F35" s="218"/>
      <c r="G35" s="218"/>
      <c r="H35" s="218"/>
      <c r="I35" s="218"/>
      <c r="J35" s="218"/>
      <c r="K35" s="218"/>
      <c r="L35" s="218"/>
      <c r="M35" s="218"/>
      <c r="N35" s="218"/>
      <c r="O35" s="218"/>
      <c r="P35" s="218"/>
      <c r="Q35" s="218"/>
      <c r="R35" s="218"/>
      <c r="S35" s="218"/>
      <c r="T35" s="272"/>
      <c r="U35" s="290"/>
      <c r="V35" s="37"/>
    </row>
    <row r="36" spans="1:22" s="64" customFormat="1" ht="15">
      <c r="A36" s="206" t="str">
        <f t="shared" si="2"/>
        <v>3. M</v>
      </c>
      <c r="B36" s="45" t="s">
        <v>98</v>
      </c>
      <c r="C36" s="278"/>
      <c r="D36" s="269"/>
      <c r="E36" s="269"/>
      <c r="F36" s="269"/>
      <c r="G36" s="269"/>
      <c r="H36" s="269"/>
      <c r="I36" s="269"/>
      <c r="J36" s="269"/>
      <c r="K36" s="269"/>
      <c r="L36" s="269"/>
      <c r="M36" s="269"/>
      <c r="N36" s="269"/>
      <c r="O36" s="269"/>
      <c r="P36" s="269"/>
      <c r="Q36" s="269"/>
      <c r="R36" s="269"/>
      <c r="S36" s="219"/>
      <c r="T36" s="273"/>
      <c r="U36" s="291"/>
      <c r="V36" s="63"/>
    </row>
    <row r="37" spans="1:22" s="64" customFormat="1" ht="15" outlineLevel="1">
      <c r="A37" s="206" t="str">
        <f t="shared" si="2"/>
        <v xml:space="preserve">   M</v>
      </c>
      <c r="B37" s="65" t="s">
        <v>99</v>
      </c>
      <c r="C37" s="198">
        <f>SUM(C38:C41)</f>
        <v>88500</v>
      </c>
      <c r="D37" s="198">
        <f aca="true" t="shared" si="12" ref="D37:M37">SUM(D38:D40)</f>
        <v>35000</v>
      </c>
      <c r="E37" s="198">
        <f t="shared" si="12"/>
        <v>0</v>
      </c>
      <c r="F37" s="198">
        <f t="shared" si="12"/>
        <v>20000</v>
      </c>
      <c r="G37" s="198">
        <f t="shared" si="12"/>
        <v>0</v>
      </c>
      <c r="H37" s="198">
        <f t="shared" si="12"/>
        <v>20000</v>
      </c>
      <c r="I37" s="198">
        <f t="shared" si="12"/>
        <v>150000</v>
      </c>
      <c r="J37" s="198">
        <f t="shared" si="12"/>
        <v>0</v>
      </c>
      <c r="K37" s="198">
        <f t="shared" si="12"/>
        <v>0</v>
      </c>
      <c r="L37" s="198">
        <f t="shared" si="12"/>
        <v>0</v>
      </c>
      <c r="M37" s="198">
        <f t="shared" si="12"/>
        <v>0</v>
      </c>
      <c r="N37" s="198">
        <f aca="true" t="shared" si="13" ref="N37:Q37">SUM(N38:N40)</f>
        <v>0</v>
      </c>
      <c r="O37" s="198">
        <f t="shared" si="13"/>
        <v>0</v>
      </c>
      <c r="P37" s="198">
        <f t="shared" si="13"/>
        <v>0</v>
      </c>
      <c r="Q37" s="198">
        <f t="shared" si="13"/>
        <v>380000</v>
      </c>
      <c r="R37" s="198"/>
      <c r="S37" s="221">
        <f>SUM(S38:S40)</f>
        <v>673500</v>
      </c>
      <c r="T37" s="200">
        <f>'QFR - B'!G24</f>
        <v>1700000</v>
      </c>
      <c r="U37" s="287">
        <f>T37-S37</f>
        <v>1026500</v>
      </c>
      <c r="V37" s="63"/>
    </row>
    <row r="38" spans="1:22" s="216" customFormat="1" ht="15" outlineLevel="1">
      <c r="A38" s="206" t="s">
        <v>163</v>
      </c>
      <c r="B38" s="213" t="s">
        <v>125</v>
      </c>
      <c r="C38" s="203">
        <v>88500</v>
      </c>
      <c r="D38" s="302">
        <v>35000</v>
      </c>
      <c r="E38" s="203">
        <v>0</v>
      </c>
      <c r="F38" s="203">
        <v>20000</v>
      </c>
      <c r="G38" s="203">
        <v>0</v>
      </c>
      <c r="H38" s="204">
        <f>SUMIF('Contract level'!$A:$A,"="&amp;'DFP-Com'!$A38,'Contract level'!AS:AS)</f>
        <v>20000</v>
      </c>
      <c r="I38" s="204">
        <f>SUMIF('Contract level'!$A:$A,"="&amp;'DFP-Com'!$A38,'Contract level'!AT:AT)</f>
        <v>150000</v>
      </c>
      <c r="J38" s="204">
        <f>SUMIF('Contract level'!$A:$A,"="&amp;'DFP-Com'!$A38,'Contract level'!AU:AU)</f>
        <v>0</v>
      </c>
      <c r="K38" s="204">
        <f>SUMIF('Contract level'!$A:$A,"="&amp;'DFP-Com'!$A38,'Contract level'!AV:AV)</f>
        <v>0</v>
      </c>
      <c r="L38" s="204">
        <f>SUMIF('Contract level'!$A:$A,"="&amp;'DFP-Com'!$A38,'Contract level'!AW:AW)</f>
        <v>0</v>
      </c>
      <c r="M38" s="204">
        <f>SUMIF('Contract level'!$A:$A,"="&amp;'DFP-Com'!$A38,'Contract level'!AX:AX)</f>
        <v>0</v>
      </c>
      <c r="N38" s="204">
        <f>SUMIF('Contract level'!$A:$A,"="&amp;'DFP-Com'!$A38,'Contract level'!AY:AY)</f>
        <v>0</v>
      </c>
      <c r="O38" s="204">
        <f>SUMIF('Contract level'!$A:$A,"="&amp;'DFP-Com'!$A38,'Contract level'!AZ:AZ)</f>
        <v>0</v>
      </c>
      <c r="P38" s="204">
        <f>SUMIF('Contract level'!$A:$A,"="&amp;'DFP-Com'!$A38,'Contract level'!BA:BA)</f>
        <v>0</v>
      </c>
      <c r="Q38" s="204">
        <f>SUMIF('Contract level'!$A:$A,"="&amp;'DFP-Com'!$A38,'Contract level'!BB:BB)</f>
        <v>200000</v>
      </c>
      <c r="R38" s="302"/>
      <c r="S38" s="204">
        <f>SUM(H38:R38)+D38+C38</f>
        <v>493500</v>
      </c>
      <c r="T38" s="274"/>
      <c r="U38" s="292"/>
      <c r="V38" s="215"/>
    </row>
    <row r="39" spans="1:22" s="216" customFormat="1" ht="15" outlineLevel="1">
      <c r="A39" s="206" t="s">
        <v>164</v>
      </c>
      <c r="B39" s="213" t="s">
        <v>126</v>
      </c>
      <c r="C39" s="203"/>
      <c r="D39" s="204">
        <v>0</v>
      </c>
      <c r="E39" s="203"/>
      <c r="F39" s="203"/>
      <c r="G39" s="203"/>
      <c r="H39" s="204">
        <f>SUMIF('Contract level'!$A:$A,"="&amp;'DFP-Com'!$A39,'Contract level'!AS:AS)</f>
        <v>0</v>
      </c>
      <c r="I39" s="204">
        <f>SUMIF('Contract level'!$A:$A,"="&amp;'DFP-Com'!$A39,'Contract level'!AT:AT)</f>
        <v>0</v>
      </c>
      <c r="J39" s="204">
        <f>SUMIF('Contract level'!$A:$A,"="&amp;'DFP-Com'!$A39,'Contract level'!AU:AU)</f>
        <v>0</v>
      </c>
      <c r="K39" s="204">
        <f>SUMIF('Contract level'!$A:$A,"="&amp;'DFP-Com'!$A39,'Contract level'!AV:AV)</f>
        <v>0</v>
      </c>
      <c r="L39" s="204">
        <f>SUMIF('Contract level'!$A:$A,"="&amp;'DFP-Com'!$A39,'Contract level'!AW:AW)</f>
        <v>0</v>
      </c>
      <c r="M39" s="204">
        <f>SUMIF('Contract level'!$A:$A,"="&amp;'DFP-Com'!$A39,'Contract level'!AX:AX)</f>
        <v>0</v>
      </c>
      <c r="N39" s="204">
        <f>SUMIF('Contract level'!$A:$A,"="&amp;'DFP-Com'!$A39,'Contract level'!AY:AY)</f>
        <v>0</v>
      </c>
      <c r="O39" s="204">
        <f>SUMIF('Contract level'!$A:$A,"="&amp;'DFP-Com'!$A39,'Contract level'!AZ:AZ)</f>
        <v>0</v>
      </c>
      <c r="P39" s="204">
        <f>SUMIF('Contract level'!$A:$A,"="&amp;'DFP-Com'!$A39,'Contract level'!BA:BA)</f>
        <v>0</v>
      </c>
      <c r="Q39" s="204">
        <f>SUMIF('Contract level'!$A:$A,"="&amp;'DFP-Com'!$A39,'Contract level'!BB:BB)</f>
        <v>0</v>
      </c>
      <c r="R39" s="302"/>
      <c r="S39" s="302">
        <f>SUM(H39:R39)+D39+C39</f>
        <v>0</v>
      </c>
      <c r="T39" s="274"/>
      <c r="U39" s="292"/>
      <c r="V39" s="215"/>
    </row>
    <row r="40" spans="1:22" s="216" customFormat="1" ht="15" outlineLevel="1">
      <c r="A40" s="206" t="s">
        <v>165</v>
      </c>
      <c r="B40" s="213" t="s">
        <v>127</v>
      </c>
      <c r="C40" s="203"/>
      <c r="D40" s="204">
        <v>0</v>
      </c>
      <c r="E40" s="203"/>
      <c r="F40" s="203"/>
      <c r="G40" s="203"/>
      <c r="H40" s="204">
        <f>SUMIF('Contract level'!$A:$A,"="&amp;'DFP-Com'!$A40,'Contract level'!AS:AS)</f>
        <v>0</v>
      </c>
      <c r="I40" s="204">
        <f>SUMIF('Contract level'!$A:$A,"="&amp;'DFP-Com'!$A40,'Contract level'!AT:AT)</f>
        <v>0</v>
      </c>
      <c r="J40" s="204">
        <f>SUMIF('Contract level'!$A:$A,"="&amp;'DFP-Com'!$A40,'Contract level'!AU:AU)</f>
        <v>0</v>
      </c>
      <c r="K40" s="204">
        <f>SUMIF('Contract level'!$A:$A,"="&amp;'DFP-Com'!$A40,'Contract level'!AV:AV)</f>
        <v>0</v>
      </c>
      <c r="L40" s="204">
        <f>SUMIF('Contract level'!$A:$A,"="&amp;'DFP-Com'!$A40,'Contract level'!AW:AW)</f>
        <v>0</v>
      </c>
      <c r="M40" s="204">
        <f>SUMIF('Contract level'!$A:$A,"="&amp;'DFP-Com'!$A40,'Contract level'!AX:AX)</f>
        <v>0</v>
      </c>
      <c r="N40" s="204">
        <f>SUMIF('Contract level'!$A:$A,"="&amp;'DFP-Com'!$A40,'Contract level'!AY:AY)</f>
        <v>0</v>
      </c>
      <c r="O40" s="204">
        <f>SUMIF('Contract level'!$A:$A,"="&amp;'DFP-Com'!$A40,'Contract level'!AZ:AZ)</f>
        <v>0</v>
      </c>
      <c r="P40" s="204">
        <f>SUMIF('Contract level'!$A:$A,"="&amp;'DFP-Com'!$A40,'Contract level'!BA:BA)</f>
        <v>0</v>
      </c>
      <c r="Q40" s="204">
        <f>SUMIF('Contract level'!$A:$A,"="&amp;'DFP-Com'!$A40,'Contract level'!BB:BB)</f>
        <v>180000</v>
      </c>
      <c r="R40" s="302"/>
      <c r="S40" s="302">
        <f>SUM(H40:R40)+D40+C40</f>
        <v>180000</v>
      </c>
      <c r="T40" s="274"/>
      <c r="U40" s="292"/>
      <c r="V40" s="215"/>
    </row>
    <row r="41" spans="1:22" s="216" customFormat="1" ht="15" outlineLevel="1">
      <c r="A41" s="206" t="s">
        <v>166</v>
      </c>
      <c r="B41" s="213" t="s">
        <v>137</v>
      </c>
      <c r="C41" s="203"/>
      <c r="D41" s="204">
        <v>0</v>
      </c>
      <c r="E41" s="203"/>
      <c r="F41" s="203"/>
      <c r="G41" s="203"/>
      <c r="H41" s="204">
        <f>SUMIF('Contract level'!$A:$A,"="&amp;'DFP-Com'!$A41,'Contract level'!AS:AS)</f>
        <v>0</v>
      </c>
      <c r="I41" s="204">
        <f>SUMIF('Contract level'!$A:$A,"="&amp;'DFP-Com'!$A41,'Contract level'!AT:AT)</f>
        <v>0</v>
      </c>
      <c r="J41" s="204">
        <f>SUMIF('Contract level'!$A:$A,"="&amp;'DFP-Com'!$A41,'Contract level'!AU:AU)</f>
        <v>0</v>
      </c>
      <c r="K41" s="204">
        <f>SUMIF('Contract level'!$A:$A,"="&amp;'DFP-Com'!$A41,'Contract level'!AV:AV)</f>
        <v>0</v>
      </c>
      <c r="L41" s="204">
        <f>SUMIF('Contract level'!$A:$A,"="&amp;'DFP-Com'!$A41,'Contract level'!AW:AW)</f>
        <v>0</v>
      </c>
      <c r="M41" s="204">
        <f>SUMIF('Contract level'!$A:$A,"="&amp;'DFP-Com'!$A41,'Contract level'!AX:AX)</f>
        <v>0</v>
      </c>
      <c r="N41" s="204">
        <f>SUMIF('Contract level'!$A:$A,"="&amp;'DFP-Com'!$A41,'Contract level'!AY:AY)</f>
        <v>0</v>
      </c>
      <c r="O41" s="204">
        <f>SUMIF('Contract level'!$A:$A,"="&amp;'DFP-Com'!$A41,'Contract level'!AZ:AZ)</f>
        <v>0</v>
      </c>
      <c r="P41" s="204">
        <f>SUMIF('Contract level'!$A:$A,"="&amp;'DFP-Com'!$A41,'Contract level'!BA:BA)</f>
        <v>0</v>
      </c>
      <c r="Q41" s="204">
        <f>SUMIF('Contract level'!$A:$A,"="&amp;'DFP-Com'!$A41,'Contract level'!BB:BB)</f>
        <v>1000</v>
      </c>
      <c r="R41" s="302"/>
      <c r="S41" s="302">
        <f>SUM(H41:R41)+D41+C41</f>
        <v>1000</v>
      </c>
      <c r="T41" s="274"/>
      <c r="U41" s="292"/>
      <c r="V41" s="215"/>
    </row>
    <row r="42" spans="1:22" s="38" customFormat="1" ht="15">
      <c r="A42" s="206"/>
      <c r="B42" s="59" t="s">
        <v>17</v>
      </c>
      <c r="C42" s="199">
        <f>C37</f>
        <v>88500</v>
      </c>
      <c r="D42" s="199">
        <f aca="true" t="shared" si="14" ref="D42:U42">D37</f>
        <v>35000</v>
      </c>
      <c r="E42" s="199">
        <f t="shared" si="14"/>
        <v>0</v>
      </c>
      <c r="F42" s="199">
        <f t="shared" si="14"/>
        <v>20000</v>
      </c>
      <c r="G42" s="199">
        <f t="shared" si="14"/>
        <v>0</v>
      </c>
      <c r="H42" s="199">
        <f t="shared" si="14"/>
        <v>20000</v>
      </c>
      <c r="I42" s="199">
        <f t="shared" si="14"/>
        <v>150000</v>
      </c>
      <c r="J42" s="199">
        <f t="shared" si="14"/>
        <v>0</v>
      </c>
      <c r="K42" s="199">
        <f t="shared" si="14"/>
        <v>0</v>
      </c>
      <c r="L42" s="199">
        <f t="shared" si="14"/>
        <v>0</v>
      </c>
      <c r="M42" s="199">
        <f t="shared" si="14"/>
        <v>0</v>
      </c>
      <c r="N42" s="199">
        <f aca="true" t="shared" si="15" ref="N42:Q42">N37</f>
        <v>0</v>
      </c>
      <c r="O42" s="199">
        <f t="shared" si="15"/>
        <v>0</v>
      </c>
      <c r="P42" s="199">
        <f t="shared" si="15"/>
        <v>0</v>
      </c>
      <c r="Q42" s="199">
        <f t="shared" si="15"/>
        <v>380000</v>
      </c>
      <c r="R42" s="199"/>
      <c r="S42" s="199">
        <f t="shared" si="14"/>
        <v>673500</v>
      </c>
      <c r="T42" s="275">
        <f t="shared" si="14"/>
        <v>1700000</v>
      </c>
      <c r="U42" s="293">
        <f t="shared" si="14"/>
        <v>1026500</v>
      </c>
      <c r="V42" s="37"/>
    </row>
    <row r="43" spans="1:22" s="38" customFormat="1" ht="15">
      <c r="A43" s="206"/>
      <c r="B43" s="54"/>
      <c r="C43" s="276"/>
      <c r="D43" s="218"/>
      <c r="E43" s="218"/>
      <c r="F43" s="218"/>
      <c r="G43" s="218"/>
      <c r="H43" s="218"/>
      <c r="I43" s="218"/>
      <c r="J43" s="218"/>
      <c r="K43" s="218"/>
      <c r="L43" s="218"/>
      <c r="M43" s="218"/>
      <c r="N43" s="218"/>
      <c r="O43" s="218"/>
      <c r="P43" s="218"/>
      <c r="Q43" s="218"/>
      <c r="R43" s="218"/>
      <c r="S43" s="218"/>
      <c r="T43" s="272"/>
      <c r="U43" s="290"/>
      <c r="V43" s="37"/>
    </row>
    <row r="44" spans="1:22" s="64" customFormat="1" ht="15">
      <c r="A44" s="206"/>
      <c r="B44" s="45" t="s">
        <v>91</v>
      </c>
      <c r="C44" s="278"/>
      <c r="D44" s="269"/>
      <c r="E44" s="269"/>
      <c r="F44" s="269"/>
      <c r="G44" s="269"/>
      <c r="H44" s="269"/>
      <c r="I44" s="269"/>
      <c r="J44" s="269"/>
      <c r="K44" s="269"/>
      <c r="L44" s="269"/>
      <c r="M44" s="269"/>
      <c r="N44" s="269"/>
      <c r="O44" s="269"/>
      <c r="P44" s="269"/>
      <c r="Q44" s="269"/>
      <c r="R44" s="269"/>
      <c r="S44" s="219"/>
      <c r="T44" s="273"/>
      <c r="U44" s="291"/>
      <c r="V44" s="63"/>
    </row>
    <row r="45" spans="1:22" s="38" customFormat="1" ht="15" outlineLevel="1">
      <c r="A45" s="206"/>
      <c r="B45" s="66" t="s">
        <v>101</v>
      </c>
      <c r="C45" s="198">
        <f aca="true" t="shared" si="16" ref="C45:M45">SUM(C46:C49)</f>
        <v>285524.62</v>
      </c>
      <c r="D45" s="198">
        <f t="shared" si="16"/>
        <v>142400</v>
      </c>
      <c r="E45" s="198">
        <f t="shared" si="16"/>
        <v>92400</v>
      </c>
      <c r="F45" s="198">
        <f t="shared" si="16"/>
        <v>5000</v>
      </c>
      <c r="G45" s="198">
        <f t="shared" si="16"/>
        <v>134848</v>
      </c>
      <c r="H45" s="198">
        <f t="shared" si="16"/>
        <v>232248</v>
      </c>
      <c r="I45" s="198">
        <f t="shared" si="16"/>
        <v>3900</v>
      </c>
      <c r="J45" s="198">
        <f t="shared" si="16"/>
        <v>3900</v>
      </c>
      <c r="K45" s="198">
        <f t="shared" si="16"/>
        <v>3900</v>
      </c>
      <c r="L45" s="198">
        <f t="shared" si="16"/>
        <v>105116</v>
      </c>
      <c r="M45" s="198">
        <f t="shared" si="16"/>
        <v>3900</v>
      </c>
      <c r="N45" s="198">
        <f aca="true" t="shared" si="17" ref="N45:Q45">SUM(N46:N49)</f>
        <v>3900</v>
      </c>
      <c r="O45" s="198">
        <f t="shared" si="17"/>
        <v>3900</v>
      </c>
      <c r="P45" s="198">
        <f t="shared" si="17"/>
        <v>53956</v>
      </c>
      <c r="Q45" s="198">
        <f t="shared" si="17"/>
        <v>8813</v>
      </c>
      <c r="R45" s="198"/>
      <c r="S45" s="221">
        <f>C45+D45+SUM(H45:Q45)</f>
        <v>851457.62</v>
      </c>
      <c r="T45" s="200">
        <f>'QFR - B'!G27</f>
        <v>800000</v>
      </c>
      <c r="U45" s="287">
        <f>T45-S45</f>
        <v>-51457.619999999995</v>
      </c>
      <c r="V45" s="37"/>
    </row>
    <row r="46" spans="1:22" s="209" customFormat="1" ht="12.75" customHeight="1" outlineLevel="1">
      <c r="A46" s="206" t="s">
        <v>167</v>
      </c>
      <c r="B46" s="217" t="s">
        <v>147</v>
      </c>
      <c r="C46" s="203">
        <v>257985</v>
      </c>
      <c r="D46" s="204">
        <v>48000</v>
      </c>
      <c r="E46" s="301"/>
      <c r="F46" s="301">
        <v>0</v>
      </c>
      <c r="G46" s="301">
        <v>133348</v>
      </c>
      <c r="H46" s="204">
        <f>SUMIF('Contract level'!$A:$A,"="&amp;'DFP-Com'!$A46,'Contract level'!AS:AS)</f>
        <v>133348</v>
      </c>
      <c r="I46" s="204">
        <f>SUMIF('Contract level'!$A:$A,"="&amp;'DFP-Com'!$A46,'Contract level'!AT:AT)</f>
        <v>0</v>
      </c>
      <c r="J46" s="204">
        <f>SUMIF('Contract level'!$A:$A,"="&amp;'DFP-Com'!$A46,'Contract level'!AU:AU)</f>
        <v>0</v>
      </c>
      <c r="K46" s="204">
        <f>SUMIF('Contract level'!$A:$A,"="&amp;'DFP-Com'!$A46,'Contract level'!AV:AV)</f>
        <v>0</v>
      </c>
      <c r="L46" s="204">
        <f>SUMIF('Contract level'!$A:$A,"="&amp;'DFP-Com'!$A46,'Contract level'!AW:AW)</f>
        <v>101216</v>
      </c>
      <c r="M46" s="204">
        <f>SUMIF('Contract level'!$A:$A,"="&amp;'DFP-Com'!$A46,'Contract level'!AX:AX)</f>
        <v>0</v>
      </c>
      <c r="N46" s="204">
        <f>SUMIF('Contract level'!$A:$A,"="&amp;'DFP-Com'!$A46,'Contract level'!AY:AY)</f>
        <v>0</v>
      </c>
      <c r="O46" s="204">
        <f>SUMIF('Contract level'!$A:$A,"="&amp;'DFP-Com'!$A46,'Contract level'!AZ:AZ)</f>
        <v>0</v>
      </c>
      <c r="P46" s="204">
        <f>SUMIF('Contract level'!$A:$A,"="&amp;'DFP-Com'!$A46,'Contract level'!BA:BA)</f>
        <v>50056</v>
      </c>
      <c r="Q46" s="204">
        <f>SUMIF('Contract level'!$A:$A,"="&amp;'DFP-Com'!$A46,'Contract level'!BB:BB)</f>
        <v>0</v>
      </c>
      <c r="R46" s="302"/>
      <c r="S46" s="204">
        <f>SUM(H46:R46)+D46+C46</f>
        <v>590605</v>
      </c>
      <c r="T46" s="274"/>
      <c r="U46" s="288"/>
      <c r="V46" s="208"/>
    </row>
    <row r="47" spans="1:22" s="209" customFormat="1" ht="15" outlineLevel="1">
      <c r="A47" s="206" t="s">
        <v>168</v>
      </c>
      <c r="B47" s="217" t="s">
        <v>148</v>
      </c>
      <c r="C47" s="203">
        <v>2945.3</v>
      </c>
      <c r="D47" s="204">
        <v>3000</v>
      </c>
      <c r="E47" s="301">
        <v>1000</v>
      </c>
      <c r="F47" s="301">
        <v>5000</v>
      </c>
      <c r="G47" s="301">
        <v>1500</v>
      </c>
      <c r="H47" s="204">
        <f>SUMIF('Contract level'!$A:$A,"="&amp;'DFP-Com'!$A47,'Contract level'!AS:AS)</f>
        <v>7500</v>
      </c>
      <c r="I47" s="204">
        <f>SUMIF('Contract level'!$A:$A,"="&amp;'DFP-Com'!$A47,'Contract level'!AT:AT)</f>
        <v>2500</v>
      </c>
      <c r="J47" s="204">
        <f>SUMIF('Contract level'!$A:$A,"="&amp;'DFP-Com'!$A47,'Contract level'!AU:AU)</f>
        <v>2500</v>
      </c>
      <c r="K47" s="204">
        <f>SUMIF('Contract level'!$A:$A,"="&amp;'DFP-Com'!$A47,'Contract level'!AV:AV)</f>
        <v>2500</v>
      </c>
      <c r="L47" s="204">
        <f>SUMIF('Contract level'!$A:$A,"="&amp;'DFP-Com'!$A47,'Contract level'!AW:AW)</f>
        <v>2500</v>
      </c>
      <c r="M47" s="204">
        <f>SUMIF('Contract level'!$A:$A,"="&amp;'DFP-Com'!$A47,'Contract level'!AX:AX)</f>
        <v>2500</v>
      </c>
      <c r="N47" s="204">
        <f>SUMIF('Contract level'!$A:$A,"="&amp;'DFP-Com'!$A47,'Contract level'!AY:AY)</f>
        <v>2500</v>
      </c>
      <c r="O47" s="204">
        <f>SUMIF('Contract level'!$A:$A,"="&amp;'DFP-Com'!$A47,'Contract level'!AZ:AZ)</f>
        <v>2500</v>
      </c>
      <c r="P47" s="204">
        <f>SUMIF('Contract level'!$A:$A,"="&amp;'DFP-Com'!$A47,'Contract level'!BA:BA)</f>
        <v>2500</v>
      </c>
      <c r="Q47" s="204">
        <f>SUMIF('Contract level'!$A:$A,"="&amp;'DFP-Com'!$A47,'Contract level'!BB:BB)</f>
        <v>7481</v>
      </c>
      <c r="R47" s="302"/>
      <c r="S47" s="302">
        <f>SUM(H47:R47)+D47+C47</f>
        <v>40926.3</v>
      </c>
      <c r="T47" s="274"/>
      <c r="U47" s="292"/>
      <c r="V47" s="208"/>
    </row>
    <row r="48" spans="1:22" s="209" customFormat="1" ht="15" outlineLevel="1">
      <c r="A48" s="206" t="s">
        <v>169</v>
      </c>
      <c r="B48" s="217" t="s">
        <v>149</v>
      </c>
      <c r="C48" s="203"/>
      <c r="D48" s="204">
        <v>90000</v>
      </c>
      <c r="E48" s="301">
        <v>90000</v>
      </c>
      <c r="F48" s="301"/>
      <c r="G48" s="301">
        <v>0</v>
      </c>
      <c r="H48" s="204">
        <f>SUMIF('Contract level'!$A:$A,"="&amp;'DFP-Com'!$A48,'Contract level'!AS:AS)</f>
        <v>90000</v>
      </c>
      <c r="I48" s="204">
        <f>SUMIF('Contract level'!$A:$A,"="&amp;'DFP-Com'!$A48,'Contract level'!AT:AT)</f>
        <v>0</v>
      </c>
      <c r="J48" s="204">
        <f>SUMIF('Contract level'!$A:$A,"="&amp;'DFP-Com'!$A48,'Contract level'!AU:AU)</f>
        <v>0</v>
      </c>
      <c r="K48" s="204">
        <f>SUMIF('Contract level'!$A:$A,"="&amp;'DFP-Com'!$A48,'Contract level'!AV:AV)</f>
        <v>0</v>
      </c>
      <c r="L48" s="204">
        <f>SUMIF('Contract level'!$A:$A,"="&amp;'DFP-Com'!$A48,'Contract level'!AW:AW)</f>
        <v>0</v>
      </c>
      <c r="M48" s="204">
        <f>SUMIF('Contract level'!$A:$A,"="&amp;'DFP-Com'!$A48,'Contract level'!AX:AX)</f>
        <v>0</v>
      </c>
      <c r="N48" s="204">
        <f>SUMIF('Contract level'!$A:$A,"="&amp;'DFP-Com'!$A48,'Contract level'!AY:AY)</f>
        <v>0</v>
      </c>
      <c r="O48" s="204">
        <f>SUMIF('Contract level'!$A:$A,"="&amp;'DFP-Com'!$A48,'Contract level'!AZ:AZ)</f>
        <v>0</v>
      </c>
      <c r="P48" s="204">
        <f>SUMIF('Contract level'!$A:$A,"="&amp;'DFP-Com'!$A48,'Contract level'!BA:BA)</f>
        <v>0</v>
      </c>
      <c r="Q48" s="204">
        <f>SUMIF('Contract level'!$A:$A,"="&amp;'DFP-Com'!$A48,'Contract level'!BB:BB)</f>
        <v>0</v>
      </c>
      <c r="R48" s="302"/>
      <c r="S48" s="302">
        <f>SUM(H48:R48)+D48+C48</f>
        <v>180000</v>
      </c>
      <c r="T48" s="274"/>
      <c r="U48" s="292"/>
      <c r="V48" s="208"/>
    </row>
    <row r="49" spans="1:22" s="209" customFormat="1" ht="15" outlineLevel="1">
      <c r="A49" s="206" t="s">
        <v>170</v>
      </c>
      <c r="B49" s="217" t="s">
        <v>150</v>
      </c>
      <c r="C49" s="203">
        <v>24594.32</v>
      </c>
      <c r="D49" s="302">
        <v>1400</v>
      </c>
      <c r="E49" s="301">
        <v>1400</v>
      </c>
      <c r="F49" s="301">
        <v>0</v>
      </c>
      <c r="G49" s="301">
        <v>0</v>
      </c>
      <c r="H49" s="204">
        <f>SUMIF('Contract level'!$A:$A,"="&amp;'DFP-Com'!$A49,'Contract level'!AS:AS)</f>
        <v>1400</v>
      </c>
      <c r="I49" s="204">
        <f>SUMIF('Contract level'!$A:$A,"="&amp;'DFP-Com'!$A49,'Contract level'!AT:AT)</f>
        <v>1400</v>
      </c>
      <c r="J49" s="204">
        <f>SUMIF('Contract level'!$A:$A,"="&amp;'DFP-Com'!$A49,'Contract level'!AU:AU)</f>
        <v>1400</v>
      </c>
      <c r="K49" s="204">
        <f>SUMIF('Contract level'!$A:$A,"="&amp;'DFP-Com'!$A49,'Contract level'!AV:AV)</f>
        <v>1400</v>
      </c>
      <c r="L49" s="204">
        <f>SUMIF('Contract level'!$A:$A,"="&amp;'DFP-Com'!$A49,'Contract level'!AW:AW)</f>
        <v>1400</v>
      </c>
      <c r="M49" s="204">
        <f>SUMIF('Contract level'!$A:$A,"="&amp;'DFP-Com'!$A49,'Contract level'!AX:AX)</f>
        <v>1400</v>
      </c>
      <c r="N49" s="204">
        <f>SUMIF('Contract level'!$A:$A,"="&amp;'DFP-Com'!$A49,'Contract level'!AY:AY)</f>
        <v>1400</v>
      </c>
      <c r="O49" s="204">
        <f>SUMIF('Contract level'!$A:$A,"="&amp;'DFP-Com'!$A49,'Contract level'!AZ:AZ)</f>
        <v>1400</v>
      </c>
      <c r="P49" s="204">
        <f>SUMIF('Contract level'!$A:$A,"="&amp;'DFP-Com'!$A49,'Contract level'!BA:BA)</f>
        <v>1400</v>
      </c>
      <c r="Q49" s="204">
        <f>SUMIF('Contract level'!$A:$A,"="&amp;'DFP-Com'!$A49,'Contract level'!BB:BB)</f>
        <v>1332</v>
      </c>
      <c r="R49" s="302"/>
      <c r="S49" s="302">
        <f>SUM(H49:R49)+D49+C49</f>
        <v>39926.32</v>
      </c>
      <c r="T49" s="274"/>
      <c r="U49" s="292"/>
      <c r="V49" s="208"/>
    </row>
    <row r="50" spans="1:22" s="64" customFormat="1" ht="15">
      <c r="A50" s="10"/>
      <c r="B50" s="67" t="s">
        <v>100</v>
      </c>
      <c r="C50" s="199">
        <f aca="true" t="shared" si="18" ref="C50:U50">C45</f>
        <v>285524.62</v>
      </c>
      <c r="D50" s="199">
        <f t="shared" si="18"/>
        <v>142400</v>
      </c>
      <c r="E50" s="199">
        <f t="shared" si="18"/>
        <v>92400</v>
      </c>
      <c r="F50" s="199">
        <f t="shared" si="18"/>
        <v>5000</v>
      </c>
      <c r="G50" s="199">
        <f t="shared" si="18"/>
        <v>134848</v>
      </c>
      <c r="H50" s="199">
        <f t="shared" si="18"/>
        <v>232248</v>
      </c>
      <c r="I50" s="199">
        <f t="shared" si="18"/>
        <v>3900</v>
      </c>
      <c r="J50" s="199">
        <f t="shared" si="18"/>
        <v>3900</v>
      </c>
      <c r="K50" s="199">
        <f t="shared" si="18"/>
        <v>3900</v>
      </c>
      <c r="L50" s="199">
        <f t="shared" si="18"/>
        <v>105116</v>
      </c>
      <c r="M50" s="199">
        <f t="shared" si="18"/>
        <v>3900</v>
      </c>
      <c r="N50" s="199">
        <f aca="true" t="shared" si="19" ref="N50:Q50">N45</f>
        <v>3900</v>
      </c>
      <c r="O50" s="199">
        <f t="shared" si="19"/>
        <v>3900</v>
      </c>
      <c r="P50" s="199">
        <f t="shared" si="19"/>
        <v>53956</v>
      </c>
      <c r="Q50" s="199">
        <f t="shared" si="19"/>
        <v>8813</v>
      </c>
      <c r="R50" s="199"/>
      <c r="S50" s="199">
        <f t="shared" si="18"/>
        <v>851457.62</v>
      </c>
      <c r="T50" s="275">
        <f t="shared" si="18"/>
        <v>800000</v>
      </c>
      <c r="U50" s="293">
        <f t="shared" si="18"/>
        <v>-51457.619999999995</v>
      </c>
      <c r="V50" s="63"/>
    </row>
    <row r="51" spans="1:22" s="38" customFormat="1" ht="15">
      <c r="A51" s="5"/>
      <c r="B51" s="54"/>
      <c r="C51" s="276"/>
      <c r="D51" s="218"/>
      <c r="E51" s="218"/>
      <c r="F51" s="218"/>
      <c r="G51" s="218"/>
      <c r="H51" s="218"/>
      <c r="I51" s="218"/>
      <c r="J51" s="218"/>
      <c r="K51" s="218"/>
      <c r="L51" s="218"/>
      <c r="M51" s="218"/>
      <c r="N51" s="218"/>
      <c r="O51" s="218"/>
      <c r="P51" s="218"/>
      <c r="Q51" s="218"/>
      <c r="R51" s="218"/>
      <c r="S51" s="220"/>
      <c r="T51" s="272"/>
      <c r="U51" s="294"/>
      <c r="V51" s="37"/>
    </row>
    <row r="52" spans="1:22" s="229" customFormat="1" ht="13.5" customHeight="1" thickBot="1">
      <c r="A52" s="225"/>
      <c r="B52" s="230" t="s">
        <v>143</v>
      </c>
      <c r="C52" s="227">
        <f aca="true" t="shared" si="20" ref="C52:H52">C50+C42+C34+C25</f>
        <v>11344231.03</v>
      </c>
      <c r="D52" s="227">
        <f t="shared" si="20"/>
        <v>1399900</v>
      </c>
      <c r="E52" s="227">
        <f t="shared" si="20"/>
        <v>110200</v>
      </c>
      <c r="F52" s="227">
        <f t="shared" si="20"/>
        <v>3798000</v>
      </c>
      <c r="G52" s="227">
        <f t="shared" si="20"/>
        <v>197606</v>
      </c>
      <c r="H52" s="227">
        <f t="shared" si="20"/>
        <v>4105806</v>
      </c>
      <c r="I52" s="227">
        <f aca="true" t="shared" si="21" ref="I52:U52">I50+I42+I34+I25</f>
        <v>4389900</v>
      </c>
      <c r="J52" s="227">
        <f t="shared" si="21"/>
        <v>657829.5</v>
      </c>
      <c r="K52" s="227">
        <f t="shared" si="21"/>
        <v>3900</v>
      </c>
      <c r="L52" s="227">
        <f t="shared" si="21"/>
        <v>320616</v>
      </c>
      <c r="M52" s="227">
        <f t="shared" si="21"/>
        <v>503900</v>
      </c>
      <c r="N52" s="227">
        <f aca="true" t="shared" si="22" ref="N52:Q52">N50+N42+N34+N25</f>
        <v>3900</v>
      </c>
      <c r="O52" s="227">
        <f t="shared" si="22"/>
        <v>3900</v>
      </c>
      <c r="P52" s="227">
        <f t="shared" si="22"/>
        <v>74956</v>
      </c>
      <c r="Q52" s="227">
        <f t="shared" si="22"/>
        <v>388813</v>
      </c>
      <c r="R52" s="227"/>
      <c r="S52" s="227">
        <f t="shared" si="21"/>
        <v>23197651.53</v>
      </c>
      <c r="T52" s="227">
        <f t="shared" si="21"/>
        <v>26200000</v>
      </c>
      <c r="U52" s="295">
        <f t="shared" si="21"/>
        <v>3002348.4699999997</v>
      </c>
      <c r="V52" s="228"/>
    </row>
    <row r="53" spans="2:21" ht="13.5" thickTop="1">
      <c r="B53" s="7" t="s">
        <v>271</v>
      </c>
      <c r="C53" s="279"/>
      <c r="D53" s="270"/>
      <c r="H53" s="270"/>
      <c r="I53" s="270"/>
      <c r="J53" s="270"/>
      <c r="K53" s="270"/>
      <c r="L53" s="270"/>
      <c r="M53" s="270"/>
      <c r="N53" s="270"/>
      <c r="O53" s="270"/>
      <c r="P53" s="270"/>
      <c r="Q53" s="270"/>
      <c r="R53" s="270"/>
      <c r="S53" s="270"/>
      <c r="T53" s="280"/>
      <c r="U53" s="296"/>
    </row>
    <row r="54" spans="2:21" ht="25.35" customHeight="1">
      <c r="B54" s="384" t="s">
        <v>146</v>
      </c>
      <c r="C54" s="384"/>
      <c r="D54" s="384"/>
      <c r="E54" s="384"/>
      <c r="F54" s="384"/>
      <c r="G54" s="384"/>
      <c r="H54" s="270"/>
      <c r="I54" s="270"/>
      <c r="J54" s="270"/>
      <c r="K54" s="270"/>
      <c r="L54" s="270"/>
      <c r="M54" s="270"/>
      <c r="N54" s="270"/>
      <c r="O54" s="270"/>
      <c r="P54" s="270"/>
      <c r="Q54" s="270"/>
      <c r="R54" s="270"/>
      <c r="S54" s="270"/>
      <c r="T54" s="280"/>
      <c r="U54" s="297"/>
    </row>
    <row r="55" spans="2:21" ht="15">
      <c r="B55" s="7"/>
      <c r="C55" s="279"/>
      <c r="D55" s="270"/>
      <c r="H55" s="270"/>
      <c r="I55" s="270"/>
      <c r="J55" s="270"/>
      <c r="K55" s="270"/>
      <c r="L55" s="270"/>
      <c r="M55" s="270"/>
      <c r="N55" s="270"/>
      <c r="O55" s="270"/>
      <c r="P55" s="270"/>
      <c r="Q55" s="270"/>
      <c r="R55" s="270"/>
      <c r="S55" s="270"/>
      <c r="T55" s="280"/>
      <c r="U55" s="296"/>
    </row>
    <row r="56" spans="2:21" ht="15">
      <c r="B56" s="7"/>
      <c r="C56" s="279"/>
      <c r="D56" s="270"/>
      <c r="H56" s="270"/>
      <c r="I56" s="270"/>
      <c r="J56" s="270"/>
      <c r="K56" s="270"/>
      <c r="L56" s="270"/>
      <c r="M56" s="270"/>
      <c r="N56" s="270"/>
      <c r="O56" s="270"/>
      <c r="P56" s="270"/>
      <c r="Q56" s="270"/>
      <c r="R56" s="270"/>
      <c r="S56" s="270"/>
      <c r="T56" s="280"/>
      <c r="U56" s="297"/>
    </row>
    <row r="57" spans="2:21" ht="15">
      <c r="B57" s="7"/>
      <c r="C57" s="279"/>
      <c r="D57" s="270"/>
      <c r="H57" s="270"/>
      <c r="I57" s="270"/>
      <c r="J57" s="270"/>
      <c r="K57" s="270"/>
      <c r="L57" s="270"/>
      <c r="M57" s="270"/>
      <c r="N57" s="270"/>
      <c r="O57" s="270"/>
      <c r="P57" s="270"/>
      <c r="Q57" s="270"/>
      <c r="R57" s="270"/>
      <c r="S57" s="270"/>
      <c r="T57" s="280"/>
      <c r="U57" s="297"/>
    </row>
    <row r="58" spans="2:21" ht="15">
      <c r="B58" s="7"/>
      <c r="C58" s="279"/>
      <c r="D58" s="270"/>
      <c r="H58" s="270"/>
      <c r="I58" s="270"/>
      <c r="J58" s="270"/>
      <c r="K58" s="270"/>
      <c r="L58" s="270"/>
      <c r="M58" s="270"/>
      <c r="N58" s="270"/>
      <c r="O58" s="270"/>
      <c r="P58" s="270"/>
      <c r="Q58" s="270"/>
      <c r="R58" s="270"/>
      <c r="S58" s="270"/>
      <c r="T58" s="280"/>
      <c r="U58" s="297"/>
    </row>
    <row r="59" spans="2:21" ht="15">
      <c r="B59" s="7"/>
      <c r="C59" s="279"/>
      <c r="D59" s="270"/>
      <c r="H59" s="270"/>
      <c r="I59" s="270"/>
      <c r="J59" s="270"/>
      <c r="K59" s="270"/>
      <c r="L59" s="270"/>
      <c r="M59" s="270"/>
      <c r="N59" s="270"/>
      <c r="O59" s="270"/>
      <c r="P59" s="270"/>
      <c r="Q59" s="270"/>
      <c r="R59" s="270"/>
      <c r="S59" s="270"/>
      <c r="T59" s="280"/>
      <c r="U59" s="297"/>
    </row>
    <row r="60" spans="2:21" ht="15">
      <c r="B60" s="7"/>
      <c r="C60" s="279"/>
      <c r="D60" s="270"/>
      <c r="H60" s="270"/>
      <c r="I60" s="270"/>
      <c r="J60" s="270"/>
      <c r="K60" s="270"/>
      <c r="L60" s="270"/>
      <c r="M60" s="270"/>
      <c r="N60" s="270"/>
      <c r="O60" s="270"/>
      <c r="P60" s="270"/>
      <c r="Q60" s="270"/>
      <c r="R60" s="270"/>
      <c r="S60" s="270"/>
      <c r="T60" s="280"/>
      <c r="U60" s="297"/>
    </row>
    <row r="61" spans="2:21" ht="15">
      <c r="B61" s="7"/>
      <c r="C61" s="279"/>
      <c r="D61" s="270"/>
      <c r="H61" s="270"/>
      <c r="I61" s="270"/>
      <c r="J61" s="270"/>
      <c r="K61" s="270"/>
      <c r="L61" s="270"/>
      <c r="M61" s="270"/>
      <c r="N61" s="270"/>
      <c r="O61" s="270"/>
      <c r="P61" s="270"/>
      <c r="Q61" s="270"/>
      <c r="R61" s="270"/>
      <c r="S61" s="270"/>
      <c r="T61" s="280"/>
      <c r="U61" s="297"/>
    </row>
    <row r="62" spans="2:21" ht="15">
      <c r="B62" s="7"/>
      <c r="C62" s="279"/>
      <c r="D62" s="270"/>
      <c r="H62" s="270"/>
      <c r="I62" s="270"/>
      <c r="J62" s="270"/>
      <c r="K62" s="270"/>
      <c r="L62" s="270"/>
      <c r="M62" s="270"/>
      <c r="N62" s="270"/>
      <c r="O62" s="270"/>
      <c r="P62" s="270"/>
      <c r="Q62" s="270"/>
      <c r="R62" s="270"/>
      <c r="S62" s="270"/>
      <c r="T62" s="280"/>
      <c r="U62" s="297"/>
    </row>
    <row r="63" spans="2:21" ht="15">
      <c r="B63" s="7"/>
      <c r="C63" s="279"/>
      <c r="D63" s="270"/>
      <c r="H63" s="270"/>
      <c r="I63" s="270"/>
      <c r="J63" s="270"/>
      <c r="K63" s="270"/>
      <c r="L63" s="270"/>
      <c r="M63" s="270"/>
      <c r="N63" s="270"/>
      <c r="O63" s="270"/>
      <c r="P63" s="270"/>
      <c r="Q63" s="270"/>
      <c r="R63" s="270"/>
      <c r="S63" s="270"/>
      <c r="T63" s="280"/>
      <c r="U63" s="297"/>
    </row>
    <row r="64" spans="2:21" ht="15">
      <c r="B64" s="7"/>
      <c r="C64" s="279"/>
      <c r="D64" s="270"/>
      <c r="H64" s="270"/>
      <c r="I64" s="270"/>
      <c r="J64" s="270"/>
      <c r="K64" s="270"/>
      <c r="L64" s="270"/>
      <c r="M64" s="270"/>
      <c r="N64" s="270"/>
      <c r="O64" s="270"/>
      <c r="P64" s="270"/>
      <c r="Q64" s="270"/>
      <c r="R64" s="270"/>
      <c r="S64" s="270"/>
      <c r="T64" s="280"/>
      <c r="U64" s="297"/>
    </row>
    <row r="65" spans="3:21" ht="15">
      <c r="C65" s="279"/>
      <c r="D65" s="270"/>
      <c r="H65" s="270"/>
      <c r="I65" s="270"/>
      <c r="J65" s="270"/>
      <c r="K65" s="270"/>
      <c r="L65" s="270"/>
      <c r="M65" s="270"/>
      <c r="N65" s="270"/>
      <c r="O65" s="270"/>
      <c r="P65" s="270"/>
      <c r="Q65" s="270"/>
      <c r="R65" s="270"/>
      <c r="S65" s="270"/>
      <c r="T65" s="280"/>
      <c r="U65" s="297"/>
    </row>
    <row r="66" spans="3:21" ht="15">
      <c r="C66" s="279"/>
      <c r="D66" s="270"/>
      <c r="H66" s="270"/>
      <c r="I66" s="270"/>
      <c r="J66" s="270"/>
      <c r="K66" s="270"/>
      <c r="L66" s="270"/>
      <c r="M66" s="270"/>
      <c r="N66" s="270"/>
      <c r="O66" s="270"/>
      <c r="P66" s="270"/>
      <c r="Q66" s="270"/>
      <c r="R66" s="270"/>
      <c r="S66" s="270"/>
      <c r="T66" s="280"/>
      <c r="U66" s="297"/>
    </row>
    <row r="67" spans="3:21" ht="15">
      <c r="C67" s="279"/>
      <c r="D67" s="270"/>
      <c r="H67" s="270"/>
      <c r="I67" s="270"/>
      <c r="J67" s="270"/>
      <c r="K67" s="270"/>
      <c r="L67" s="270"/>
      <c r="M67" s="270"/>
      <c r="N67" s="270"/>
      <c r="O67" s="270"/>
      <c r="P67" s="270"/>
      <c r="Q67" s="270"/>
      <c r="R67" s="270"/>
      <c r="S67" s="270"/>
      <c r="T67" s="280"/>
      <c r="U67" s="297"/>
    </row>
    <row r="68" spans="3:21" ht="15">
      <c r="C68" s="279"/>
      <c r="D68" s="270"/>
      <c r="H68" s="270"/>
      <c r="I68" s="270"/>
      <c r="J68" s="270"/>
      <c r="K68" s="270"/>
      <c r="L68" s="270"/>
      <c r="M68" s="270"/>
      <c r="N68" s="270"/>
      <c r="O68" s="270"/>
      <c r="P68" s="270"/>
      <c r="Q68" s="270"/>
      <c r="R68" s="270"/>
      <c r="S68" s="270"/>
      <c r="T68" s="280"/>
      <c r="U68" s="297"/>
    </row>
    <row r="69" spans="3:21" ht="15">
      <c r="C69" s="279"/>
      <c r="D69" s="270"/>
      <c r="H69" s="270"/>
      <c r="I69" s="270"/>
      <c r="J69" s="270"/>
      <c r="K69" s="270"/>
      <c r="L69" s="270"/>
      <c r="M69" s="270"/>
      <c r="N69" s="270"/>
      <c r="O69" s="270"/>
      <c r="P69" s="270"/>
      <c r="Q69" s="270"/>
      <c r="R69" s="270"/>
      <c r="S69" s="270"/>
      <c r="T69" s="280"/>
      <c r="U69" s="297"/>
    </row>
    <row r="70" spans="3:21" ht="15">
      <c r="C70" s="279"/>
      <c r="D70" s="270"/>
      <c r="H70" s="270"/>
      <c r="I70" s="270"/>
      <c r="J70" s="270"/>
      <c r="K70" s="270"/>
      <c r="L70" s="270"/>
      <c r="M70" s="270"/>
      <c r="N70" s="270"/>
      <c r="O70" s="270"/>
      <c r="P70" s="270"/>
      <c r="Q70" s="270"/>
      <c r="R70" s="270"/>
      <c r="S70" s="270"/>
      <c r="T70" s="280"/>
      <c r="U70" s="297"/>
    </row>
    <row r="71" ht="15">
      <c r="U71" s="297"/>
    </row>
    <row r="72" ht="15">
      <c r="U72" s="297"/>
    </row>
    <row r="73" ht="15">
      <c r="U73" s="297"/>
    </row>
    <row r="74" ht="15">
      <c r="U74" s="297"/>
    </row>
    <row r="75" ht="15">
      <c r="U75" s="297"/>
    </row>
    <row r="76" ht="15">
      <c r="U76" s="297"/>
    </row>
    <row r="77" ht="15">
      <c r="U77" s="297"/>
    </row>
    <row r="87" spans="8:19" ht="15">
      <c r="H87" s="70"/>
      <c r="I87" s="70"/>
      <c r="J87" s="70"/>
      <c r="K87" s="70"/>
      <c r="L87" s="70"/>
      <c r="M87" s="70"/>
      <c r="N87" s="70"/>
      <c r="O87" s="70"/>
      <c r="P87" s="70"/>
      <c r="Q87" s="70"/>
      <c r="R87" s="70"/>
      <c r="S87" s="71"/>
    </row>
    <row r="88" ht="15">
      <c r="D88" s="72"/>
    </row>
  </sheetData>
  <mergeCells count="7">
    <mergeCell ref="B54:G54"/>
    <mergeCell ref="U10:U11"/>
    <mergeCell ref="B9:B10"/>
    <mergeCell ref="T10:T11"/>
    <mergeCell ref="S10:S11"/>
    <mergeCell ref="E10:H10"/>
    <mergeCell ref="E9:H9"/>
  </mergeCells>
  <printOptions horizontalCentered="1"/>
  <pageMargins left="0.2362204724409449" right="0.2362204724409449" top="0.7480314960629921" bottom="0.7480314960629921" header="0.31496062992125984" footer="0.31496062992125984"/>
  <pageSetup horizontalDpi="600" verticalDpi="600" orientation="landscape" scale="70"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5"/>
  <sheetViews>
    <sheetView showGridLines="0" tabSelected="1" zoomScale="70" zoomScaleNormal="70" zoomScalePageLayoutView="85" workbookViewId="0" topLeftCell="B12">
      <pane ySplit="3" topLeftCell="A15" activePane="bottomLeft" state="frozen"/>
      <selection pane="topLeft" activeCell="A12" sqref="A12"/>
      <selection pane="bottomLeft" activeCell="D20" sqref="D20"/>
    </sheetView>
  </sheetViews>
  <sheetFormatPr defaultColWidth="0" defaultRowHeight="15" outlineLevelRow="1" outlineLevelCol="1"/>
  <cols>
    <col min="1" max="1" width="8.57421875" style="1" hidden="1" customWidth="1" outlineLevel="1"/>
    <col min="2" max="2" width="49.421875" style="1" customWidth="1" collapsed="1"/>
    <col min="3" max="3" width="17.421875" style="68" customWidth="1"/>
    <col min="4" max="4" width="17.57421875" style="1" customWidth="1"/>
    <col min="5" max="6" width="17.421875" style="1" customWidth="1"/>
    <col min="7" max="7" width="17.421875" style="270" customWidth="1"/>
    <col min="8" max="20" width="17.421875" style="1" customWidth="1"/>
    <col min="21" max="21" width="19.421875" style="6" customWidth="1"/>
    <col min="22" max="22" width="2.8515625" style="1" customWidth="1"/>
    <col min="23" max="23" width="17.421875" style="10" hidden="1" customWidth="1"/>
    <col min="24" max="24" width="22.421875" style="10" hidden="1" customWidth="1"/>
    <col min="25" max="28" width="11.421875" style="5" hidden="1" customWidth="1"/>
    <col min="29" max="16384" width="0" style="5" hidden="1" customWidth="1"/>
  </cols>
  <sheetData>
    <row r="1" spans="2:7" ht="13.5" hidden="1" outlineLevel="1" thickBot="1">
      <c r="B1" s="2" t="s">
        <v>18</v>
      </c>
      <c r="C1" s="3"/>
      <c r="D1" s="4"/>
      <c r="E1" s="5"/>
      <c r="F1" s="5"/>
      <c r="G1" s="261"/>
    </row>
    <row r="2" spans="2:25" ht="13.5" hidden="1" outlineLevel="1" thickBot="1">
      <c r="B2" s="8"/>
      <c r="C2" s="3"/>
      <c r="D2" s="4"/>
      <c r="E2" s="5"/>
      <c r="F2" s="5"/>
      <c r="G2" s="261"/>
      <c r="V2" s="9"/>
      <c r="Y2" s="10"/>
    </row>
    <row r="3" spans="2:7" ht="12.75" customHeight="1" hidden="1" outlineLevel="1">
      <c r="B3" s="11" t="s">
        <v>1</v>
      </c>
      <c r="C3" s="12"/>
      <c r="D3" s="13" t="s">
        <v>72</v>
      </c>
      <c r="E3" s="78"/>
      <c r="F3" s="78"/>
      <c r="G3" s="262"/>
    </row>
    <row r="4" spans="2:7" ht="12.75" customHeight="1" hidden="1" outlineLevel="1">
      <c r="B4" s="14" t="s">
        <v>2</v>
      </c>
      <c r="C4" s="15"/>
      <c r="D4" s="16" t="s">
        <v>73</v>
      </c>
      <c r="E4" s="78"/>
      <c r="F4" s="78"/>
      <c r="G4" s="262"/>
    </row>
    <row r="5" spans="2:7" ht="12.75" customHeight="1" hidden="1" outlineLevel="1">
      <c r="B5" s="17" t="s">
        <v>3</v>
      </c>
      <c r="C5" s="15"/>
      <c r="D5" s="16" t="str">
        <f>'THP DR'!B7</f>
        <v>TR14GTM15001</v>
      </c>
      <c r="E5" s="78"/>
      <c r="F5" s="78"/>
      <c r="G5" s="262"/>
    </row>
    <row r="6" spans="2:25" ht="12.75" customHeight="1" hidden="1" outlineLevel="1">
      <c r="B6" s="14" t="s">
        <v>4</v>
      </c>
      <c r="C6" s="15"/>
      <c r="D6" s="361">
        <f>'THP DR'!B10</f>
        <v>42991</v>
      </c>
      <c r="E6" s="82"/>
      <c r="F6" s="82"/>
      <c r="G6" s="262"/>
      <c r="V6" s="7"/>
      <c r="Y6" s="10"/>
    </row>
    <row r="7" spans="2:22" ht="13.5" customHeight="1" hidden="1" outlineLevel="1" thickBot="1">
      <c r="B7" s="18" t="s">
        <v>5</v>
      </c>
      <c r="C7" s="19"/>
      <c r="D7" s="191">
        <f>'THP DR'!B13</f>
        <v>6</v>
      </c>
      <c r="E7" s="314"/>
      <c r="F7" s="314"/>
      <c r="G7" s="262"/>
      <c r="V7" s="20"/>
    </row>
    <row r="8" spans="2:22" ht="12.75" customHeight="1" hidden="1" outlineLevel="1">
      <c r="B8" s="5"/>
      <c r="C8" s="21"/>
      <c r="D8" s="22"/>
      <c r="E8" s="22"/>
      <c r="F8" s="22"/>
      <c r="G8" s="263"/>
      <c r="V8" s="20"/>
    </row>
    <row r="9" spans="2:22" ht="12.75" customHeight="1" hidden="1" outlineLevel="1">
      <c r="B9" s="23"/>
      <c r="C9" s="23"/>
      <c r="D9" s="23"/>
      <c r="E9" s="23"/>
      <c r="F9" s="23"/>
      <c r="G9" s="264"/>
      <c r="U9" s="24"/>
      <c r="V9" s="20"/>
    </row>
    <row r="10" spans="1:24" s="332" customFormat="1" ht="13.5" customHeight="1" hidden="1" outlineLevel="1">
      <c r="A10" s="25"/>
      <c r="B10" s="26"/>
      <c r="C10" s="27"/>
      <c r="D10" s="28"/>
      <c r="E10" s="28"/>
      <c r="F10" s="28"/>
      <c r="G10" s="265"/>
      <c r="H10" s="25"/>
      <c r="I10" s="25"/>
      <c r="J10" s="25"/>
      <c r="K10" s="25"/>
      <c r="L10" s="25"/>
      <c r="M10" s="25"/>
      <c r="N10" s="25"/>
      <c r="O10" s="25"/>
      <c r="P10" s="25"/>
      <c r="Q10" s="25"/>
      <c r="R10" s="25"/>
      <c r="S10" s="25"/>
      <c r="T10" s="25"/>
      <c r="U10" s="24"/>
      <c r="V10" s="20"/>
      <c r="W10" s="10"/>
      <c r="X10" s="10"/>
    </row>
    <row r="11" spans="1:24" ht="15.75" hidden="1" outlineLevel="1">
      <c r="A11" s="5"/>
      <c r="B11" s="386" t="s">
        <v>19</v>
      </c>
      <c r="C11" s="29" t="s">
        <v>7</v>
      </c>
      <c r="D11" s="30" t="s">
        <v>8</v>
      </c>
      <c r="E11" s="398" t="s">
        <v>9</v>
      </c>
      <c r="F11" s="399"/>
      <c r="G11" s="399"/>
      <c r="H11" s="399"/>
      <c r="I11" s="327"/>
      <c r="J11" s="327"/>
      <c r="K11" s="327"/>
      <c r="L11" s="327"/>
      <c r="M11" s="327"/>
      <c r="N11" s="327"/>
      <c r="O11" s="232"/>
      <c r="P11" s="232"/>
      <c r="Q11" s="232"/>
      <c r="R11" s="232"/>
      <c r="S11" s="31" t="s">
        <v>10</v>
      </c>
      <c r="T11" s="31" t="s">
        <v>10</v>
      </c>
      <c r="U11" s="31" t="s">
        <v>11</v>
      </c>
      <c r="V11" s="32"/>
      <c r="W11" s="5"/>
      <c r="X11" s="5"/>
    </row>
    <row r="12" spans="1:24" ht="87" customHeight="1" collapsed="1">
      <c r="A12" s="5"/>
      <c r="B12" s="386"/>
      <c r="C12" s="33" t="s">
        <v>231</v>
      </c>
      <c r="D12" s="34" t="s">
        <v>278</v>
      </c>
      <c r="E12" s="390" t="str">
        <f>"Grant Quarter #"&amp;$D$7</f>
        <v>Grant Quarter #6</v>
      </c>
      <c r="F12" s="391"/>
      <c r="G12" s="391"/>
      <c r="H12" s="392"/>
      <c r="I12" s="330" t="s">
        <v>75</v>
      </c>
      <c r="J12" s="330" t="s">
        <v>76</v>
      </c>
      <c r="K12" s="330" t="s">
        <v>269</v>
      </c>
      <c r="L12" s="330" t="s">
        <v>77</v>
      </c>
      <c r="M12" s="330" t="s">
        <v>78</v>
      </c>
      <c r="N12" s="330" t="s">
        <v>79</v>
      </c>
      <c r="O12" s="330" t="s">
        <v>80</v>
      </c>
      <c r="P12" s="330" t="s">
        <v>81</v>
      </c>
      <c r="Q12" s="330" t="s">
        <v>226</v>
      </c>
      <c r="R12" s="330" t="s">
        <v>227</v>
      </c>
      <c r="S12" s="396" t="s">
        <v>20</v>
      </c>
      <c r="T12" s="397" t="s">
        <v>129</v>
      </c>
      <c r="U12" s="395" t="s">
        <v>15</v>
      </c>
      <c r="V12" s="36"/>
      <c r="W12" s="5"/>
      <c r="X12" s="5"/>
    </row>
    <row r="13" spans="1:24" ht="25.5">
      <c r="A13" s="5"/>
      <c r="B13" s="39" t="s">
        <v>16</v>
      </c>
      <c r="C13" s="40" t="s">
        <v>279</v>
      </c>
      <c r="D13" s="41" t="s">
        <v>274</v>
      </c>
      <c r="E13" s="271" t="s">
        <v>275</v>
      </c>
      <c r="F13" s="271" t="s">
        <v>276</v>
      </c>
      <c r="G13" s="271" t="s">
        <v>277</v>
      </c>
      <c r="H13" s="271" t="s">
        <v>67</v>
      </c>
      <c r="I13" s="330" t="s">
        <v>65</v>
      </c>
      <c r="J13" s="330" t="s">
        <v>66</v>
      </c>
      <c r="K13" s="330" t="s">
        <v>267</v>
      </c>
      <c r="L13" s="330" t="s">
        <v>68</v>
      </c>
      <c r="M13" s="330" t="s">
        <v>69</v>
      </c>
      <c r="N13" s="330" t="s">
        <v>70</v>
      </c>
      <c r="O13" s="330" t="s">
        <v>268</v>
      </c>
      <c r="P13" s="330" t="s">
        <v>228</v>
      </c>
      <c r="Q13" s="330" t="s">
        <v>229</v>
      </c>
      <c r="R13" s="330" t="s">
        <v>270</v>
      </c>
      <c r="S13" s="396"/>
      <c r="T13" s="397"/>
      <c r="U13" s="395"/>
      <c r="V13" s="36"/>
      <c r="W13" s="5"/>
      <c r="X13" s="5"/>
    </row>
    <row r="14" spans="1:22" s="333" customFormat="1" ht="15">
      <c r="A14"/>
      <c r="B14" s="189" t="s">
        <v>102</v>
      </c>
      <c r="C14" s="189" t="s">
        <v>103</v>
      </c>
      <c r="D14" s="189" t="s">
        <v>104</v>
      </c>
      <c r="E14" s="266" t="s">
        <v>105</v>
      </c>
      <c r="F14" s="266" t="s">
        <v>106</v>
      </c>
      <c r="G14" s="260" t="s">
        <v>107</v>
      </c>
      <c r="H14" s="189" t="s">
        <v>108</v>
      </c>
      <c r="I14" s="189" t="s">
        <v>109</v>
      </c>
      <c r="J14" s="189" t="s">
        <v>110</v>
      </c>
      <c r="K14" s="189" t="s">
        <v>111</v>
      </c>
      <c r="L14" s="189" t="s">
        <v>112</v>
      </c>
      <c r="M14" s="189" t="s">
        <v>113</v>
      </c>
      <c r="N14" s="189" t="s">
        <v>114</v>
      </c>
      <c r="O14" s="189" t="s">
        <v>115</v>
      </c>
      <c r="P14" s="189" t="s">
        <v>116</v>
      </c>
      <c r="Q14" s="189" t="s">
        <v>117</v>
      </c>
      <c r="R14" s="189" t="s">
        <v>118</v>
      </c>
      <c r="S14" s="189" t="s">
        <v>119</v>
      </c>
      <c r="T14" s="196" t="s">
        <v>120</v>
      </c>
      <c r="U14" s="189" t="s">
        <v>121</v>
      </c>
      <c r="V14" s="36"/>
    </row>
    <row r="15" spans="1:24" ht="15">
      <c r="A15" s="5"/>
      <c r="B15" s="43"/>
      <c r="C15" s="44"/>
      <c r="D15" s="43"/>
      <c r="E15" s="267"/>
      <c r="F15" s="267"/>
      <c r="G15" s="267"/>
      <c r="H15" s="43"/>
      <c r="I15" s="43"/>
      <c r="J15" s="43"/>
      <c r="K15" s="43"/>
      <c r="L15" s="43"/>
      <c r="M15" s="43"/>
      <c r="N15" s="43"/>
      <c r="O15" s="43"/>
      <c r="P15" s="43"/>
      <c r="Q15" s="43"/>
      <c r="R15" s="43"/>
      <c r="S15" s="43"/>
      <c r="T15" s="43"/>
      <c r="U15" s="298"/>
      <c r="V15" s="36"/>
      <c r="W15" s="5"/>
      <c r="X15" s="5"/>
    </row>
    <row r="16" spans="1:24" ht="15">
      <c r="A16" s="5"/>
      <c r="B16" s="45" t="s">
        <v>83</v>
      </c>
      <c r="C16" s="46"/>
      <c r="D16" s="47"/>
      <c r="E16" s="268"/>
      <c r="F16" s="268"/>
      <c r="G16" s="268"/>
      <c r="H16" s="47"/>
      <c r="I16" s="47"/>
      <c r="J16" s="47"/>
      <c r="K16" s="47"/>
      <c r="L16" s="47"/>
      <c r="M16" s="47"/>
      <c r="N16" s="47"/>
      <c r="O16" s="47"/>
      <c r="P16" s="47"/>
      <c r="Q16" s="47"/>
      <c r="R16" s="47"/>
      <c r="S16" s="48"/>
      <c r="T16" s="197"/>
      <c r="U16" s="299"/>
      <c r="V16" s="36"/>
      <c r="W16" s="5"/>
      <c r="X16" s="5"/>
    </row>
    <row r="17" spans="1:22" s="207" customFormat="1" ht="15" outlineLevel="1">
      <c r="A17" s="206"/>
      <c r="B17" s="50" t="s">
        <v>84</v>
      </c>
      <c r="C17" s="198">
        <f>SUM(C18:C20)</f>
        <v>0</v>
      </c>
      <c r="D17" s="198">
        <f>SUM(D18:D20)</f>
        <v>832271.3816</v>
      </c>
      <c r="E17" s="198">
        <f>SUM(E18:E20)</f>
        <v>1000</v>
      </c>
      <c r="F17" s="198">
        <f aca="true" t="shared" si="0" ref="F17:M17">SUM(F18:F20)</f>
        <v>1000</v>
      </c>
      <c r="G17" s="198">
        <f t="shared" si="0"/>
        <v>619294.61</v>
      </c>
      <c r="H17" s="198">
        <f t="shared" si="0"/>
        <v>621294.61</v>
      </c>
      <c r="I17" s="198">
        <f t="shared" si="0"/>
        <v>1100001.58307</v>
      </c>
      <c r="J17" s="198">
        <f t="shared" si="0"/>
        <v>800001.5830699999</v>
      </c>
      <c r="K17" s="198">
        <f t="shared" si="0"/>
        <v>800001.5830699999</v>
      </c>
      <c r="L17" s="198">
        <f t="shared" si="0"/>
        <v>800001.5830699999</v>
      </c>
      <c r="M17" s="198">
        <f t="shared" si="0"/>
        <v>1225003.1661399999</v>
      </c>
      <c r="N17" s="198">
        <f aca="true" t="shared" si="1" ref="N17">SUM(N18:N20)</f>
        <v>1225003.1661399999</v>
      </c>
      <c r="O17" s="198">
        <f aca="true" t="shared" si="2" ref="O17:R17">SUM(O18:O20)</f>
        <v>1225003.1661399999</v>
      </c>
      <c r="P17" s="198">
        <f t="shared" si="2"/>
        <v>1225003.1661399999</v>
      </c>
      <c r="Q17" s="198"/>
      <c r="R17" s="198">
        <f t="shared" si="2"/>
        <v>2052446.6745600004</v>
      </c>
      <c r="S17" s="198">
        <f>SUM(S18:S20)</f>
        <v>11906031.663</v>
      </c>
      <c r="T17" s="200">
        <f>'QFR - B'!G15</f>
        <v>12000000</v>
      </c>
      <c r="U17" s="287">
        <f>T17-S17</f>
        <v>93968.33699999936</v>
      </c>
      <c r="V17" s="36"/>
    </row>
    <row r="18" spans="1:22" s="207" customFormat="1" ht="15" outlineLevel="1">
      <c r="A18" s="206"/>
      <c r="B18" s="202" t="s">
        <v>122</v>
      </c>
      <c r="C18" s="203"/>
      <c r="D18" s="302">
        <v>829271.3816</v>
      </c>
      <c r="E18" s="302">
        <v>0</v>
      </c>
      <c r="F18" s="302">
        <v>0</v>
      </c>
      <c r="G18" s="302">
        <v>618294.61</v>
      </c>
      <c r="H18" s="302">
        <f>SUMIF('Contract level'!$A:$A,"="&amp;'DFP-Com'!$A16,'Contract level'!AC:AC)</f>
        <v>618294.61</v>
      </c>
      <c r="I18" s="204">
        <f>SUMIF('Contract level'!$A:$A,"="&amp;'DFP-Com'!$A16,'Contract level'!AD:AD)</f>
        <v>725001.5830699999</v>
      </c>
      <c r="J18" s="204">
        <f>SUMIF('Contract level'!$A:$A,"="&amp;'DFP-Com'!$A16,'Contract level'!AE:AE)</f>
        <v>425001.58307</v>
      </c>
      <c r="K18" s="204">
        <f>SUMIF('Contract level'!$A:$A,"="&amp;'DFP-Com'!$A16,'Contract level'!AF:AF)</f>
        <v>425001.58307</v>
      </c>
      <c r="L18" s="204">
        <f>SUMIF('Contract level'!$A:$A,"="&amp;'DFP-Com'!$A16,'Contract level'!AG:AG)</f>
        <v>425001.58307</v>
      </c>
      <c r="M18" s="204">
        <f>SUMIF('Contract level'!$A:$A,"="&amp;'DFP-Com'!$A16,'Contract level'!AH:AH)</f>
        <v>850003.16614</v>
      </c>
      <c r="N18" s="204">
        <f>SUMIF('Contract level'!$A:$A,"="&amp;'DFP-Com'!$A16,'Contract level'!AI:AI)</f>
        <v>850003.16614</v>
      </c>
      <c r="O18" s="204">
        <f>SUMIF('Contract level'!$A:$A,"="&amp;'DFP-Com'!$A16,'Contract level'!AJ:AJ)</f>
        <v>850003.16614</v>
      </c>
      <c r="P18" s="204">
        <f>SUMIF('Contract level'!$A:$A,"="&amp;'DFP-Com'!$A16,'Contract level'!AK:AK)</f>
        <v>850003.16614</v>
      </c>
      <c r="Q18" s="302"/>
      <c r="R18" s="204">
        <f>SUMIF('Contract level'!$A:$A,"="&amp;'DFP-Com'!$A16,'Contract level'!AL:AL)</f>
        <v>2052446.6745600004</v>
      </c>
      <c r="S18" s="204">
        <f>SUM(H18:R18)+D18+C18</f>
        <v>8900031.663</v>
      </c>
      <c r="T18" s="205" t="s">
        <v>128</v>
      </c>
      <c r="U18" s="288"/>
      <c r="V18" s="36"/>
    </row>
    <row r="19" spans="1:22" s="207" customFormat="1" ht="15" outlineLevel="1">
      <c r="A19" s="206"/>
      <c r="B19" s="202" t="s">
        <v>123</v>
      </c>
      <c r="C19" s="203"/>
      <c r="D19" s="302"/>
      <c r="E19" s="204"/>
      <c r="F19" s="204"/>
      <c r="G19" s="204"/>
      <c r="H19" s="204">
        <f>SUMIF('Contract level'!$A:$A,"="&amp;'DFP-Com'!$A17,'Contract level'!AC:AC)</f>
        <v>0</v>
      </c>
      <c r="I19" s="204">
        <f>SUMIF('Contract level'!$A:$A,"="&amp;'DFP-Com'!$A17,'Contract level'!AD:AD)</f>
        <v>375000</v>
      </c>
      <c r="J19" s="204">
        <f>SUMIF('Contract level'!$A:$A,"="&amp;'DFP-Com'!$A17,'Contract level'!AE:AE)</f>
        <v>375000</v>
      </c>
      <c r="K19" s="204">
        <f>SUMIF('Contract level'!$A:$A,"="&amp;'DFP-Com'!$A17,'Contract level'!AF:AF)</f>
        <v>375000</v>
      </c>
      <c r="L19" s="204">
        <f>SUMIF('Contract level'!$A:$A,"="&amp;'DFP-Com'!$A17,'Contract level'!AG:AG)</f>
        <v>375000</v>
      </c>
      <c r="M19" s="204">
        <f>SUMIF('Contract level'!$A:$A,"="&amp;'DFP-Com'!$A17,'Contract level'!AH:AH)</f>
        <v>375000</v>
      </c>
      <c r="N19" s="204">
        <f>SUMIF('Contract level'!$A:$A,"="&amp;'DFP-Com'!$A17,'Contract level'!AI:AI)</f>
        <v>375000</v>
      </c>
      <c r="O19" s="204">
        <f>SUMIF('Contract level'!$A:$A,"="&amp;'DFP-Com'!$A17,'Contract level'!AJ:AJ)</f>
        <v>375000</v>
      </c>
      <c r="P19" s="204">
        <f>SUMIF('Contract level'!$A:$A,"="&amp;'DFP-Com'!$A17,'Contract level'!AK:AK)</f>
        <v>375000</v>
      </c>
      <c r="Q19" s="302"/>
      <c r="R19" s="204">
        <f>SUMIF('Contract level'!$A:$A,"="&amp;'DFP-Com'!$A17,'Contract level'!AL:AL)</f>
        <v>0</v>
      </c>
      <c r="S19" s="302">
        <f>SUM(H19:R19)+D19+C19</f>
        <v>3000000</v>
      </c>
      <c r="T19" s="205"/>
      <c r="U19" s="288"/>
      <c r="V19" s="36"/>
    </row>
    <row r="20" spans="1:22" s="207" customFormat="1" ht="15" outlineLevel="1">
      <c r="A20" s="206"/>
      <c r="B20" s="202" t="s">
        <v>130</v>
      </c>
      <c r="C20" s="203"/>
      <c r="D20" s="302">
        <v>3000</v>
      </c>
      <c r="E20" s="302">
        <v>1000</v>
      </c>
      <c r="F20" s="302">
        <v>1000</v>
      </c>
      <c r="G20" s="302">
        <v>1000</v>
      </c>
      <c r="H20" s="302">
        <f>SUMIF('Contract level'!$A:$A,"="&amp;'DFP-Com'!$A18,'Contract level'!AC:AC)</f>
        <v>3000</v>
      </c>
      <c r="I20" s="204">
        <f>SUMIF('Contract level'!$A:$A,"="&amp;'DFP-Com'!$A18,'Contract level'!AD:AD)</f>
        <v>0</v>
      </c>
      <c r="J20" s="204">
        <f>SUMIF('Contract level'!$A:$A,"="&amp;'DFP-Com'!$A18,'Contract level'!AE:AE)</f>
        <v>0</v>
      </c>
      <c r="K20" s="204">
        <f>SUMIF('Contract level'!$A:$A,"="&amp;'DFP-Com'!$A18,'Contract level'!AF:AF)</f>
        <v>0</v>
      </c>
      <c r="L20" s="204">
        <f>SUMIF('Contract level'!$A:$A,"="&amp;'DFP-Com'!$A18,'Contract level'!AG:AG)</f>
        <v>0</v>
      </c>
      <c r="M20" s="204">
        <f>SUMIF('Contract level'!$A:$A,"="&amp;'DFP-Com'!$A18,'Contract level'!AH:AH)</f>
        <v>0</v>
      </c>
      <c r="N20" s="204">
        <f>SUMIF('Contract level'!$A:$A,"="&amp;'DFP-Com'!$A18,'Contract level'!AI:AI)</f>
        <v>0</v>
      </c>
      <c r="O20" s="204">
        <f>SUMIF('Contract level'!$A:$A,"="&amp;'DFP-Com'!$A18,'Contract level'!AJ:AJ)</f>
        <v>0</v>
      </c>
      <c r="P20" s="204">
        <f>SUMIF('Contract level'!$A:$A,"="&amp;'DFP-Com'!$A18,'Contract level'!AK:AK)</f>
        <v>0</v>
      </c>
      <c r="Q20" s="302"/>
      <c r="R20" s="204">
        <f>SUMIF('Contract level'!$A:$A,"="&amp;'DFP-Com'!$A18,'Contract level'!AL:AL)</f>
        <v>0</v>
      </c>
      <c r="S20" s="302">
        <f>SUM(H20:R20)+D20+C20</f>
        <v>6000</v>
      </c>
      <c r="T20" s="205"/>
      <c r="U20" s="288"/>
      <c r="V20" s="36"/>
    </row>
    <row r="21" spans="1:22" s="207" customFormat="1" ht="25.5" outlineLevel="1">
      <c r="A21" s="206"/>
      <c r="B21" s="50" t="s">
        <v>85</v>
      </c>
      <c r="C21" s="198">
        <f>C22</f>
        <v>0</v>
      </c>
      <c r="D21" s="198">
        <f>D22</f>
        <v>9046.8</v>
      </c>
      <c r="E21" s="198">
        <f aca="true" t="shared" si="3" ref="E21:S21">E22</f>
        <v>2872</v>
      </c>
      <c r="F21" s="198">
        <f t="shared" si="3"/>
        <v>2728.4</v>
      </c>
      <c r="G21" s="198">
        <f t="shared" si="3"/>
        <v>143015.6</v>
      </c>
      <c r="H21" s="198">
        <f t="shared" si="3"/>
        <v>148616</v>
      </c>
      <c r="I21" s="198">
        <f t="shared" si="3"/>
        <v>438400</v>
      </c>
      <c r="J21" s="198">
        <f t="shared" si="3"/>
        <v>386929.5</v>
      </c>
      <c r="K21" s="198">
        <f t="shared" si="3"/>
        <v>480000</v>
      </c>
      <c r="L21" s="198">
        <f t="shared" si="3"/>
        <v>480000</v>
      </c>
      <c r="M21" s="198">
        <f t="shared" si="3"/>
        <v>480000</v>
      </c>
      <c r="N21" s="198">
        <f t="shared" si="3"/>
        <v>480000</v>
      </c>
      <c r="O21" s="198">
        <f t="shared" si="3"/>
        <v>380000</v>
      </c>
      <c r="P21" s="198">
        <f t="shared" si="3"/>
        <v>380000</v>
      </c>
      <c r="Q21" s="198"/>
      <c r="R21" s="198">
        <f t="shared" si="3"/>
        <v>570000</v>
      </c>
      <c r="S21" s="198">
        <f t="shared" si="3"/>
        <v>4232992.3</v>
      </c>
      <c r="T21" s="200">
        <f>'QFR - B'!G16</f>
        <v>4300000</v>
      </c>
      <c r="U21" s="287">
        <f>T21-S21</f>
        <v>67007.70000000019</v>
      </c>
      <c r="V21" s="69"/>
    </row>
    <row r="22" spans="1:22" s="207" customFormat="1" ht="12.95" customHeight="1" outlineLevel="1">
      <c r="A22" s="206"/>
      <c r="B22" s="202" t="s">
        <v>131</v>
      </c>
      <c r="C22" s="203"/>
      <c r="D22" s="302">
        <v>9046.8</v>
      </c>
      <c r="E22" s="302">
        <v>2872</v>
      </c>
      <c r="F22" s="302">
        <v>2728.4</v>
      </c>
      <c r="G22" s="302">
        <f>3015.6+140000</f>
        <v>143015.6</v>
      </c>
      <c r="H22" s="302">
        <f>SUMIF('Contract level'!$A:$A,"="&amp;'DFP-Com'!$A20,'Contract level'!AC:AC)</f>
        <v>148616</v>
      </c>
      <c r="I22" s="204">
        <f>SUMIF('Contract level'!$A:$A,"="&amp;'DFP-Com'!$A20,'Contract level'!AD:AD)</f>
        <v>438400</v>
      </c>
      <c r="J22" s="204">
        <f>SUMIF('Contract level'!$A:$A,"="&amp;'DFP-Com'!$A20,'Contract level'!AE:AE)</f>
        <v>386929.5</v>
      </c>
      <c r="K22" s="204">
        <f>SUMIF('Contract level'!$A:$A,"="&amp;'DFP-Com'!$A20,'Contract level'!AF:AF)</f>
        <v>480000</v>
      </c>
      <c r="L22" s="204">
        <f>SUMIF('Contract level'!$A:$A,"="&amp;'DFP-Com'!$A20,'Contract level'!AG:AG)</f>
        <v>480000</v>
      </c>
      <c r="M22" s="204">
        <f>SUMIF('Contract level'!$A:$A,"="&amp;'DFP-Com'!$A20,'Contract level'!AH:AH)</f>
        <v>480000</v>
      </c>
      <c r="N22" s="204">
        <f>SUMIF('Contract level'!$A:$A,"="&amp;'DFP-Com'!$A20,'Contract level'!AI:AI)</f>
        <v>480000</v>
      </c>
      <c r="O22" s="204">
        <f>SUMIF('Contract level'!$A:$A,"="&amp;'DFP-Com'!$A20,'Contract level'!AJ:AJ)</f>
        <v>380000</v>
      </c>
      <c r="P22" s="204">
        <f>SUMIF('Contract level'!$A:$A,"="&amp;'DFP-Com'!$A20,'Contract level'!AK:AK)</f>
        <v>380000</v>
      </c>
      <c r="Q22" s="302"/>
      <c r="R22" s="204">
        <f>SUMIF('Contract level'!$A:$A,"="&amp;'DFP-Com'!$A20,'Contract level'!AL:AL)</f>
        <v>570000</v>
      </c>
      <c r="S22" s="204">
        <f>SUM(H22:R22)+D22+C22</f>
        <v>4232992.3</v>
      </c>
      <c r="T22" s="205"/>
      <c r="U22" s="288"/>
      <c r="V22" s="69"/>
    </row>
    <row r="23" spans="1:22" s="207" customFormat="1" ht="15" outlineLevel="1">
      <c r="A23" s="206"/>
      <c r="B23" s="50" t="s">
        <v>86</v>
      </c>
      <c r="C23" s="198">
        <f>SUM(C24:C26)</f>
        <v>19400</v>
      </c>
      <c r="D23" s="198">
        <f aca="true" t="shared" si="4" ref="D23:S23">SUM(D24:D26)</f>
        <v>11310</v>
      </c>
      <c r="E23" s="198">
        <f t="shared" si="4"/>
        <v>212308.25</v>
      </c>
      <c r="F23" s="198">
        <f t="shared" si="4"/>
        <v>4810.88</v>
      </c>
      <c r="G23" s="198">
        <f t="shared" si="4"/>
        <v>5169.92</v>
      </c>
      <c r="H23" s="198">
        <f t="shared" si="4"/>
        <v>222289.05000000002</v>
      </c>
      <c r="I23" s="198">
        <f t="shared" si="4"/>
        <v>107993.03043</v>
      </c>
      <c r="J23" s="198">
        <f t="shared" si="4"/>
        <v>201286.06086</v>
      </c>
      <c r="K23" s="198">
        <f t="shared" si="4"/>
        <v>201286.06086</v>
      </c>
      <c r="L23" s="198">
        <f t="shared" si="4"/>
        <v>201286.06086</v>
      </c>
      <c r="M23" s="198">
        <f t="shared" si="4"/>
        <v>201286.06086</v>
      </c>
      <c r="N23" s="198">
        <f aca="true" t="shared" si="5" ref="N23">SUM(N24:N26)</f>
        <v>201286.06086</v>
      </c>
      <c r="O23" s="198">
        <f aca="true" t="shared" si="6" ref="O23:R23">SUM(O24:O26)</f>
        <v>201286.06086</v>
      </c>
      <c r="P23" s="198">
        <f t="shared" si="6"/>
        <v>201286.06086</v>
      </c>
      <c r="Q23" s="198"/>
      <c r="R23" s="198">
        <f t="shared" si="6"/>
        <v>273847.3021500007</v>
      </c>
      <c r="S23" s="198">
        <f t="shared" si="4"/>
        <v>2043841.8086000008</v>
      </c>
      <c r="T23" s="200">
        <f>'QFR - B'!G17</f>
        <v>3000000</v>
      </c>
      <c r="U23" s="287">
        <f>T23-S23</f>
        <v>956158.1913999992</v>
      </c>
      <c r="V23" s="69"/>
    </row>
    <row r="24" spans="1:22" s="207" customFormat="1" ht="12.95" customHeight="1" outlineLevel="1">
      <c r="A24" s="206"/>
      <c r="B24" s="202" t="s">
        <v>124</v>
      </c>
      <c r="C24" s="203"/>
      <c r="D24" s="302"/>
      <c r="E24" s="302">
        <v>207317.85</v>
      </c>
      <c r="F24" s="302"/>
      <c r="G24" s="302"/>
      <c r="H24" s="302">
        <f>SUMIF('Contract level'!$A:$A,"="&amp;'DFP-Com'!$A22,'Contract level'!AC:AC)</f>
        <v>207317.85</v>
      </c>
      <c r="I24" s="204">
        <f>SUMIF('Contract level'!$A:$A,"="&amp;'DFP-Com'!$A22,'Contract level'!AD:AD)</f>
        <v>93293.03043</v>
      </c>
      <c r="J24" s="204">
        <f>SUMIF('Contract level'!$A:$A,"="&amp;'DFP-Com'!$A22,'Contract level'!AE:AE)</f>
        <v>186586.06086</v>
      </c>
      <c r="K24" s="204">
        <f>SUMIF('Contract level'!$A:$A,"="&amp;'DFP-Com'!$A22,'Contract level'!AF:AF)</f>
        <v>186586.06086</v>
      </c>
      <c r="L24" s="204">
        <f>SUMIF('Contract level'!$A:$A,"="&amp;'DFP-Com'!$A22,'Contract level'!AG:AG)</f>
        <v>186586.06086</v>
      </c>
      <c r="M24" s="204">
        <f>SUMIF('Contract level'!$A:$A,"="&amp;'DFP-Com'!$A22,'Contract level'!AH:AH)</f>
        <v>186586.06086</v>
      </c>
      <c r="N24" s="204">
        <f>SUMIF('Contract level'!$A:$A,"="&amp;'DFP-Com'!$A22,'Contract level'!AI:AI)</f>
        <v>186586.06086</v>
      </c>
      <c r="O24" s="204">
        <f>SUMIF('Contract level'!$A:$A,"="&amp;'DFP-Com'!$A22,'Contract level'!AJ:AJ)</f>
        <v>186586.06086</v>
      </c>
      <c r="P24" s="204">
        <f>SUMIF('Contract level'!$A:$A,"="&amp;'DFP-Com'!$A22,'Contract level'!AK:AK)</f>
        <v>186586.06086</v>
      </c>
      <c r="Q24" s="302"/>
      <c r="R24" s="204">
        <f>SUMIF('Contract level'!$A:$A,"="&amp;'DFP-Com'!$A22,'Contract level'!AL:AL)</f>
        <v>259147.30215000073</v>
      </c>
      <c r="S24" s="204">
        <f>SUM(H24:R24)+D24+C24</f>
        <v>1865860.6086000009</v>
      </c>
      <c r="T24" s="205"/>
      <c r="U24" s="288"/>
      <c r="V24" s="69"/>
    </row>
    <row r="25" spans="1:22" s="207" customFormat="1" ht="12.95" customHeight="1" outlineLevel="1">
      <c r="A25" s="206"/>
      <c r="B25" s="202" t="s">
        <v>140</v>
      </c>
      <c r="C25" s="203">
        <v>19400</v>
      </c>
      <c r="D25" s="302">
        <v>11310</v>
      </c>
      <c r="E25" s="302">
        <f>3590.4+1400</f>
        <v>4990.4</v>
      </c>
      <c r="F25" s="302">
        <f>3410.88+1400</f>
        <v>4810.88</v>
      </c>
      <c r="G25" s="302">
        <f>3769.92+1400</f>
        <v>5169.92</v>
      </c>
      <c r="H25" s="302">
        <f>SUMIF('Contract level'!$A:$A,"="&amp;'DFP-Com'!$A23,'Contract level'!AC:AC)</f>
        <v>14971.2</v>
      </c>
      <c r="I25" s="204">
        <f>SUMIF('Contract level'!$A:$A,"="&amp;'DFP-Com'!$A23,'Contract level'!AD:AD)</f>
        <v>14700</v>
      </c>
      <c r="J25" s="204">
        <f>SUMIF('Contract level'!$A:$A,"="&amp;'DFP-Com'!$A23,'Contract level'!AE:AE)</f>
        <v>14700</v>
      </c>
      <c r="K25" s="204">
        <f>SUMIF('Contract level'!$A:$A,"="&amp;'DFP-Com'!$A23,'Contract level'!AF:AF)</f>
        <v>14700</v>
      </c>
      <c r="L25" s="204">
        <f>SUMIF('Contract level'!$A:$A,"="&amp;'DFP-Com'!$A23,'Contract level'!AG:AG)</f>
        <v>14700</v>
      </c>
      <c r="M25" s="204">
        <f>SUMIF('Contract level'!$A:$A,"="&amp;'DFP-Com'!$A23,'Contract level'!AH:AH)</f>
        <v>14700</v>
      </c>
      <c r="N25" s="204">
        <f>SUMIF('Contract level'!$A:$A,"="&amp;'DFP-Com'!$A23,'Contract level'!AI:AI)</f>
        <v>14700</v>
      </c>
      <c r="O25" s="204">
        <f>SUMIF('Contract level'!$A:$A,"="&amp;'DFP-Com'!$A23,'Contract level'!AJ:AJ)</f>
        <v>14700</v>
      </c>
      <c r="P25" s="204">
        <f>SUMIF('Contract level'!$A:$A,"="&amp;'DFP-Com'!$A23,'Contract level'!AK:AK)</f>
        <v>14700</v>
      </c>
      <c r="Q25" s="302"/>
      <c r="R25" s="204">
        <f>SUMIF('Contract level'!$A:$A,"="&amp;'DFP-Com'!$A23,'Contract level'!AL:AL)</f>
        <v>14700</v>
      </c>
      <c r="S25" s="302">
        <f>SUM(H25:R25)+D25+C25</f>
        <v>177981.2</v>
      </c>
      <c r="T25" s="205"/>
      <c r="U25" s="288"/>
      <c r="V25" s="69"/>
    </row>
    <row r="26" spans="1:22" s="207" customFormat="1" ht="15" outlineLevel="1">
      <c r="A26" s="206"/>
      <c r="B26" s="202" t="s">
        <v>139</v>
      </c>
      <c r="C26" s="203"/>
      <c r="D26" s="302"/>
      <c r="E26" s="204"/>
      <c r="F26" s="204"/>
      <c r="G26" s="204"/>
      <c r="H26" s="204">
        <f>SUMIF('Contract level'!$A:$A,"="&amp;'DFP-Com'!$A24,'Contract level'!AC:AC)</f>
        <v>0</v>
      </c>
      <c r="I26" s="204">
        <f>SUMIF('Contract level'!$A:$A,"="&amp;'DFP-Com'!$A24,'Contract level'!AD:AD)</f>
        <v>0</v>
      </c>
      <c r="J26" s="204">
        <f>SUMIF('Contract level'!$A:$A,"="&amp;'DFP-Com'!$A24,'Contract level'!AE:AE)</f>
        <v>0</v>
      </c>
      <c r="K26" s="204">
        <f>SUMIF('Contract level'!$A:$A,"="&amp;'DFP-Com'!$A24,'Contract level'!AF:AF)</f>
        <v>0</v>
      </c>
      <c r="L26" s="204">
        <f>SUMIF('Contract level'!$A:$A,"="&amp;'DFP-Com'!$A24,'Contract level'!AG:AG)</f>
        <v>0</v>
      </c>
      <c r="M26" s="204">
        <f>SUMIF('Contract level'!$A:$A,"="&amp;'DFP-Com'!$A24,'Contract level'!AH:AH)</f>
        <v>0</v>
      </c>
      <c r="N26" s="204">
        <f>SUMIF('Contract level'!$A:$A,"="&amp;'DFP-Com'!$A24,'Contract level'!AI:AI)</f>
        <v>0</v>
      </c>
      <c r="O26" s="204">
        <f>SUMIF('Contract level'!$A:$A,"="&amp;'DFP-Com'!$A24,'Contract level'!AJ:AJ)</f>
        <v>0</v>
      </c>
      <c r="P26" s="204">
        <f>SUMIF('Contract level'!$A:$A,"="&amp;'DFP-Com'!$A24,'Contract level'!AK:AK)</f>
        <v>0</v>
      </c>
      <c r="Q26" s="302"/>
      <c r="R26" s="204">
        <f>SUMIF('Contract level'!$A:$A,"="&amp;'DFP-Com'!$A24,'Contract level'!AL:AL)</f>
        <v>0</v>
      </c>
      <c r="S26" s="302">
        <f>SUM(H26:R26)+D26+C26</f>
        <v>0</v>
      </c>
      <c r="T26" s="205"/>
      <c r="U26" s="288"/>
      <c r="V26" s="69"/>
    </row>
    <row r="27" spans="1:22" s="207" customFormat="1" ht="15">
      <c r="A27" s="206"/>
      <c r="B27" s="52" t="s">
        <v>63</v>
      </c>
      <c r="C27" s="199">
        <f>C23+C21+C17</f>
        <v>19400</v>
      </c>
      <c r="D27" s="199">
        <f aca="true" t="shared" si="7" ref="D27:S27">D23+D21+D17</f>
        <v>852628.1816</v>
      </c>
      <c r="E27" s="199">
        <f t="shared" si="7"/>
        <v>216180.25</v>
      </c>
      <c r="F27" s="199">
        <f t="shared" si="7"/>
        <v>8539.28</v>
      </c>
      <c r="G27" s="199">
        <f t="shared" si="7"/>
        <v>767480.13</v>
      </c>
      <c r="H27" s="199">
        <f t="shared" si="7"/>
        <v>992199.66</v>
      </c>
      <c r="I27" s="199">
        <f t="shared" si="7"/>
        <v>1646394.6135</v>
      </c>
      <c r="J27" s="199">
        <f t="shared" si="7"/>
        <v>1388217.1439299998</v>
      </c>
      <c r="K27" s="199">
        <f t="shared" si="7"/>
        <v>1481287.6439299998</v>
      </c>
      <c r="L27" s="199">
        <f t="shared" si="7"/>
        <v>1481287.6439299998</v>
      </c>
      <c r="M27" s="199">
        <f t="shared" si="7"/>
        <v>1906289.227</v>
      </c>
      <c r="N27" s="199">
        <f aca="true" t="shared" si="8" ref="N27">N23+N21+N17</f>
        <v>1906289.227</v>
      </c>
      <c r="O27" s="199">
        <f aca="true" t="shared" si="9" ref="O27:R27">O23+O21+O17</f>
        <v>1806289.227</v>
      </c>
      <c r="P27" s="199">
        <f t="shared" si="9"/>
        <v>1806289.227</v>
      </c>
      <c r="Q27" s="199"/>
      <c r="R27" s="199">
        <f t="shared" si="9"/>
        <v>2896293.976710001</v>
      </c>
      <c r="S27" s="199">
        <f t="shared" si="7"/>
        <v>18182865.7716</v>
      </c>
      <c r="T27" s="201">
        <f>T17+T21+T23</f>
        <v>19300000</v>
      </c>
      <c r="U27" s="289">
        <f>U17+U21+U23</f>
        <v>1117134.2283999987</v>
      </c>
      <c r="V27" s="69"/>
    </row>
    <row r="28" spans="1:24" ht="15">
      <c r="A28" s="49"/>
      <c r="B28" s="54"/>
      <c r="C28" s="55"/>
      <c r="D28" s="56"/>
      <c r="E28" s="218"/>
      <c r="F28" s="218"/>
      <c r="G28" s="218"/>
      <c r="H28" s="218"/>
      <c r="I28" s="218"/>
      <c r="J28" s="218"/>
      <c r="K28" s="218"/>
      <c r="L28" s="218"/>
      <c r="M28" s="218"/>
      <c r="N28" s="218"/>
      <c r="O28" s="218"/>
      <c r="P28" s="218"/>
      <c r="Q28" s="218"/>
      <c r="R28" s="218"/>
      <c r="S28" s="218"/>
      <c r="T28" s="272"/>
      <c r="U28" s="290"/>
      <c r="V28" s="7"/>
      <c r="W28" s="5"/>
      <c r="X28" s="5"/>
    </row>
    <row r="29" spans="1:24" ht="15">
      <c r="A29" s="49"/>
      <c r="B29" s="45" t="s">
        <v>89</v>
      </c>
      <c r="C29" s="57"/>
      <c r="D29" s="58"/>
      <c r="E29" s="219"/>
      <c r="F29" s="219"/>
      <c r="G29" s="219"/>
      <c r="H29" s="219"/>
      <c r="I29" s="219"/>
      <c r="J29" s="219"/>
      <c r="K29" s="219"/>
      <c r="L29" s="219"/>
      <c r="M29" s="219"/>
      <c r="N29" s="219"/>
      <c r="O29" s="219"/>
      <c r="P29" s="219"/>
      <c r="Q29" s="219"/>
      <c r="R29" s="219"/>
      <c r="S29" s="219"/>
      <c r="T29" s="273"/>
      <c r="U29" s="291"/>
      <c r="V29" s="7"/>
      <c r="W29" s="5"/>
      <c r="X29" s="5"/>
    </row>
    <row r="30" spans="1:24" ht="15" outlineLevel="1">
      <c r="A30" s="49"/>
      <c r="B30" s="50" t="s">
        <v>141</v>
      </c>
      <c r="C30" s="42">
        <f aca="true" t="shared" si="10" ref="C30:S30">SUM(C31:C31)</f>
        <v>47500</v>
      </c>
      <c r="D30" s="42">
        <f t="shared" si="10"/>
        <v>33502.5</v>
      </c>
      <c r="E30" s="221">
        <f t="shared" si="10"/>
        <v>11539.2</v>
      </c>
      <c r="F30" s="221">
        <f t="shared" si="10"/>
        <v>68462.24</v>
      </c>
      <c r="G30" s="221">
        <f t="shared" si="10"/>
        <v>51445.76</v>
      </c>
      <c r="H30" s="221">
        <f t="shared" si="10"/>
        <v>131447.19999639998</v>
      </c>
      <c r="I30" s="221">
        <f t="shared" si="10"/>
        <v>114883.20000360001</v>
      </c>
      <c r="J30" s="221">
        <f t="shared" si="10"/>
        <v>99000</v>
      </c>
      <c r="K30" s="221">
        <f t="shared" si="10"/>
        <v>99000</v>
      </c>
      <c r="L30" s="221">
        <f t="shared" si="10"/>
        <v>124488</v>
      </c>
      <c r="M30" s="221">
        <f t="shared" si="10"/>
        <v>16682.4</v>
      </c>
      <c r="N30" s="221">
        <f t="shared" si="10"/>
        <v>0</v>
      </c>
      <c r="O30" s="221">
        <f t="shared" si="10"/>
        <v>0</v>
      </c>
      <c r="P30" s="221">
        <f t="shared" si="10"/>
        <v>0</v>
      </c>
      <c r="Q30" s="221"/>
      <c r="R30" s="221">
        <f t="shared" si="10"/>
        <v>0</v>
      </c>
      <c r="S30" s="221">
        <f t="shared" si="10"/>
        <v>666503.3</v>
      </c>
      <c r="T30" s="200">
        <f>'QFR - B'!G20</f>
        <v>800000</v>
      </c>
      <c r="U30" s="287">
        <f>T30-S30</f>
        <v>133496.69999999995</v>
      </c>
      <c r="V30" s="245"/>
      <c r="W30" s="5"/>
      <c r="X30" s="5"/>
    </row>
    <row r="31" spans="1:22" s="207" customFormat="1" ht="15" outlineLevel="1">
      <c r="A31" s="206"/>
      <c r="B31" s="202" t="s">
        <v>134</v>
      </c>
      <c r="C31" s="210">
        <v>47500</v>
      </c>
      <c r="D31" s="211">
        <v>33502.5</v>
      </c>
      <c r="E31" s="302">
        <v>11539.2</v>
      </c>
      <c r="F31" s="302">
        <f>10962.24+57500</f>
        <v>68462.24</v>
      </c>
      <c r="G31" s="302">
        <f>12116.16+5997.6+30000+3332</f>
        <v>51445.76</v>
      </c>
      <c r="H31" s="302">
        <f>SUMIF('Contract level'!$A:$A,"="&amp;'DFP-Com'!$A29,'Contract level'!AC:AC)</f>
        <v>131447.19999639998</v>
      </c>
      <c r="I31" s="204">
        <f>SUMIF('Contract level'!$A:$A,"="&amp;'DFP-Com'!$A29,'Contract level'!AD:AD)</f>
        <v>114883.20000360001</v>
      </c>
      <c r="J31" s="204">
        <f>SUMIF('Contract level'!$A:$A,"="&amp;'DFP-Com'!$A29,'Contract level'!AE:AE)</f>
        <v>99000</v>
      </c>
      <c r="K31" s="204">
        <f>SUMIF('Contract level'!$A:$A,"="&amp;'DFP-Com'!$A29,'Contract level'!AF:AF)</f>
        <v>99000</v>
      </c>
      <c r="L31" s="204">
        <f>SUMIF('Contract level'!$A:$A,"="&amp;'DFP-Com'!$A29,'Contract level'!AG:AG)</f>
        <v>124488</v>
      </c>
      <c r="M31" s="204">
        <f>SUMIF('Contract level'!$A:$A,"="&amp;'DFP-Com'!$A29,'Contract level'!AH:AH)</f>
        <v>16682.4</v>
      </c>
      <c r="N31" s="204">
        <f>SUMIF('Contract level'!$A:$A,"="&amp;'DFP-Com'!$A29,'Contract level'!AI:AI)</f>
        <v>0</v>
      </c>
      <c r="O31" s="204">
        <f>SUMIF('Contract level'!$A:$A,"="&amp;'DFP-Com'!$A29,'Contract level'!AJ:AJ)</f>
        <v>0</v>
      </c>
      <c r="P31" s="204">
        <f>SUMIF('Contract level'!$A:$A,"="&amp;'DFP-Com'!$A29,'Contract level'!AK:AK)</f>
        <v>0</v>
      </c>
      <c r="Q31" s="302"/>
      <c r="R31" s="204">
        <f>SUMIF('Contract level'!$A:$A,"="&amp;'DFP-Com'!$A29,'Contract level'!AL:AL)</f>
        <v>0</v>
      </c>
      <c r="S31" s="204">
        <f>SUM(H31:R31)+D31+C31</f>
        <v>666503.3</v>
      </c>
      <c r="T31" s="205"/>
      <c r="U31" s="288"/>
      <c r="V31" s="245"/>
    </row>
    <row r="32" spans="1:24" ht="15" outlineLevel="1">
      <c r="A32" s="49"/>
      <c r="B32" s="50" t="s">
        <v>93</v>
      </c>
      <c r="C32" s="51">
        <f>SUM(C33:C35)</f>
        <v>106650</v>
      </c>
      <c r="D32" s="51">
        <f aca="true" t="shared" si="11" ref="D32:M32">SUM(D33:D35)</f>
        <v>100004.85</v>
      </c>
      <c r="E32" s="198">
        <f t="shared" si="11"/>
        <v>38876.04</v>
      </c>
      <c r="F32" s="198">
        <f t="shared" si="11"/>
        <v>276233.29</v>
      </c>
      <c r="G32" s="198">
        <f t="shared" si="11"/>
        <v>152880.04</v>
      </c>
      <c r="H32" s="198">
        <f t="shared" si="11"/>
        <v>467989.36912340997</v>
      </c>
      <c r="I32" s="198">
        <f t="shared" si="11"/>
        <v>425600.26708858996</v>
      </c>
      <c r="J32" s="198">
        <f t="shared" si="11"/>
        <v>519307.25</v>
      </c>
      <c r="K32" s="198">
        <f t="shared" si="11"/>
        <v>494807.25</v>
      </c>
      <c r="L32" s="198">
        <f t="shared" si="11"/>
        <v>239666.66666666674</v>
      </c>
      <c r="M32" s="198">
        <f t="shared" si="11"/>
        <v>186750</v>
      </c>
      <c r="N32" s="198">
        <f aca="true" t="shared" si="12" ref="N32">SUM(N33:N35)</f>
        <v>61750</v>
      </c>
      <c r="O32" s="198">
        <f aca="true" t="shared" si="13" ref="O32:R32">SUM(O33:O35)</f>
        <v>61750</v>
      </c>
      <c r="P32" s="198">
        <f t="shared" si="13"/>
        <v>20583.333333333332</v>
      </c>
      <c r="Q32" s="198"/>
      <c r="R32" s="198">
        <f t="shared" si="13"/>
        <v>0</v>
      </c>
      <c r="S32" s="198">
        <f>SUM(S33:S35)</f>
        <v>2684858.9862120003</v>
      </c>
      <c r="T32" s="200">
        <f>'QFR - B'!G21</f>
        <v>3600000</v>
      </c>
      <c r="U32" s="287">
        <f>T32-S32</f>
        <v>915141.0137879997</v>
      </c>
      <c r="V32" s="245"/>
      <c r="W32" s="5"/>
      <c r="X32" s="5"/>
    </row>
    <row r="33" spans="1:22" s="207" customFormat="1" ht="15" outlineLevel="1">
      <c r="A33" s="206"/>
      <c r="B33" s="202" t="s">
        <v>135</v>
      </c>
      <c r="C33" s="210">
        <v>101650</v>
      </c>
      <c r="D33" s="211">
        <v>99043.21</v>
      </c>
      <c r="E33" s="302">
        <f>12250+6426.04+20200</f>
        <v>38876.04</v>
      </c>
      <c r="F33" s="302">
        <f>12250+6426.04</f>
        <v>18676.04</v>
      </c>
      <c r="G33" s="302">
        <f>14004+12250+6426.04+20200</f>
        <v>52880.04</v>
      </c>
      <c r="H33" s="302">
        <f>SUMIF('Contract level'!$A:$A,"="&amp;'DFP-Com'!$A31,'Contract level'!AC:AC)</f>
        <v>110432.11912341</v>
      </c>
      <c r="I33" s="204">
        <f>SUMIF('Contract level'!$A:$A,"="&amp;'DFP-Com'!$A31,'Contract level'!AD:AD)</f>
        <v>68043.01708858999</v>
      </c>
      <c r="J33" s="204">
        <f>SUMIF('Contract level'!$A:$A,"="&amp;'DFP-Com'!$A31,'Contract level'!AE:AE)</f>
        <v>36750</v>
      </c>
      <c r="K33" s="204">
        <f>SUMIF('Contract level'!$A:$A,"="&amp;'DFP-Com'!$A31,'Contract level'!AF:AF)</f>
        <v>12249.999999999995</v>
      </c>
      <c r="L33" s="204">
        <f>SUMIF('Contract level'!$A:$A,"="&amp;'DFP-Com'!$A31,'Contract level'!AG:AG)</f>
        <v>114666.66666666674</v>
      </c>
      <c r="M33" s="204">
        <f>SUMIF('Contract level'!$A:$A,"="&amp;'DFP-Com'!$A31,'Contract level'!AH:AH)</f>
        <v>61750</v>
      </c>
      <c r="N33" s="204">
        <f>SUMIF('Contract level'!$A:$A,"="&amp;'DFP-Com'!$A31,'Contract level'!AI:AI)</f>
        <v>61750</v>
      </c>
      <c r="O33" s="204">
        <f>SUMIF('Contract level'!$A:$A,"="&amp;'DFP-Com'!$A31,'Contract level'!AJ:AJ)</f>
        <v>61750</v>
      </c>
      <c r="P33" s="204">
        <f>SUMIF('Contract level'!$A:$A,"="&amp;'DFP-Com'!$A31,'Contract level'!AK:AK)</f>
        <v>20583.333333333332</v>
      </c>
      <c r="Q33" s="302"/>
      <c r="R33" s="204">
        <f>SUMIF('Contract level'!$A:$A,"="&amp;'DFP-Com'!$A31,'Contract level'!AL:AL)</f>
        <v>0</v>
      </c>
      <c r="S33" s="204">
        <f>SUM(H33:R33)+D33+C33</f>
        <v>748668.346212</v>
      </c>
      <c r="T33" s="205"/>
      <c r="U33" s="288"/>
      <c r="V33" s="245"/>
    </row>
    <row r="34" spans="1:22" s="207" customFormat="1" ht="15" outlineLevel="1">
      <c r="A34" s="206"/>
      <c r="B34" s="202" t="s">
        <v>136</v>
      </c>
      <c r="C34" s="210"/>
      <c r="D34" s="211">
        <v>0</v>
      </c>
      <c r="E34" s="302"/>
      <c r="F34" s="302">
        <v>257557.25</v>
      </c>
      <c r="G34" s="302">
        <v>100000</v>
      </c>
      <c r="H34" s="302">
        <f>SUMIF('Contract level'!$A:$A,"="&amp;'DFP-Com'!$A32,'Contract level'!AC:AC)</f>
        <v>357557.25</v>
      </c>
      <c r="I34" s="204">
        <f>SUMIF('Contract level'!$A:$A,"="&amp;'DFP-Com'!$A32,'Contract level'!AD:AD)</f>
        <v>357557.25</v>
      </c>
      <c r="J34" s="204">
        <f>SUMIF('Contract level'!$A:$A,"="&amp;'DFP-Com'!$A32,'Contract level'!AE:AE)</f>
        <v>482557.25</v>
      </c>
      <c r="K34" s="204">
        <f>SUMIF('Contract level'!$A:$A,"="&amp;'DFP-Com'!$A32,'Contract level'!AF:AF)</f>
        <v>482557.25</v>
      </c>
      <c r="L34" s="204">
        <f>SUMIF('Contract level'!$A:$A,"="&amp;'DFP-Com'!$A32,'Contract level'!AG:AG)</f>
        <v>125000</v>
      </c>
      <c r="M34" s="204">
        <f>SUMIF('Contract level'!$A:$A,"="&amp;'DFP-Com'!$A32,'Contract level'!AH:AH)</f>
        <v>125000</v>
      </c>
      <c r="N34" s="204">
        <f>SUMIF('Contract level'!$A:$A,"="&amp;'DFP-Com'!$A32,'Contract level'!AI:AI)</f>
        <v>0</v>
      </c>
      <c r="O34" s="204">
        <f>SUMIF('Contract level'!$A:$A,"="&amp;'DFP-Com'!$A32,'Contract level'!AJ:AJ)</f>
        <v>0</v>
      </c>
      <c r="P34" s="204">
        <f>SUMIF('Contract level'!$A:$A,"="&amp;'DFP-Com'!$A32,'Contract level'!AK:AK)</f>
        <v>0</v>
      </c>
      <c r="Q34" s="302"/>
      <c r="R34" s="204">
        <f>SUMIF('Contract level'!$A:$A,"="&amp;'DFP-Com'!$A32,'Contract level'!AL:AL)</f>
        <v>0</v>
      </c>
      <c r="S34" s="302">
        <f>SUM(H34:R34)+D34+C34</f>
        <v>1930229</v>
      </c>
      <c r="T34" s="205"/>
      <c r="U34" s="288"/>
      <c r="V34" s="245"/>
    </row>
    <row r="35" spans="1:22" s="207" customFormat="1" ht="15" outlineLevel="1">
      <c r="A35" s="206"/>
      <c r="B35" s="202" t="s">
        <v>138</v>
      </c>
      <c r="C35" s="210">
        <v>5000</v>
      </c>
      <c r="D35" s="211">
        <v>961.64</v>
      </c>
      <c r="E35" s="204">
        <v>0</v>
      </c>
      <c r="F35" s="204">
        <v>0</v>
      </c>
      <c r="G35" s="204">
        <v>0</v>
      </c>
      <c r="H35" s="204">
        <f>SUMIF('Contract level'!$A:$A,"="&amp;'DFP-Com'!$A33,'Contract level'!AC:AC)</f>
        <v>0</v>
      </c>
      <c r="I35" s="204">
        <f>SUMIF('Contract level'!$A:$A,"="&amp;'DFP-Com'!$A33,'Contract level'!AD:AD)</f>
        <v>0</v>
      </c>
      <c r="J35" s="204">
        <f>SUMIF('Contract level'!$A:$A,"="&amp;'DFP-Com'!$A33,'Contract level'!AE:AE)</f>
        <v>0</v>
      </c>
      <c r="K35" s="204">
        <f>SUMIF('Contract level'!$A:$A,"="&amp;'DFP-Com'!$A33,'Contract level'!AF:AF)</f>
        <v>0</v>
      </c>
      <c r="L35" s="204">
        <f>SUMIF('Contract level'!$A:$A,"="&amp;'DFP-Com'!$A33,'Contract level'!AG:AG)</f>
        <v>0</v>
      </c>
      <c r="M35" s="204">
        <f>SUMIF('Contract level'!$A:$A,"="&amp;'DFP-Com'!$A33,'Contract level'!AH:AH)</f>
        <v>0</v>
      </c>
      <c r="N35" s="204">
        <f>SUMIF('Contract level'!$A:$A,"="&amp;'DFP-Com'!$A33,'Contract level'!AI:AI)</f>
        <v>0</v>
      </c>
      <c r="O35" s="204">
        <f>SUMIF('Contract level'!$A:$A,"="&amp;'DFP-Com'!$A33,'Contract level'!AJ:AJ)</f>
        <v>0</v>
      </c>
      <c r="P35" s="204">
        <f>SUMIF('Contract level'!$A:$A,"="&amp;'DFP-Com'!$A33,'Contract level'!AK:AK)</f>
        <v>0</v>
      </c>
      <c r="Q35" s="302"/>
      <c r="R35" s="204">
        <f>SUMIF('Contract level'!$A:$A,"="&amp;'DFP-Com'!$A33,'Contract level'!AL:AL)</f>
        <v>0</v>
      </c>
      <c r="S35" s="302">
        <f>SUM(H35:R35)+D35+C35</f>
        <v>5961.64</v>
      </c>
      <c r="T35" s="205"/>
      <c r="U35" s="288"/>
      <c r="V35" s="69"/>
    </row>
    <row r="36" spans="1:24" ht="15">
      <c r="A36" s="49"/>
      <c r="B36" s="59" t="s">
        <v>64</v>
      </c>
      <c r="C36" s="53">
        <f>C32+C30</f>
        <v>154150</v>
      </c>
      <c r="D36" s="53">
        <f aca="true" t="shared" si="14" ref="D36:U36">D32+D30</f>
        <v>133507.35</v>
      </c>
      <c r="E36" s="199">
        <f t="shared" si="14"/>
        <v>50415.240000000005</v>
      </c>
      <c r="F36" s="199">
        <f t="shared" si="14"/>
        <v>344695.52999999997</v>
      </c>
      <c r="G36" s="199">
        <f t="shared" si="14"/>
        <v>204325.80000000002</v>
      </c>
      <c r="H36" s="199">
        <f t="shared" si="14"/>
        <v>599436.5691198099</v>
      </c>
      <c r="I36" s="199">
        <f t="shared" si="14"/>
        <v>540483.4670921899</v>
      </c>
      <c r="J36" s="199">
        <f t="shared" si="14"/>
        <v>618307.25</v>
      </c>
      <c r="K36" s="199">
        <f t="shared" si="14"/>
        <v>593807.25</v>
      </c>
      <c r="L36" s="199">
        <f t="shared" si="14"/>
        <v>364154.66666666674</v>
      </c>
      <c r="M36" s="199">
        <f t="shared" si="14"/>
        <v>203432.4</v>
      </c>
      <c r="N36" s="199">
        <f aca="true" t="shared" si="15" ref="N36">N32+N30</f>
        <v>61750</v>
      </c>
      <c r="O36" s="199">
        <f t="shared" si="14"/>
        <v>61750</v>
      </c>
      <c r="P36" s="199">
        <f t="shared" si="14"/>
        <v>20583.333333333332</v>
      </c>
      <c r="Q36" s="199"/>
      <c r="R36" s="199">
        <f t="shared" si="14"/>
        <v>0</v>
      </c>
      <c r="S36" s="199">
        <f>S32+S30</f>
        <v>3351362.286212</v>
      </c>
      <c r="T36" s="199">
        <f t="shared" si="14"/>
        <v>4400000</v>
      </c>
      <c r="U36" s="293">
        <f t="shared" si="14"/>
        <v>1048637.7137879997</v>
      </c>
      <c r="V36" s="245"/>
      <c r="W36" s="5"/>
      <c r="X36" s="5"/>
    </row>
    <row r="37" spans="1:24" ht="15">
      <c r="A37" s="49"/>
      <c r="B37" s="54"/>
      <c r="C37" s="55"/>
      <c r="D37" s="56"/>
      <c r="E37" s="218"/>
      <c r="F37" s="218"/>
      <c r="G37" s="218"/>
      <c r="H37" s="218"/>
      <c r="I37" s="218"/>
      <c r="J37" s="218"/>
      <c r="K37" s="218"/>
      <c r="L37" s="218"/>
      <c r="M37" s="218"/>
      <c r="N37" s="218"/>
      <c r="O37" s="218"/>
      <c r="P37" s="218"/>
      <c r="Q37" s="218"/>
      <c r="R37" s="218"/>
      <c r="S37" s="218"/>
      <c r="T37" s="272"/>
      <c r="U37" s="290"/>
      <c r="V37" s="7"/>
      <c r="W37" s="5"/>
      <c r="X37" s="5"/>
    </row>
    <row r="38" spans="1:22" s="10" customFormat="1" ht="15">
      <c r="A38" s="60"/>
      <c r="B38" s="45" t="s">
        <v>98</v>
      </c>
      <c r="C38" s="61"/>
      <c r="D38" s="62"/>
      <c r="E38" s="269"/>
      <c r="F38" s="269"/>
      <c r="G38" s="269"/>
      <c r="H38" s="269"/>
      <c r="I38" s="269"/>
      <c r="J38" s="269"/>
      <c r="K38" s="269"/>
      <c r="L38" s="269"/>
      <c r="M38" s="269"/>
      <c r="N38" s="269"/>
      <c r="O38" s="269"/>
      <c r="P38" s="269"/>
      <c r="Q38" s="269"/>
      <c r="R38" s="269"/>
      <c r="S38" s="219"/>
      <c r="T38" s="273"/>
      <c r="U38" s="291"/>
      <c r="V38" s="7"/>
    </row>
    <row r="39" spans="1:22" s="10" customFormat="1" ht="15" outlineLevel="1">
      <c r="A39" s="60"/>
      <c r="B39" s="65" t="s">
        <v>99</v>
      </c>
      <c r="C39" s="51">
        <f>SUM(C40:C42)</f>
        <v>10000</v>
      </c>
      <c r="D39" s="51">
        <f aca="true" t="shared" si="16" ref="D39:M39">SUM(D40:D42)</f>
        <v>41250</v>
      </c>
      <c r="E39" s="198">
        <f t="shared" si="16"/>
        <v>2000</v>
      </c>
      <c r="F39" s="198">
        <f t="shared" si="16"/>
        <v>16250</v>
      </c>
      <c r="G39" s="198">
        <f t="shared" si="16"/>
        <v>17000</v>
      </c>
      <c r="H39" s="198">
        <f t="shared" si="16"/>
        <v>35250</v>
      </c>
      <c r="I39" s="198">
        <f t="shared" si="16"/>
        <v>161000</v>
      </c>
      <c r="J39" s="198">
        <f t="shared" si="16"/>
        <v>10999.999999999996</v>
      </c>
      <c r="K39" s="198">
        <f t="shared" si="16"/>
        <v>10999.999999999996</v>
      </c>
      <c r="L39" s="198">
        <f t="shared" si="16"/>
        <v>10999.999999999996</v>
      </c>
      <c r="M39" s="198">
        <f t="shared" si="16"/>
        <v>5999.999999999997</v>
      </c>
      <c r="N39" s="198">
        <f aca="true" t="shared" si="17" ref="N39">SUM(N40:N42)</f>
        <v>51000</v>
      </c>
      <c r="O39" s="198">
        <f aca="true" t="shared" si="18" ref="O39:R39">SUM(O40:O42)</f>
        <v>51000</v>
      </c>
      <c r="P39" s="198">
        <f t="shared" si="18"/>
        <v>51000</v>
      </c>
      <c r="Q39" s="198"/>
      <c r="R39" s="198">
        <f t="shared" si="18"/>
        <v>251000</v>
      </c>
      <c r="S39" s="221">
        <f>SUM(S40:S42)</f>
        <v>690500</v>
      </c>
      <c r="T39" s="200">
        <f>'QFR - B'!G24</f>
        <v>1700000</v>
      </c>
      <c r="U39" s="287">
        <f>T39-S39</f>
        <v>1009500</v>
      </c>
      <c r="V39" s="7"/>
    </row>
    <row r="40" spans="1:22" s="214" customFormat="1" ht="15" outlineLevel="1">
      <c r="A40" s="212"/>
      <c r="B40" s="213" t="s">
        <v>125</v>
      </c>
      <c r="C40" s="210">
        <v>10000</v>
      </c>
      <c r="D40" s="210">
        <f>26250+15000</f>
        <v>41250</v>
      </c>
      <c r="E40" s="301">
        <v>2000</v>
      </c>
      <c r="F40" s="302">
        <f>4050+10200+2000</f>
        <v>16250</v>
      </c>
      <c r="G40" s="302">
        <f>15000+2000</f>
        <v>17000</v>
      </c>
      <c r="H40" s="302">
        <f>SUMIF('Contract level'!$A:$A,"="&amp;'DFP-Com'!$A38,'Contract level'!AC:AC)</f>
        <v>35250</v>
      </c>
      <c r="I40" s="204">
        <f>SUMIF('Contract level'!$A:$A,"="&amp;'DFP-Com'!$A38,'Contract level'!AD:AD)</f>
        <v>161000</v>
      </c>
      <c r="J40" s="204">
        <f>SUMIF('Contract level'!$A:$A,"="&amp;'DFP-Com'!$A38,'Contract level'!AE:AE)</f>
        <v>10999.999999999996</v>
      </c>
      <c r="K40" s="204">
        <f>SUMIF('Contract level'!$A:$A,"="&amp;'DFP-Com'!$A38,'Contract level'!AF:AF)</f>
        <v>10999.999999999996</v>
      </c>
      <c r="L40" s="204">
        <f>SUMIF('Contract level'!$A:$A,"="&amp;'DFP-Com'!$A38,'Contract level'!AG:AG)</f>
        <v>10999.999999999996</v>
      </c>
      <c r="M40" s="204">
        <f>SUMIF('Contract level'!$A:$A,"="&amp;'DFP-Com'!$A38,'Contract level'!AH:AH)</f>
        <v>5999.999999999997</v>
      </c>
      <c r="N40" s="204">
        <f>SUMIF('Contract level'!$A:$A,"="&amp;'DFP-Com'!$A38,'Contract level'!AI:AI)</f>
        <v>5999.999999999997</v>
      </c>
      <c r="O40" s="204">
        <f>SUMIF('Contract level'!$A:$A,"="&amp;'DFP-Com'!$A38,'Contract level'!AJ:AJ)</f>
        <v>5999.999999999997</v>
      </c>
      <c r="P40" s="204">
        <f>SUMIF('Contract level'!$A:$A,"="&amp;'DFP-Com'!$A38,'Contract level'!AK:AK)</f>
        <v>5999.999999999997</v>
      </c>
      <c r="Q40" s="302"/>
      <c r="R40" s="204">
        <f>SUMIF('Contract level'!$A:$A,"="&amp;'DFP-Com'!$A38,'Contract level'!AL:AL)</f>
        <v>206000</v>
      </c>
      <c r="S40" s="204">
        <f>SUM(H40:R40)+D40+C40</f>
        <v>510500</v>
      </c>
      <c r="T40" s="274"/>
      <c r="U40" s="292"/>
      <c r="V40" s="69"/>
    </row>
    <row r="41" spans="1:22" s="214" customFormat="1" ht="15" outlineLevel="1">
      <c r="A41" s="212"/>
      <c r="B41" s="213" t="s">
        <v>126</v>
      </c>
      <c r="C41" s="210"/>
      <c r="D41" s="210"/>
      <c r="E41" s="203"/>
      <c r="F41" s="203"/>
      <c r="G41" s="203"/>
      <c r="H41" s="204">
        <f>SUMIF('Contract level'!$A:$A,"="&amp;'DFP-Com'!$A39,'Contract level'!AC:AC)</f>
        <v>0</v>
      </c>
      <c r="I41" s="204">
        <f>SUMIF('Contract level'!$A:$A,"="&amp;'DFP-Com'!$A39,'Contract level'!AD:AD)</f>
        <v>0</v>
      </c>
      <c r="J41" s="204">
        <f>SUMIF('Contract level'!$A:$A,"="&amp;'DFP-Com'!$A39,'Contract level'!AE:AE)</f>
        <v>0</v>
      </c>
      <c r="K41" s="204">
        <f>SUMIF('Contract level'!$A:$A,"="&amp;'DFP-Com'!$A39,'Contract level'!AF:AF)</f>
        <v>0</v>
      </c>
      <c r="L41" s="204">
        <f>SUMIF('Contract level'!$A:$A,"="&amp;'DFP-Com'!$A39,'Contract level'!AG:AG)</f>
        <v>0</v>
      </c>
      <c r="M41" s="204">
        <f>SUMIF('Contract level'!$A:$A,"="&amp;'DFP-Com'!$A39,'Contract level'!AH:AH)</f>
        <v>0</v>
      </c>
      <c r="N41" s="204">
        <f>SUMIF('Contract level'!$A:$A,"="&amp;'DFP-Com'!$A39,'Contract level'!AI:AI)</f>
        <v>0</v>
      </c>
      <c r="O41" s="204">
        <f>SUMIF('Contract level'!$A:$A,"="&amp;'DFP-Com'!$A39,'Contract level'!AJ:AJ)</f>
        <v>0</v>
      </c>
      <c r="P41" s="204">
        <f>SUMIF('Contract level'!$A:$A,"="&amp;'DFP-Com'!$A39,'Contract level'!AK:AK)</f>
        <v>0</v>
      </c>
      <c r="Q41" s="302"/>
      <c r="R41" s="204">
        <f>SUMIF('Contract level'!$A:$A,"="&amp;'DFP-Com'!$A39,'Contract level'!AL:AL)</f>
        <v>0</v>
      </c>
      <c r="S41" s="302">
        <f>SUM(H41:R41)+D41+C41</f>
        <v>0</v>
      </c>
      <c r="T41" s="274"/>
      <c r="U41" s="292"/>
      <c r="V41" s="69"/>
    </row>
    <row r="42" spans="1:22" s="214" customFormat="1" ht="15" outlineLevel="1">
      <c r="A42" s="212"/>
      <c r="B42" s="213" t="s">
        <v>127</v>
      </c>
      <c r="C42" s="210"/>
      <c r="D42" s="210"/>
      <c r="E42" s="203"/>
      <c r="F42" s="203"/>
      <c r="G42" s="203"/>
      <c r="H42" s="204">
        <f>SUMIF('Contract level'!$A:$A,"="&amp;'DFP-Com'!$A40,'Contract level'!AC:AC)</f>
        <v>0</v>
      </c>
      <c r="I42" s="204">
        <f>SUMIF('Contract level'!$A:$A,"="&amp;'DFP-Com'!$A40,'Contract level'!AD:AD)</f>
        <v>0</v>
      </c>
      <c r="J42" s="204">
        <f>SUMIF('Contract level'!$A:$A,"="&amp;'DFP-Com'!$A40,'Contract level'!AE:AE)</f>
        <v>0</v>
      </c>
      <c r="K42" s="204">
        <f>SUMIF('Contract level'!$A:$A,"="&amp;'DFP-Com'!$A40,'Contract level'!AF:AF)</f>
        <v>0</v>
      </c>
      <c r="L42" s="204">
        <f>SUMIF('Contract level'!$A:$A,"="&amp;'DFP-Com'!$A40,'Contract level'!AG:AG)</f>
        <v>0</v>
      </c>
      <c r="M42" s="204">
        <f>SUMIF('Contract level'!$A:$A,"="&amp;'DFP-Com'!$A40,'Contract level'!AH:AH)</f>
        <v>0</v>
      </c>
      <c r="N42" s="204">
        <f>SUMIF('Contract level'!$A:$A,"="&amp;'DFP-Com'!$A40,'Contract level'!AI:AI)</f>
        <v>45000</v>
      </c>
      <c r="O42" s="204">
        <f>SUMIF('Contract level'!$A:$A,"="&amp;'DFP-Com'!$A40,'Contract level'!AJ:AJ)</f>
        <v>45000</v>
      </c>
      <c r="P42" s="204">
        <f>SUMIF('Contract level'!$A:$A,"="&amp;'DFP-Com'!$A40,'Contract level'!AK:AK)</f>
        <v>45000</v>
      </c>
      <c r="Q42" s="302"/>
      <c r="R42" s="204">
        <f>SUMIF('Contract level'!$A:$A,"="&amp;'DFP-Com'!$A40,'Contract level'!AL:AL)</f>
        <v>45000</v>
      </c>
      <c r="S42" s="302">
        <f>SUM(H42:R42)+D42+C42</f>
        <v>180000</v>
      </c>
      <c r="T42" s="274"/>
      <c r="U42" s="292"/>
      <c r="V42" s="69"/>
    </row>
    <row r="43" spans="1:22" s="214" customFormat="1" ht="15" outlineLevel="1">
      <c r="A43" s="212"/>
      <c r="B43" s="213" t="s">
        <v>137</v>
      </c>
      <c r="C43" s="210"/>
      <c r="D43" s="210"/>
      <c r="E43" s="203"/>
      <c r="F43" s="203"/>
      <c r="G43" s="203"/>
      <c r="H43" s="204">
        <f>SUMIF('Contract level'!$A:$A,"="&amp;'DFP-Com'!$A41,'Contract level'!AC:AC)</f>
        <v>0</v>
      </c>
      <c r="I43" s="204">
        <f>SUMIF('Contract level'!$A:$A,"="&amp;'DFP-Com'!$A41,'Contract level'!AD:AD)</f>
        <v>0</v>
      </c>
      <c r="J43" s="204">
        <f>SUMIF('Contract level'!$A:$A,"="&amp;'DFP-Com'!$A41,'Contract level'!AE:AE)</f>
        <v>0</v>
      </c>
      <c r="K43" s="204">
        <f>SUMIF('Contract level'!$A:$A,"="&amp;'DFP-Com'!$A41,'Contract level'!AF:AF)</f>
        <v>0</v>
      </c>
      <c r="L43" s="204">
        <f>SUMIF('Contract level'!$A:$A,"="&amp;'DFP-Com'!$A41,'Contract level'!AG:AG)</f>
        <v>0</v>
      </c>
      <c r="M43" s="204">
        <f>SUMIF('Contract level'!$A:$A,"="&amp;'DFP-Com'!$A41,'Contract level'!AH:AH)</f>
        <v>0</v>
      </c>
      <c r="N43" s="204">
        <f>SUMIF('Contract level'!$A:$A,"="&amp;'DFP-Com'!$A41,'Contract level'!AI:AI)</f>
        <v>250</v>
      </c>
      <c r="O43" s="204">
        <f>SUMIF('Contract level'!$A:$A,"="&amp;'DFP-Com'!$A41,'Contract level'!AJ:AJ)</f>
        <v>250</v>
      </c>
      <c r="P43" s="204">
        <f>SUMIF('Contract level'!$A:$A,"="&amp;'DFP-Com'!$A41,'Contract level'!AK:AK)</f>
        <v>250</v>
      </c>
      <c r="Q43" s="302"/>
      <c r="R43" s="204">
        <f>SUMIF('Contract level'!$A:$A,"="&amp;'DFP-Com'!$A41,'Contract level'!AL:AL)</f>
        <v>250</v>
      </c>
      <c r="S43" s="302">
        <f>SUM(H43:R43)+D43+C43</f>
        <v>1000</v>
      </c>
      <c r="T43" s="274"/>
      <c r="U43" s="292"/>
      <c r="V43" s="69"/>
    </row>
    <row r="44" spans="1:24" ht="15">
      <c r="A44" s="49"/>
      <c r="B44" s="59" t="s">
        <v>17</v>
      </c>
      <c r="C44" s="53">
        <f>C39</f>
        <v>10000</v>
      </c>
      <c r="D44" s="53">
        <f aca="true" t="shared" si="19" ref="D44:U44">D39</f>
        <v>41250</v>
      </c>
      <c r="E44" s="199">
        <f t="shared" si="19"/>
        <v>2000</v>
      </c>
      <c r="F44" s="199">
        <f t="shared" si="19"/>
        <v>16250</v>
      </c>
      <c r="G44" s="199">
        <f t="shared" si="19"/>
        <v>17000</v>
      </c>
      <c r="H44" s="199">
        <f t="shared" si="19"/>
        <v>35250</v>
      </c>
      <c r="I44" s="199">
        <f t="shared" si="19"/>
        <v>161000</v>
      </c>
      <c r="J44" s="199">
        <f t="shared" si="19"/>
        <v>10999.999999999996</v>
      </c>
      <c r="K44" s="199">
        <f t="shared" si="19"/>
        <v>10999.999999999996</v>
      </c>
      <c r="L44" s="199">
        <f t="shared" si="19"/>
        <v>10999.999999999996</v>
      </c>
      <c r="M44" s="199">
        <f t="shared" si="19"/>
        <v>5999.999999999997</v>
      </c>
      <c r="N44" s="199">
        <f aca="true" t="shared" si="20" ref="N44">N39</f>
        <v>51000</v>
      </c>
      <c r="O44" s="199">
        <f aca="true" t="shared" si="21" ref="O44:R44">O39</f>
        <v>51000</v>
      </c>
      <c r="P44" s="199">
        <f t="shared" si="21"/>
        <v>51000</v>
      </c>
      <c r="Q44" s="199"/>
      <c r="R44" s="199">
        <f t="shared" si="21"/>
        <v>251000</v>
      </c>
      <c r="S44" s="199">
        <f t="shared" si="19"/>
        <v>690500</v>
      </c>
      <c r="T44" s="275">
        <f t="shared" si="19"/>
        <v>1700000</v>
      </c>
      <c r="U44" s="293">
        <f t="shared" si="19"/>
        <v>1009500</v>
      </c>
      <c r="V44" s="7"/>
      <c r="W44" s="5"/>
      <c r="X44" s="5"/>
    </row>
    <row r="45" spans="1:24" ht="15">
      <c r="A45" s="49"/>
      <c r="B45" s="54"/>
      <c r="C45" s="55"/>
      <c r="D45" s="56"/>
      <c r="E45" s="218"/>
      <c r="F45" s="218"/>
      <c r="G45" s="218"/>
      <c r="H45" s="218"/>
      <c r="I45" s="218"/>
      <c r="J45" s="218"/>
      <c r="K45" s="218"/>
      <c r="L45" s="218"/>
      <c r="M45" s="218"/>
      <c r="N45" s="218"/>
      <c r="O45" s="218"/>
      <c r="P45" s="218"/>
      <c r="Q45" s="218"/>
      <c r="R45" s="218"/>
      <c r="S45" s="218"/>
      <c r="T45" s="272"/>
      <c r="U45" s="290"/>
      <c r="V45" s="7"/>
      <c r="W45" s="5"/>
      <c r="X45" s="5"/>
    </row>
    <row r="46" spans="1:22" s="10" customFormat="1" ht="15">
      <c r="A46" s="60"/>
      <c r="B46" s="45" t="s">
        <v>91</v>
      </c>
      <c r="C46" s="61"/>
      <c r="D46" s="62"/>
      <c r="E46" s="269"/>
      <c r="F46" s="269"/>
      <c r="G46" s="269"/>
      <c r="H46" s="269"/>
      <c r="I46" s="269"/>
      <c r="J46" s="269"/>
      <c r="K46" s="269"/>
      <c r="L46" s="269"/>
      <c r="M46" s="269"/>
      <c r="N46" s="269"/>
      <c r="O46" s="269"/>
      <c r="P46" s="269"/>
      <c r="Q46" s="269"/>
      <c r="R46" s="269"/>
      <c r="S46" s="219"/>
      <c r="T46" s="273"/>
      <c r="U46" s="291"/>
      <c r="V46" s="7"/>
    </row>
    <row r="47" spans="1:24" ht="15" outlineLevel="1">
      <c r="A47" s="49"/>
      <c r="B47" s="66" t="s">
        <v>101</v>
      </c>
      <c r="C47" s="51">
        <f aca="true" t="shared" si="22" ref="C47:M47">SUM(C48:C51)</f>
        <v>118065.29999999999</v>
      </c>
      <c r="D47" s="51">
        <f t="shared" si="22"/>
        <v>38800.8</v>
      </c>
      <c r="E47" s="198">
        <f t="shared" si="22"/>
        <v>15574.8</v>
      </c>
      <c r="F47" s="198">
        <f t="shared" si="22"/>
        <v>19574.8</v>
      </c>
      <c r="G47" s="198">
        <f t="shared" si="22"/>
        <v>41933.8</v>
      </c>
      <c r="H47" s="198">
        <f t="shared" si="22"/>
        <v>77083.4</v>
      </c>
      <c r="I47" s="198">
        <f t="shared" si="22"/>
        <v>44197.6</v>
      </c>
      <c r="J47" s="198">
        <f t="shared" si="22"/>
        <v>51808</v>
      </c>
      <c r="K47" s="198">
        <f t="shared" si="22"/>
        <v>36808</v>
      </c>
      <c r="L47" s="198">
        <f t="shared" si="22"/>
        <v>36808</v>
      </c>
      <c r="M47" s="198">
        <f t="shared" si="22"/>
        <v>51808</v>
      </c>
      <c r="N47" s="198">
        <f aca="true" t="shared" si="23" ref="N47">SUM(N48:N51)</f>
        <v>51808</v>
      </c>
      <c r="O47" s="198">
        <f aca="true" t="shared" si="24" ref="O47:R47">SUM(O48:O51)</f>
        <v>36808</v>
      </c>
      <c r="P47" s="198">
        <f t="shared" si="24"/>
        <v>36808</v>
      </c>
      <c r="Q47" s="198"/>
      <c r="R47" s="198">
        <f t="shared" si="24"/>
        <v>71169</v>
      </c>
      <c r="S47" s="221">
        <f>C47+D47+SUM(H47:R47)</f>
        <v>651972.1</v>
      </c>
      <c r="T47" s="200">
        <f>'QFR - B'!G27</f>
        <v>800000</v>
      </c>
      <c r="U47" s="287">
        <f>T47-S47</f>
        <v>148027.90000000002</v>
      </c>
      <c r="V47" s="7"/>
      <c r="W47" s="5"/>
      <c r="X47" s="5"/>
    </row>
    <row r="48" spans="1:22" s="207" customFormat="1" ht="12.75" customHeight="1" outlineLevel="1">
      <c r="A48" s="206"/>
      <c r="B48" s="217" t="s">
        <v>147</v>
      </c>
      <c r="C48" s="210">
        <v>101328.23</v>
      </c>
      <c r="D48" s="210">
        <v>34400.8</v>
      </c>
      <c r="E48" s="301">
        <v>14394.8</v>
      </c>
      <c r="F48" s="301">
        <v>14394.8</v>
      </c>
      <c r="G48" s="301">
        <v>14394.8</v>
      </c>
      <c r="H48" s="302">
        <f>SUMIF('Contract level'!$A:$A,"="&amp;'DFP-Com'!$A46,'Contract level'!AC:AC)</f>
        <v>43184.4</v>
      </c>
      <c r="I48" s="204">
        <f>SUMIF('Contract level'!$A:$A,"="&amp;'DFP-Com'!$A46,'Contract level'!AD:AD)</f>
        <v>40297.6</v>
      </c>
      <c r="J48" s="204">
        <f>SUMIF('Contract level'!$A:$A,"="&amp;'DFP-Com'!$A46,'Contract level'!AE:AE)</f>
        <v>32908</v>
      </c>
      <c r="K48" s="204">
        <f>SUMIF('Contract level'!$A:$A,"="&amp;'DFP-Com'!$A46,'Contract level'!AF:AF)</f>
        <v>32908</v>
      </c>
      <c r="L48" s="204">
        <f>SUMIF('Contract level'!$A:$A,"="&amp;'DFP-Com'!$A46,'Contract level'!AG:AG)</f>
        <v>32908</v>
      </c>
      <c r="M48" s="204">
        <f>SUMIF('Contract level'!$A:$A,"="&amp;'DFP-Com'!$A46,'Contract level'!AH:AH)</f>
        <v>32908</v>
      </c>
      <c r="N48" s="204">
        <f>SUMIF('Contract level'!$A:$A,"="&amp;'DFP-Com'!$A46,'Contract level'!AI:AI)</f>
        <v>32908</v>
      </c>
      <c r="O48" s="204">
        <f>SUMIF('Contract level'!$A:$A,"="&amp;'DFP-Com'!$A46,'Contract level'!AJ:AJ)</f>
        <v>32908</v>
      </c>
      <c r="P48" s="204">
        <f>SUMIF('Contract level'!$A:$A,"="&amp;'DFP-Com'!$A46,'Contract level'!AK:AK)</f>
        <v>32908</v>
      </c>
      <c r="Q48" s="302"/>
      <c r="R48" s="204">
        <f>SUMIF('Contract level'!$A:$A,"="&amp;'DFP-Com'!$A46,'Contract level'!AL:AL)</f>
        <v>32356</v>
      </c>
      <c r="S48" s="204">
        <f>SUM(H48:R48)+D48+C48</f>
        <v>481923.02999999997</v>
      </c>
      <c r="T48" s="274"/>
      <c r="U48" s="288"/>
      <c r="V48" s="69"/>
    </row>
    <row r="49" spans="1:22" s="207" customFormat="1" ht="15" outlineLevel="1">
      <c r="A49" s="206"/>
      <c r="B49" s="217" t="s">
        <v>148</v>
      </c>
      <c r="C49" s="210">
        <v>3518.51</v>
      </c>
      <c r="D49" s="210">
        <v>3000</v>
      </c>
      <c r="E49" s="301">
        <v>1000</v>
      </c>
      <c r="F49" s="301">
        <v>5000</v>
      </c>
      <c r="G49" s="301">
        <v>1500</v>
      </c>
      <c r="H49" s="302">
        <f>SUMIF('Contract level'!$A:$A,"="&amp;'DFP-Com'!$A47,'Contract level'!AC:AC)</f>
        <v>7500</v>
      </c>
      <c r="I49" s="204">
        <f>SUMIF('Contract level'!$A:$A,"="&amp;'DFP-Com'!$A47,'Contract level'!AD:AD)</f>
        <v>2500</v>
      </c>
      <c r="J49" s="204">
        <f>SUMIF('Contract level'!$A:$A,"="&amp;'DFP-Com'!$A47,'Contract level'!AE:AE)</f>
        <v>2500</v>
      </c>
      <c r="K49" s="204">
        <f>SUMIF('Contract level'!$A:$A,"="&amp;'DFP-Com'!$A47,'Contract level'!AF:AF)</f>
        <v>2500</v>
      </c>
      <c r="L49" s="204">
        <f>SUMIF('Contract level'!$A:$A,"="&amp;'DFP-Com'!$A47,'Contract level'!AG:AG)</f>
        <v>2500</v>
      </c>
      <c r="M49" s="204">
        <f>SUMIF('Contract level'!$A:$A,"="&amp;'DFP-Com'!$A47,'Contract level'!AH:AH)</f>
        <v>2500</v>
      </c>
      <c r="N49" s="204">
        <f>SUMIF('Contract level'!$A:$A,"="&amp;'DFP-Com'!$A47,'Contract level'!AI:AI)</f>
        <v>2500</v>
      </c>
      <c r="O49" s="204">
        <f>SUMIF('Contract level'!$A:$A,"="&amp;'DFP-Com'!$A47,'Contract level'!AJ:AJ)</f>
        <v>2500</v>
      </c>
      <c r="P49" s="204">
        <f>SUMIF('Contract level'!$A:$A,"="&amp;'DFP-Com'!$A47,'Contract level'!AK:AK)</f>
        <v>2500</v>
      </c>
      <c r="Q49" s="302"/>
      <c r="R49" s="204">
        <f>SUMIF('Contract level'!$A:$A,"="&amp;'DFP-Com'!$A47,'Contract level'!AL:AL)</f>
        <v>7481</v>
      </c>
      <c r="S49" s="302">
        <f>SUM(H49:R49)+D49+C49</f>
        <v>41499.51</v>
      </c>
      <c r="T49" s="274"/>
      <c r="U49" s="292"/>
      <c r="V49" s="69"/>
    </row>
    <row r="50" spans="1:22" s="207" customFormat="1" ht="15" outlineLevel="1">
      <c r="A50" s="206"/>
      <c r="B50" s="217" t="s">
        <v>149</v>
      </c>
      <c r="C50" s="210"/>
      <c r="D50" s="210">
        <v>0</v>
      </c>
      <c r="E50" s="301"/>
      <c r="F50" s="301"/>
      <c r="G50" s="301">
        <v>15000</v>
      </c>
      <c r="H50" s="302">
        <f>SUMIF('Contract level'!$A:$A,"="&amp;'DFP-Com'!$A48,'Contract level'!AC:AC)</f>
        <v>15000</v>
      </c>
      <c r="I50" s="204">
        <f>SUMIF('Contract level'!$A:$A,"="&amp;'DFP-Com'!$A48,'Contract level'!AD:AD)</f>
        <v>0</v>
      </c>
      <c r="J50" s="204">
        <f>SUMIF('Contract level'!$A:$A,"="&amp;'DFP-Com'!$A48,'Contract level'!AE:AE)</f>
        <v>15000</v>
      </c>
      <c r="K50" s="204">
        <f>SUMIF('Contract level'!$A:$A,"="&amp;'DFP-Com'!$A48,'Contract level'!AF:AF)</f>
        <v>0</v>
      </c>
      <c r="L50" s="204">
        <f>SUMIF('Contract level'!$A:$A,"="&amp;'DFP-Com'!$A48,'Contract level'!AG:AG)</f>
        <v>0</v>
      </c>
      <c r="M50" s="204">
        <f>SUMIF('Contract level'!$A:$A,"="&amp;'DFP-Com'!$A48,'Contract level'!AH:AH)</f>
        <v>15000</v>
      </c>
      <c r="N50" s="204">
        <f>SUMIF('Contract level'!$A:$A,"="&amp;'DFP-Com'!$A48,'Contract level'!AI:AI)</f>
        <v>15000</v>
      </c>
      <c r="O50" s="204">
        <f>SUMIF('Contract level'!$A:$A,"="&amp;'DFP-Com'!$A48,'Contract level'!AJ:AJ)</f>
        <v>0</v>
      </c>
      <c r="P50" s="204">
        <f>SUMIF('Contract level'!$A:$A,"="&amp;'DFP-Com'!$A48,'Contract level'!AK:AK)</f>
        <v>0</v>
      </c>
      <c r="Q50" s="302"/>
      <c r="R50" s="204">
        <f>SUMIF('Contract level'!$A:$A,"="&amp;'DFP-Com'!$A48,'Contract level'!AL:AL)</f>
        <v>30000</v>
      </c>
      <c r="S50" s="302">
        <f>SUM(H50:R50)+D50+C50</f>
        <v>90000</v>
      </c>
      <c r="T50" s="274"/>
      <c r="U50" s="292"/>
      <c r="V50" s="69"/>
    </row>
    <row r="51" spans="1:22" s="207" customFormat="1" ht="15" outlineLevel="1">
      <c r="A51" s="206"/>
      <c r="B51" s="217" t="s">
        <v>150</v>
      </c>
      <c r="C51" s="210">
        <v>13218.56</v>
      </c>
      <c r="D51" s="210">
        <v>1400</v>
      </c>
      <c r="E51" s="301">
        <v>180</v>
      </c>
      <c r="F51" s="301">
        <v>180</v>
      </c>
      <c r="G51" s="301">
        <v>11039</v>
      </c>
      <c r="H51" s="302">
        <f>SUMIF('Contract level'!$A:$A,"="&amp;'DFP-Com'!$A49,'Contract level'!AC:AC)</f>
        <v>11399</v>
      </c>
      <c r="I51" s="204">
        <f>SUMIF('Contract level'!$A:$A,"="&amp;'DFP-Com'!$A49,'Contract level'!AD:AD)</f>
        <v>1400</v>
      </c>
      <c r="J51" s="204">
        <f>SUMIF('Contract level'!$A:$A,"="&amp;'DFP-Com'!$A49,'Contract level'!AE:AE)</f>
        <v>1400</v>
      </c>
      <c r="K51" s="204">
        <f>SUMIF('Contract level'!$A:$A,"="&amp;'DFP-Com'!$A49,'Contract level'!AF:AF)</f>
        <v>1400</v>
      </c>
      <c r="L51" s="204">
        <f>SUMIF('Contract level'!$A:$A,"="&amp;'DFP-Com'!$A49,'Contract level'!AG:AG)</f>
        <v>1400</v>
      </c>
      <c r="M51" s="204">
        <f>SUMIF('Contract level'!$A:$A,"="&amp;'DFP-Com'!$A49,'Contract level'!AH:AH)</f>
        <v>1400</v>
      </c>
      <c r="N51" s="204">
        <f>SUMIF('Contract level'!$A:$A,"="&amp;'DFP-Com'!$A49,'Contract level'!AI:AI)</f>
        <v>1400</v>
      </c>
      <c r="O51" s="204">
        <f>SUMIF('Contract level'!$A:$A,"="&amp;'DFP-Com'!$A49,'Contract level'!AJ:AJ)</f>
        <v>1400</v>
      </c>
      <c r="P51" s="204">
        <f>SUMIF('Contract level'!$A:$A,"="&amp;'DFP-Com'!$A49,'Contract level'!AK:AK)</f>
        <v>1400</v>
      </c>
      <c r="Q51" s="302"/>
      <c r="R51" s="204">
        <f>SUMIF('Contract level'!$A:$A,"="&amp;'DFP-Com'!$A49,'Contract level'!AL:AL)</f>
        <v>1332</v>
      </c>
      <c r="S51" s="302">
        <f>SUM(H51:R51)+D51+C51</f>
        <v>38549.56</v>
      </c>
      <c r="T51" s="274"/>
      <c r="U51" s="292"/>
      <c r="V51" s="69"/>
    </row>
    <row r="52" spans="2:22" s="10" customFormat="1" ht="15">
      <c r="B52" s="67" t="s">
        <v>100</v>
      </c>
      <c r="C52" s="53">
        <f aca="true" t="shared" si="25" ref="C52:U52">C47</f>
        <v>118065.29999999999</v>
      </c>
      <c r="D52" s="53">
        <f t="shared" si="25"/>
        <v>38800.8</v>
      </c>
      <c r="E52" s="199">
        <f t="shared" si="25"/>
        <v>15574.8</v>
      </c>
      <c r="F52" s="199">
        <f t="shared" si="25"/>
        <v>19574.8</v>
      </c>
      <c r="G52" s="199">
        <f t="shared" si="25"/>
        <v>41933.8</v>
      </c>
      <c r="H52" s="199">
        <f t="shared" si="25"/>
        <v>77083.4</v>
      </c>
      <c r="I52" s="199">
        <f t="shared" si="25"/>
        <v>44197.6</v>
      </c>
      <c r="J52" s="199">
        <f t="shared" si="25"/>
        <v>51808</v>
      </c>
      <c r="K52" s="199">
        <f t="shared" si="25"/>
        <v>36808</v>
      </c>
      <c r="L52" s="199">
        <f t="shared" si="25"/>
        <v>36808</v>
      </c>
      <c r="M52" s="199">
        <f t="shared" si="25"/>
        <v>51808</v>
      </c>
      <c r="N52" s="199">
        <f aca="true" t="shared" si="26" ref="N52">N47</f>
        <v>51808</v>
      </c>
      <c r="O52" s="199">
        <f aca="true" t="shared" si="27" ref="O52:R52">O47</f>
        <v>36808</v>
      </c>
      <c r="P52" s="199">
        <f t="shared" si="27"/>
        <v>36808</v>
      </c>
      <c r="Q52" s="199"/>
      <c r="R52" s="199">
        <f t="shared" si="27"/>
        <v>71169</v>
      </c>
      <c r="S52" s="199">
        <f t="shared" si="25"/>
        <v>651972.1</v>
      </c>
      <c r="T52" s="275">
        <f t="shared" si="25"/>
        <v>800000</v>
      </c>
      <c r="U52" s="293">
        <f t="shared" si="25"/>
        <v>148027.90000000002</v>
      </c>
      <c r="V52" s="245"/>
    </row>
    <row r="53" spans="1:24" ht="15">
      <c r="A53" s="5"/>
      <c r="B53" s="54"/>
      <c r="C53" s="55"/>
      <c r="D53" s="56"/>
      <c r="E53" s="218"/>
      <c r="F53" s="218"/>
      <c r="G53" s="218"/>
      <c r="H53" s="218"/>
      <c r="I53" s="218"/>
      <c r="J53" s="218"/>
      <c r="K53" s="218"/>
      <c r="L53" s="218"/>
      <c r="M53" s="218"/>
      <c r="N53" s="218"/>
      <c r="O53" s="218"/>
      <c r="P53" s="218"/>
      <c r="Q53" s="218"/>
      <c r="R53" s="218"/>
      <c r="S53" s="220"/>
      <c r="T53" s="272"/>
      <c r="U53" s="294"/>
      <c r="V53" s="7"/>
      <c r="W53" s="5"/>
      <c r="X53" s="5"/>
    </row>
    <row r="54" spans="2:22" s="225" customFormat="1" ht="17.25" thickBot="1">
      <c r="B54" s="230" t="s">
        <v>143</v>
      </c>
      <c r="C54" s="226">
        <f aca="true" t="shared" si="28" ref="C54:U54">C52+C44+C36+C27</f>
        <v>301615.3</v>
      </c>
      <c r="D54" s="334">
        <f t="shared" si="28"/>
        <v>1066186.3316000002</v>
      </c>
      <c r="E54" s="227">
        <f t="shared" si="28"/>
        <v>284170.29000000004</v>
      </c>
      <c r="F54" s="227">
        <f t="shared" si="28"/>
        <v>389059.61</v>
      </c>
      <c r="G54" s="227">
        <f t="shared" si="28"/>
        <v>1030739.73</v>
      </c>
      <c r="H54" s="227">
        <f t="shared" si="28"/>
        <v>1703969.62911981</v>
      </c>
      <c r="I54" s="227">
        <f t="shared" si="28"/>
        <v>2392075.68059219</v>
      </c>
      <c r="J54" s="227">
        <f t="shared" si="28"/>
        <v>2069332.3939299998</v>
      </c>
      <c r="K54" s="227">
        <f t="shared" si="28"/>
        <v>2122902.89393</v>
      </c>
      <c r="L54" s="227">
        <f t="shared" si="28"/>
        <v>1893250.3105966665</v>
      </c>
      <c r="M54" s="227">
        <f t="shared" si="28"/>
        <v>2167529.627</v>
      </c>
      <c r="N54" s="227">
        <f aca="true" t="shared" si="29" ref="N54">N52+N44+N36+N27</f>
        <v>2070847.227</v>
      </c>
      <c r="O54" s="227">
        <f aca="true" t="shared" si="30" ref="O54:R54">O52+O44+O36+O27</f>
        <v>1955847.227</v>
      </c>
      <c r="P54" s="227">
        <f t="shared" si="30"/>
        <v>1914680.5603333332</v>
      </c>
      <c r="Q54" s="227"/>
      <c r="R54" s="227">
        <f t="shared" si="30"/>
        <v>3218462.976710001</v>
      </c>
      <c r="S54" s="227">
        <f t="shared" si="28"/>
        <v>22876700.157812</v>
      </c>
      <c r="T54" s="227">
        <f t="shared" si="28"/>
        <v>26200000</v>
      </c>
      <c r="U54" s="295">
        <f t="shared" si="28"/>
        <v>3323299.842187998</v>
      </c>
      <c r="V54" s="245"/>
    </row>
    <row r="55" spans="2:23" ht="13.5" thickTop="1">
      <c r="B55" s="7" t="s">
        <v>145</v>
      </c>
      <c r="V55" s="192"/>
      <c r="W55" s="214"/>
    </row>
    <row r="56" spans="2:22" ht="15">
      <c r="B56" s="69" t="s">
        <v>146</v>
      </c>
      <c r="V56" s="192"/>
    </row>
    <row r="57" spans="2:23" ht="15">
      <c r="B57" s="7"/>
      <c r="V57" s="192"/>
      <c r="W57" s="214"/>
    </row>
    <row r="58" spans="2:22" ht="15">
      <c r="B58" s="7"/>
      <c r="V58" s="192"/>
    </row>
    <row r="59" spans="2:22" ht="15">
      <c r="B59" s="7"/>
      <c r="V59" s="192"/>
    </row>
    <row r="60" spans="2:22" ht="15">
      <c r="B60" s="7"/>
      <c r="V60" s="192"/>
    </row>
    <row r="61" spans="2:22" ht="15">
      <c r="B61" s="7"/>
      <c r="V61" s="192"/>
    </row>
    <row r="62" spans="2:22" ht="15">
      <c r="B62" s="7"/>
      <c r="V62" s="192"/>
    </row>
    <row r="63" spans="2:22" ht="15">
      <c r="B63" s="7"/>
      <c r="V63" s="192"/>
    </row>
    <row r="64" spans="2:22" ht="15">
      <c r="B64" s="7"/>
      <c r="V64" s="192"/>
    </row>
    <row r="65" spans="2:22" ht="15">
      <c r="B65" s="7"/>
      <c r="V65" s="192"/>
    </row>
    <row r="66" spans="2:22" ht="15">
      <c r="B66" s="7"/>
      <c r="V66" s="192"/>
    </row>
    <row r="67" spans="2:22" ht="15">
      <c r="B67" s="7"/>
      <c r="V67" s="192"/>
    </row>
    <row r="68" spans="2:22" ht="15">
      <c r="B68" s="7"/>
      <c r="V68" s="192"/>
    </row>
    <row r="69" spans="2:22" ht="15">
      <c r="B69" s="7"/>
      <c r="V69" s="192"/>
    </row>
    <row r="70" ht="15">
      <c r="V70" s="192"/>
    </row>
    <row r="71" ht="15">
      <c r="V71" s="192"/>
    </row>
    <row r="72" ht="15">
      <c r="V72" s="192"/>
    </row>
    <row r="73" ht="15">
      <c r="V73" s="192"/>
    </row>
    <row r="74" ht="15">
      <c r="V74" s="192"/>
    </row>
    <row r="75" ht="15">
      <c r="V75" s="192"/>
    </row>
    <row r="76" ht="15">
      <c r="V76" s="192"/>
    </row>
    <row r="77" ht="15">
      <c r="V77" s="192"/>
    </row>
    <row r="78" ht="15">
      <c r="V78" s="192"/>
    </row>
    <row r="79" ht="15">
      <c r="V79" s="192"/>
    </row>
    <row r="80" ht="15">
      <c r="V80" s="192"/>
    </row>
    <row r="81" ht="15">
      <c r="V81" s="192"/>
    </row>
    <row r="82" ht="15">
      <c r="V82" s="192"/>
    </row>
    <row r="83" ht="15">
      <c r="V83" s="192"/>
    </row>
    <row r="84" ht="15">
      <c r="V84" s="192"/>
    </row>
    <row r="85" ht="15">
      <c r="V85" s="192"/>
    </row>
  </sheetData>
  <mergeCells count="6">
    <mergeCell ref="U12:U13"/>
    <mergeCell ref="B11:B12"/>
    <mergeCell ref="S12:S13"/>
    <mergeCell ref="T12:T13"/>
    <mergeCell ref="E12:H12"/>
    <mergeCell ref="E11:H11"/>
  </mergeCells>
  <printOptions/>
  <pageMargins left="0.7086614173228347" right="0.7086614173228347" top="0.7480314960629921" bottom="0.7480314960629921" header="0.31496062992125984" footer="0.31496062992125984"/>
  <pageSetup fitToHeight="1" fitToWidth="1" horizontalDpi="600" verticalDpi="600" orientation="landscape" scale="76" r:id="rId3"/>
  <colBreaks count="1" manualBreakCount="1">
    <brk id="7" max="1638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showGridLines="0" zoomScale="55" zoomScaleNormal="55" zoomScalePageLayoutView="85" workbookViewId="0" topLeftCell="A1">
      <pane ySplit="13" topLeftCell="A14" activePane="bottomLeft" state="frozen"/>
      <selection pane="bottomLeft" activeCell="B38" sqref="B38:F39"/>
    </sheetView>
  </sheetViews>
  <sheetFormatPr defaultColWidth="9.140625" defaultRowHeight="15"/>
  <cols>
    <col min="1" max="1" width="2.421875" style="0" customWidth="1"/>
    <col min="2" max="2" width="29.421875" style="0" customWidth="1"/>
    <col min="3" max="3" width="18.421875" style="0" customWidth="1"/>
    <col min="4" max="4" width="22.421875" style="0" customWidth="1"/>
    <col min="5" max="5" width="19.00390625" style="0" customWidth="1"/>
    <col min="6" max="6" width="18.140625" style="0" customWidth="1"/>
    <col min="7" max="7" width="18.8515625" style="0" customWidth="1"/>
    <col min="9" max="9" width="13.00390625" style="0" bestFit="1" customWidth="1"/>
  </cols>
  <sheetData>
    <row r="1" spans="2:7" ht="15">
      <c r="B1" s="73" t="s">
        <v>21</v>
      </c>
      <c r="C1" s="74"/>
      <c r="D1" s="74"/>
      <c r="E1" s="74"/>
      <c r="F1" s="74"/>
      <c r="G1" s="75"/>
    </row>
    <row r="2" spans="2:7" ht="15">
      <c r="B2" s="76"/>
      <c r="C2" s="77" t="s">
        <v>1</v>
      </c>
      <c r="D2" s="150" t="s">
        <v>72</v>
      </c>
      <c r="E2" s="79"/>
      <c r="F2" s="80"/>
      <c r="G2" s="81"/>
    </row>
    <row r="3" spans="2:7" ht="15">
      <c r="B3" s="76"/>
      <c r="C3" s="77" t="s">
        <v>2</v>
      </c>
      <c r="D3" s="177" t="s">
        <v>73</v>
      </c>
      <c r="E3" s="79"/>
      <c r="F3" s="80"/>
      <c r="G3" s="81"/>
    </row>
    <row r="4" spans="2:7" ht="15">
      <c r="B4" s="76"/>
      <c r="C4" s="77" t="s">
        <v>3</v>
      </c>
      <c r="D4" s="177" t="str">
        <f>'THP DR'!B7</f>
        <v>TR14GTM15001</v>
      </c>
      <c r="E4" s="79"/>
      <c r="F4" s="80"/>
      <c r="G4" s="81"/>
    </row>
    <row r="5" spans="2:7" ht="15">
      <c r="B5" s="76"/>
      <c r="C5" s="77" t="s">
        <v>4</v>
      </c>
      <c r="D5" s="178">
        <f>'THP DR'!B10</f>
        <v>42991</v>
      </c>
      <c r="E5" s="79"/>
      <c r="F5" s="80"/>
      <c r="G5" s="81"/>
    </row>
    <row r="6" spans="2:7" ht="15.75" thickBot="1">
      <c r="B6" s="83"/>
      <c r="C6" s="84"/>
      <c r="D6" s="85"/>
      <c r="E6" s="84"/>
      <c r="F6" s="85"/>
      <c r="G6" s="86"/>
    </row>
    <row r="7" spans="2:8" ht="15">
      <c r="B7" s="87" t="s">
        <v>22</v>
      </c>
      <c r="C7" s="88"/>
      <c r="D7" s="88"/>
      <c r="E7" s="88"/>
      <c r="F7" s="88"/>
      <c r="G7" s="89"/>
      <c r="H7" s="90"/>
    </row>
    <row r="8" spans="2:8" ht="15">
      <c r="B8" s="91" t="str">
        <f>"Disbursement Period:"&amp;TEXT('THP DR'!B11,"dd-mmm-yy")&amp;" to "&amp;TEXT('THP DR'!B12,"dd-mmm-yy")</f>
        <v>Disbursement Period:01-oct-17 to 31-dic-17</v>
      </c>
      <c r="C8" s="92"/>
      <c r="D8" s="92"/>
      <c r="E8" s="92"/>
      <c r="F8" s="92"/>
      <c r="G8" s="93"/>
      <c r="H8" s="90"/>
    </row>
    <row r="9" spans="2:8" s="99" customFormat="1" ht="12.75">
      <c r="B9" s="94" t="s">
        <v>23</v>
      </c>
      <c r="C9" s="95"/>
      <c r="D9" s="95"/>
      <c r="E9" s="96"/>
      <c r="F9" s="96"/>
      <c r="G9" s="97"/>
      <c r="H9" s="98"/>
    </row>
    <row r="10" spans="2:8" ht="15.75" thickBot="1">
      <c r="B10" s="100" t="s">
        <v>232</v>
      </c>
      <c r="C10" s="101"/>
      <c r="D10" s="101"/>
      <c r="E10" s="101"/>
      <c r="F10" s="101"/>
      <c r="G10" s="102"/>
      <c r="H10" s="90"/>
    </row>
    <row r="11" spans="2:8" ht="52.5" customHeight="1" thickBot="1">
      <c r="B11" s="103"/>
      <c r="C11" s="104" t="s">
        <v>24</v>
      </c>
      <c r="D11" s="105" t="s">
        <v>25</v>
      </c>
      <c r="E11" s="400" t="s">
        <v>26</v>
      </c>
      <c r="F11" s="401"/>
      <c r="G11" s="106" t="s">
        <v>27</v>
      </c>
      <c r="H11" s="90"/>
    </row>
    <row r="12" spans="2:8" ht="23.25">
      <c r="B12" s="107" t="s">
        <v>88</v>
      </c>
      <c r="C12" s="108"/>
      <c r="D12" s="109" t="s">
        <v>28</v>
      </c>
      <c r="E12" s="110" t="s">
        <v>29</v>
      </c>
      <c r="F12" s="111" t="s">
        <v>30</v>
      </c>
      <c r="G12" s="112" t="s">
        <v>31</v>
      </c>
      <c r="H12" s="90"/>
    </row>
    <row r="13" spans="2:8" s="99" customFormat="1" ht="13.5" thickBot="1">
      <c r="B13" s="113" t="s">
        <v>97</v>
      </c>
      <c r="C13" s="114">
        <v>1</v>
      </c>
      <c r="D13" s="114">
        <v>2</v>
      </c>
      <c r="E13" s="114">
        <v>3</v>
      </c>
      <c r="F13" s="114">
        <v>4</v>
      </c>
      <c r="G13" s="115">
        <v>5</v>
      </c>
      <c r="H13" s="98"/>
    </row>
    <row r="14" spans="2:8" s="99" customFormat="1" ht="15">
      <c r="B14" s="402"/>
      <c r="C14" s="403"/>
      <c r="D14" s="403"/>
      <c r="E14" s="403"/>
      <c r="F14" s="403"/>
      <c r="G14" s="404"/>
      <c r="H14" s="98"/>
    </row>
    <row r="15" spans="2:9" s="99" customFormat="1" ht="26.45" customHeight="1">
      <c r="B15" s="156" t="s">
        <v>83</v>
      </c>
      <c r="C15" s="179">
        <f>SUM(C16:C18)</f>
        <v>19700000</v>
      </c>
      <c r="D15" s="183">
        <f>SUM(D16:D18)</f>
        <v>19300000</v>
      </c>
      <c r="E15" s="179">
        <f>SUM(E16:E18)</f>
        <v>0</v>
      </c>
      <c r="F15" s="179">
        <f>SUM(F16:F18)</f>
        <v>0</v>
      </c>
      <c r="G15" s="183">
        <f aca="true" t="shared" si="0" ref="G15:G18">+D15+E15-F15</f>
        <v>19300000</v>
      </c>
      <c r="H15" s="98"/>
      <c r="I15" s="249"/>
    </row>
    <row r="16" spans="2:9" s="99" customFormat="1" ht="25.5">
      <c r="B16" s="170" t="s">
        <v>84</v>
      </c>
      <c r="C16" s="169">
        <v>12000000</v>
      </c>
      <c r="D16" s="184">
        <f>'QFR - B'!G15</f>
        <v>12000000</v>
      </c>
      <c r="E16" s="180"/>
      <c r="F16" s="180"/>
      <c r="G16" s="184">
        <f t="shared" si="0"/>
        <v>12000000</v>
      </c>
      <c r="H16" s="98"/>
      <c r="I16" s="249" t="s">
        <v>128</v>
      </c>
    </row>
    <row r="17" spans="2:7" ht="45" customHeight="1">
      <c r="B17" s="170" t="s">
        <v>85</v>
      </c>
      <c r="C17" s="169">
        <v>4700000</v>
      </c>
      <c r="D17" s="184">
        <f>'QFR - B'!G16</f>
        <v>4300000</v>
      </c>
      <c r="E17" s="180"/>
      <c r="F17" s="180"/>
      <c r="G17" s="184">
        <f t="shared" si="0"/>
        <v>4300000</v>
      </c>
    </row>
    <row r="18" spans="2:7" ht="25.5">
      <c r="B18" s="170" t="s">
        <v>86</v>
      </c>
      <c r="C18" s="169">
        <v>3000000</v>
      </c>
      <c r="D18" s="184">
        <f>'QFR - B'!G17</f>
        <v>3000000</v>
      </c>
      <c r="E18" s="180"/>
      <c r="F18" s="180"/>
      <c r="G18" s="184">
        <f t="shared" si="0"/>
        <v>3000000</v>
      </c>
    </row>
    <row r="19" spans="2:7" ht="15">
      <c r="B19" s="171"/>
      <c r="C19" s="169"/>
      <c r="D19" s="184"/>
      <c r="E19" s="180"/>
      <c r="F19" s="180"/>
      <c r="G19" s="184"/>
    </row>
    <row r="20" spans="2:9" ht="25.5">
      <c r="B20" s="172" t="s">
        <v>89</v>
      </c>
      <c r="C20" s="160">
        <f>SUM(C21:C22)</f>
        <v>4000000</v>
      </c>
      <c r="D20" s="185">
        <f>SUM(D21:D22)</f>
        <v>4400000</v>
      </c>
      <c r="E20" s="160">
        <f>SUM(E21:E22)</f>
        <v>0</v>
      </c>
      <c r="F20" s="160">
        <f>SUM(F21:F22)</f>
        <v>0</v>
      </c>
      <c r="G20" s="185">
        <f>+D20+E20-F20</f>
        <v>4400000</v>
      </c>
      <c r="I20" s="255"/>
    </row>
    <row r="21" spans="2:7" ht="25.5">
      <c r="B21" s="170" t="s">
        <v>92</v>
      </c>
      <c r="C21" s="169">
        <v>0</v>
      </c>
      <c r="D21" s="184">
        <f>'QFR - B'!G20</f>
        <v>800000</v>
      </c>
      <c r="E21" s="180"/>
      <c r="F21" s="180"/>
      <c r="G21" s="184">
        <f>+D21+E21-F21</f>
        <v>800000</v>
      </c>
    </row>
    <row r="22" spans="2:7" ht="25.5">
      <c r="B22" s="170" t="s">
        <v>93</v>
      </c>
      <c r="C22" s="169">
        <v>4000000</v>
      </c>
      <c r="D22" s="184">
        <f>'QFR - B'!G21</f>
        <v>3600000</v>
      </c>
      <c r="E22" s="180"/>
      <c r="F22" s="180"/>
      <c r="G22" s="184">
        <f>+D22+E22-F22</f>
        <v>3600000</v>
      </c>
    </row>
    <row r="23" spans="2:7" ht="15">
      <c r="B23" s="171"/>
      <c r="C23" s="169"/>
      <c r="D23" s="186"/>
      <c r="E23" s="180"/>
      <c r="F23" s="180"/>
      <c r="G23" s="186"/>
    </row>
    <row r="24" spans="2:9" ht="26.45" customHeight="1">
      <c r="B24" s="157" t="s">
        <v>90</v>
      </c>
      <c r="C24" s="160">
        <f>SUM(C25)</f>
        <v>1700000</v>
      </c>
      <c r="D24" s="185">
        <f aca="true" t="shared" si="1" ref="D24:G24">SUM(D25)</f>
        <v>1700000</v>
      </c>
      <c r="E24" s="160">
        <f t="shared" si="1"/>
        <v>0</v>
      </c>
      <c r="F24" s="160">
        <f t="shared" si="1"/>
        <v>0</v>
      </c>
      <c r="G24" s="185">
        <f t="shared" si="1"/>
        <v>1700000</v>
      </c>
      <c r="I24" s="255"/>
    </row>
    <row r="25" spans="2:7" ht="26.45" customHeight="1">
      <c r="B25" s="176" t="s">
        <v>94</v>
      </c>
      <c r="C25" s="169">
        <v>1700000</v>
      </c>
      <c r="D25" s="184">
        <f>'QFR - B'!G24</f>
        <v>1700000</v>
      </c>
      <c r="E25" s="180"/>
      <c r="F25" s="180"/>
      <c r="G25" s="184">
        <f>+D25+E25-F25</f>
        <v>1700000</v>
      </c>
    </row>
    <row r="26" spans="2:7" ht="15">
      <c r="B26" s="171"/>
      <c r="C26" s="169"/>
      <c r="D26" s="186"/>
      <c r="E26" s="180"/>
      <c r="F26" s="180"/>
      <c r="G26" s="186"/>
    </row>
    <row r="27" spans="2:9" ht="26.45" customHeight="1">
      <c r="B27" s="157" t="s">
        <v>91</v>
      </c>
      <c r="C27" s="160">
        <f>SUM(C28)</f>
        <v>800000</v>
      </c>
      <c r="D27" s="185">
        <f aca="true" t="shared" si="2" ref="D27:G27">SUM(D28)</f>
        <v>800000</v>
      </c>
      <c r="E27" s="160">
        <f t="shared" si="2"/>
        <v>0</v>
      </c>
      <c r="F27" s="160">
        <f t="shared" si="2"/>
        <v>2500</v>
      </c>
      <c r="G27" s="185">
        <f t="shared" si="2"/>
        <v>797500</v>
      </c>
      <c r="I27" s="255"/>
    </row>
    <row r="28" spans="2:7" ht="26.45" customHeight="1">
      <c r="B28" s="176" t="s">
        <v>95</v>
      </c>
      <c r="C28" s="169">
        <v>800000</v>
      </c>
      <c r="D28" s="184">
        <f>'QFR - B'!G27</f>
        <v>800000</v>
      </c>
      <c r="E28" s="180"/>
      <c r="F28" s="180">
        <v>2500</v>
      </c>
      <c r="G28" s="184">
        <f>+D28+E28-F28</f>
        <v>797500</v>
      </c>
    </row>
    <row r="29" spans="2:7" ht="15.75" thickBot="1">
      <c r="B29" s="174"/>
      <c r="C29" s="181"/>
      <c r="D29" s="187"/>
      <c r="E29" s="181"/>
      <c r="F29" s="181"/>
      <c r="G29" s="187"/>
    </row>
    <row r="30" spans="2:9" ht="26.45" customHeight="1" thickBot="1">
      <c r="B30" s="175" t="s">
        <v>32</v>
      </c>
      <c r="C30" s="182">
        <f>+C15+C20+C24+C27</f>
        <v>26200000</v>
      </c>
      <c r="D30" s="182">
        <f>+D15+D20+D24+D27</f>
        <v>26200000</v>
      </c>
      <c r="E30" s="182">
        <f>+E15+E20+E24+E27</f>
        <v>0</v>
      </c>
      <c r="F30" s="182">
        <f>+F15+F20+F24+F27</f>
        <v>2500</v>
      </c>
      <c r="G30" s="188">
        <f>+G15+G20+G24+G27</f>
        <v>26197500</v>
      </c>
      <c r="I30" s="256"/>
    </row>
    <row r="31" ht="15">
      <c r="B31" t="s">
        <v>272</v>
      </c>
    </row>
    <row r="33" spans="2:7" ht="15">
      <c r="B33" s="222" t="s">
        <v>133</v>
      </c>
      <c r="C33" s="223"/>
      <c r="D33" s="223"/>
      <c r="E33" s="223"/>
      <c r="F33" s="223"/>
      <c r="G33" s="224"/>
    </row>
    <row r="34" spans="2:7" ht="25.5">
      <c r="B34" s="172" t="s">
        <v>89</v>
      </c>
      <c r="C34" s="160">
        <f>SUM(C35)</f>
        <v>1800000</v>
      </c>
      <c r="D34" s="160">
        <f>SUM(D35)</f>
        <v>1800000</v>
      </c>
      <c r="E34" s="160">
        <f>E35</f>
        <v>0</v>
      </c>
      <c r="F34" s="160">
        <f>F35</f>
        <v>0</v>
      </c>
      <c r="G34" s="185">
        <f>+D34+E34-F34</f>
        <v>1800000</v>
      </c>
    </row>
    <row r="35" spans="2:7" ht="25.5">
      <c r="B35" s="170" t="s">
        <v>132</v>
      </c>
      <c r="C35" s="169">
        <v>1800000</v>
      </c>
      <c r="D35" s="184">
        <f>'[1]QFR - B'!G34</f>
        <v>1800000</v>
      </c>
      <c r="E35" s="381"/>
      <c r="F35" s="381"/>
      <c r="G35" s="184">
        <f>D35+E35-F35</f>
        <v>1800000</v>
      </c>
    </row>
    <row r="36" spans="2:9" ht="15">
      <c r="B36" s="171"/>
      <c r="C36" s="169"/>
      <c r="D36" s="186"/>
      <c r="E36" s="381"/>
      <c r="F36" s="381"/>
      <c r="G36" s="186"/>
      <c r="I36" s="255"/>
    </row>
    <row r="37" spans="2:7" ht="26.25">
      <c r="B37" s="157" t="s">
        <v>91</v>
      </c>
      <c r="C37" s="160">
        <f>SUM(C38)</f>
        <v>0</v>
      </c>
      <c r="D37" s="185">
        <f aca="true" t="shared" si="3" ref="D37:G37">SUM(D38)</f>
        <v>0</v>
      </c>
      <c r="E37" s="160">
        <f t="shared" si="3"/>
        <v>2500</v>
      </c>
      <c r="F37" s="160">
        <f t="shared" si="3"/>
        <v>0</v>
      </c>
      <c r="G37" s="185">
        <f t="shared" si="3"/>
        <v>2500</v>
      </c>
    </row>
    <row r="38" spans="2:7" ht="15">
      <c r="B38" s="176" t="s">
        <v>95</v>
      </c>
      <c r="C38" s="169">
        <v>0</v>
      </c>
      <c r="D38" s="184">
        <v>0</v>
      </c>
      <c r="E38" s="180">
        <v>2500</v>
      </c>
      <c r="F38" s="381"/>
      <c r="G38" s="184">
        <f>+D38+E38-F38</f>
        <v>2500</v>
      </c>
    </row>
    <row r="39" spans="2:7" ht="15.75" thickBot="1">
      <c r="B39" s="175" t="s">
        <v>32</v>
      </c>
      <c r="C39" s="182">
        <f>C34+C37</f>
        <v>1800000</v>
      </c>
      <c r="D39" s="182">
        <f aca="true" t="shared" si="4" ref="D39:G39">D34+D37</f>
        <v>1800000</v>
      </c>
      <c r="E39" s="182">
        <f t="shared" si="4"/>
        <v>2500</v>
      </c>
      <c r="F39" s="182">
        <f t="shared" si="4"/>
        <v>0</v>
      </c>
      <c r="G39" s="182">
        <f t="shared" si="4"/>
        <v>1802500</v>
      </c>
    </row>
  </sheetData>
  <mergeCells count="2">
    <mergeCell ref="E11:F11"/>
    <mergeCell ref="B14:G14"/>
  </mergeCells>
  <conditionalFormatting sqref="D30:G30">
    <cfRule type="cellIs" priority="5" dxfId="0" operator="equal" stopIfTrue="1">
      <formula>0</formula>
    </cfRule>
  </conditionalFormatting>
  <conditionalFormatting sqref="C30">
    <cfRule type="cellIs" priority="4" dxfId="0" operator="equal" stopIfTrue="1">
      <formula>0</formula>
    </cfRule>
  </conditionalFormatting>
  <conditionalFormatting sqref="C39:G39">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59"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zoomScale="90" zoomScaleNormal="90" zoomScalePageLayoutView="90" workbookViewId="0" topLeftCell="A1">
      <pane ySplit="13" topLeftCell="A14" activePane="bottomLeft" state="frozen"/>
      <selection pane="bottomLeft" activeCell="B8" sqref="B8"/>
    </sheetView>
  </sheetViews>
  <sheetFormatPr defaultColWidth="9.140625" defaultRowHeight="15"/>
  <cols>
    <col min="1" max="1" width="3.421875" style="0" customWidth="1"/>
    <col min="2" max="2" width="33.8515625" style="0" customWidth="1"/>
    <col min="3" max="3" width="16.421875" style="0" customWidth="1"/>
    <col min="4" max="4" width="21.00390625" style="0" bestFit="1" customWidth="1"/>
    <col min="5" max="7" width="16.421875" style="0" customWidth="1"/>
  </cols>
  <sheetData>
    <row r="1" spans="2:7" ht="15">
      <c r="B1" s="73" t="s">
        <v>21</v>
      </c>
      <c r="C1" s="74"/>
      <c r="D1" s="74"/>
      <c r="E1" s="74"/>
      <c r="F1" s="74"/>
      <c r="G1" s="75"/>
    </row>
    <row r="2" spans="2:7" ht="15">
      <c r="B2" s="76"/>
      <c r="C2" s="77" t="s">
        <v>1</v>
      </c>
      <c r="D2" s="150" t="s">
        <v>72</v>
      </c>
      <c r="E2" s="78"/>
      <c r="F2" s="78"/>
      <c r="G2" s="81"/>
    </row>
    <row r="3" spans="2:7" ht="15">
      <c r="B3" s="76"/>
      <c r="C3" s="77" t="s">
        <v>2</v>
      </c>
      <c r="D3" s="150" t="s">
        <v>73</v>
      </c>
      <c r="E3" s="78"/>
      <c r="F3" s="78"/>
      <c r="G3" s="81"/>
    </row>
    <row r="4" spans="2:7" ht="15">
      <c r="B4" s="76"/>
      <c r="C4" s="77" t="s">
        <v>3</v>
      </c>
      <c r="D4" s="150" t="str">
        <f>'THP DR'!B7</f>
        <v>TR14GTM15001</v>
      </c>
      <c r="E4" s="78"/>
      <c r="F4" s="78"/>
      <c r="G4" s="81"/>
    </row>
    <row r="5" spans="2:7" ht="15">
      <c r="B5" s="76"/>
      <c r="C5" s="77" t="s">
        <v>4</v>
      </c>
      <c r="D5" s="151">
        <f>'THP DR'!B10</f>
        <v>42991</v>
      </c>
      <c r="E5" s="82"/>
      <c r="F5" s="82"/>
      <c r="G5" s="81"/>
    </row>
    <row r="6" spans="2:7" ht="15.75" thickBot="1">
      <c r="B6" s="83"/>
      <c r="C6" s="84"/>
      <c r="D6" s="84"/>
      <c r="E6" s="84"/>
      <c r="F6" s="84"/>
      <c r="G6" s="86"/>
    </row>
    <row r="7" spans="2:7" ht="15">
      <c r="B7" s="87" t="s">
        <v>33</v>
      </c>
      <c r="C7" s="116"/>
      <c r="D7" s="116"/>
      <c r="E7" s="116"/>
      <c r="F7" s="116"/>
      <c r="G7" s="117"/>
    </row>
    <row r="8" spans="1:7" ht="15">
      <c r="A8" s="99"/>
      <c r="B8" s="91" t="str">
        <f>'QFR - A'!B8</f>
        <v>Disbursement Period:01-oct-17 to 31-dic-17</v>
      </c>
      <c r="C8" s="92"/>
      <c r="D8" s="92"/>
      <c r="E8" s="92"/>
      <c r="F8" s="92"/>
      <c r="G8" s="93"/>
    </row>
    <row r="9" spans="2:7" ht="15">
      <c r="B9" s="152" t="s">
        <v>34</v>
      </c>
      <c r="C9" s="95"/>
      <c r="D9" s="95"/>
      <c r="E9" s="95"/>
      <c r="F9" s="95"/>
      <c r="G9" s="97"/>
    </row>
    <row r="10" spans="2:7" ht="15.75" thickBot="1">
      <c r="B10" s="152" t="str">
        <f>'QFR - A'!B10</f>
        <v>Out of Cycle Report:  Yes [ ] | No [ x ]</v>
      </c>
      <c r="C10" s="95"/>
      <c r="D10" s="95"/>
      <c r="E10" s="95"/>
      <c r="F10" s="95"/>
      <c r="G10" s="97"/>
    </row>
    <row r="11" spans="2:7" ht="15" customHeight="1">
      <c r="B11" s="154"/>
      <c r="C11" s="405" t="s">
        <v>24</v>
      </c>
      <c r="D11" s="405" t="s">
        <v>241</v>
      </c>
      <c r="E11" s="405" t="s">
        <v>96</v>
      </c>
      <c r="F11" s="405" t="s">
        <v>96</v>
      </c>
      <c r="G11" s="405" t="s">
        <v>82</v>
      </c>
    </row>
    <row r="12" spans="2:7" ht="66.6" customHeight="1" thickBot="1">
      <c r="B12" s="153" t="s">
        <v>88</v>
      </c>
      <c r="C12" s="406"/>
      <c r="D12" s="406"/>
      <c r="E12" s="406"/>
      <c r="F12" s="406"/>
      <c r="G12" s="406"/>
    </row>
    <row r="13" spans="1:7" ht="15" customHeight="1">
      <c r="A13" s="99"/>
      <c r="B13" s="155" t="s">
        <v>87</v>
      </c>
      <c r="C13" s="158">
        <v>1</v>
      </c>
      <c r="D13" s="158">
        <f>C13+1</f>
        <v>2</v>
      </c>
      <c r="E13" s="158">
        <v>3</v>
      </c>
      <c r="F13" s="158">
        <v>4</v>
      </c>
      <c r="G13" s="165">
        <v>5</v>
      </c>
    </row>
    <row r="14" spans="2:7" ht="26.1" customHeight="1">
      <c r="B14" s="156" t="s">
        <v>83</v>
      </c>
      <c r="C14" s="159">
        <f>SUM(C15:C17)</f>
        <v>19700000</v>
      </c>
      <c r="D14" s="281">
        <f>SUM(D15:D17)</f>
        <v>-400000</v>
      </c>
      <c r="E14" s="281">
        <f>SUM(E15:E17)</f>
        <v>0</v>
      </c>
      <c r="F14" s="281">
        <f>SUM(F15:F17)</f>
        <v>0</v>
      </c>
      <c r="G14" s="161">
        <f>C14+D14+E14+F14</f>
        <v>19300000</v>
      </c>
    </row>
    <row r="15" spans="2:7" ht="26.45" customHeight="1">
      <c r="B15" s="170" t="s">
        <v>84</v>
      </c>
      <c r="C15" s="162">
        <v>12000000</v>
      </c>
      <c r="D15" s="282">
        <v>0</v>
      </c>
      <c r="E15" s="283">
        <v>0</v>
      </c>
      <c r="F15" s="283">
        <v>0</v>
      </c>
      <c r="G15" s="163">
        <f>C15+D15+E15+F15</f>
        <v>12000000</v>
      </c>
    </row>
    <row r="16" spans="2:7" ht="26.45" customHeight="1">
      <c r="B16" s="170" t="s">
        <v>85</v>
      </c>
      <c r="C16" s="162">
        <v>4700000</v>
      </c>
      <c r="D16" s="282">
        <v>-400000</v>
      </c>
      <c r="E16" s="283">
        <v>0</v>
      </c>
      <c r="F16" s="283">
        <v>0</v>
      </c>
      <c r="G16" s="163">
        <f aca="true" t="shared" si="0" ref="G16:G17">C16+D16+E16+F16</f>
        <v>4300000</v>
      </c>
    </row>
    <row r="17" spans="2:7" ht="25.5">
      <c r="B17" s="170" t="s">
        <v>86</v>
      </c>
      <c r="C17" s="162">
        <v>3000000</v>
      </c>
      <c r="D17" s="282">
        <v>0</v>
      </c>
      <c r="E17" s="283">
        <v>0</v>
      </c>
      <c r="F17" s="283">
        <v>0</v>
      </c>
      <c r="G17" s="163">
        <f t="shared" si="0"/>
        <v>3000000</v>
      </c>
    </row>
    <row r="18" spans="2:7" ht="15">
      <c r="B18" s="171"/>
      <c r="C18" s="162"/>
      <c r="D18" s="282"/>
      <c r="E18" s="283"/>
      <c r="F18" s="283"/>
      <c r="G18" s="163"/>
    </row>
    <row r="19" spans="2:7" ht="25.5">
      <c r="B19" s="172" t="s">
        <v>89</v>
      </c>
      <c r="C19" s="159">
        <f>SUM(C20:C21)</f>
        <v>4000000</v>
      </c>
      <c r="D19" s="281">
        <f>SUM(D20:D21)</f>
        <v>400000</v>
      </c>
      <c r="E19" s="281">
        <f>SUM(E20:E21)</f>
        <v>0</v>
      </c>
      <c r="F19" s="281">
        <f>SUM(F20:F21)</f>
        <v>0</v>
      </c>
      <c r="G19" s="161">
        <f>SUM(G20:G21)</f>
        <v>4400000</v>
      </c>
    </row>
    <row r="20" spans="2:7" ht="25.5">
      <c r="B20" s="170" t="s">
        <v>92</v>
      </c>
      <c r="C20" s="162">
        <v>0</v>
      </c>
      <c r="D20" s="282">
        <v>800000</v>
      </c>
      <c r="E20" s="283">
        <v>0</v>
      </c>
      <c r="F20" s="283">
        <v>0</v>
      </c>
      <c r="G20" s="163">
        <f>C20+D20+E20+F20</f>
        <v>800000</v>
      </c>
    </row>
    <row r="21" spans="2:7" ht="25.5">
      <c r="B21" s="170" t="s">
        <v>93</v>
      </c>
      <c r="C21" s="162">
        <v>4000000</v>
      </c>
      <c r="D21" s="282">
        <v>-400000</v>
      </c>
      <c r="E21" s="283">
        <v>0</v>
      </c>
      <c r="F21" s="283">
        <v>0</v>
      </c>
      <c r="G21" s="163">
        <f>C21+D21+E21+F21</f>
        <v>3600000</v>
      </c>
    </row>
    <row r="22" spans="2:7" ht="15">
      <c r="B22" s="171"/>
      <c r="C22" s="162"/>
      <c r="D22" s="282"/>
      <c r="E22" s="283"/>
      <c r="F22" s="283"/>
      <c r="G22" s="164"/>
    </row>
    <row r="23" spans="2:7" ht="26.45" customHeight="1">
      <c r="B23" s="157" t="s">
        <v>90</v>
      </c>
      <c r="C23" s="159">
        <f>SUM(C24)</f>
        <v>1700000</v>
      </c>
      <c r="D23" s="281">
        <f>SUM(D24)</f>
        <v>0</v>
      </c>
      <c r="E23" s="281">
        <f>E24</f>
        <v>0</v>
      </c>
      <c r="F23" s="281">
        <f>F24</f>
        <v>0</v>
      </c>
      <c r="G23" s="161">
        <f aca="true" t="shared" si="1" ref="G23">SUM(G24)</f>
        <v>1700000</v>
      </c>
    </row>
    <row r="24" spans="2:7" ht="24" customHeight="1">
      <c r="B24" s="176" t="s">
        <v>94</v>
      </c>
      <c r="C24" s="162">
        <v>1700000</v>
      </c>
      <c r="D24" s="282">
        <v>0</v>
      </c>
      <c r="E24" s="283">
        <v>0</v>
      </c>
      <c r="F24" s="283">
        <v>0</v>
      </c>
      <c r="G24" s="163">
        <f>C24+D24+E24+F24</f>
        <v>1700000</v>
      </c>
    </row>
    <row r="25" spans="2:7" ht="15">
      <c r="B25" s="171"/>
      <c r="C25" s="162"/>
      <c r="D25" s="282"/>
      <c r="E25" s="283"/>
      <c r="F25" s="283"/>
      <c r="G25" s="164"/>
    </row>
    <row r="26" spans="2:7" ht="26.45" customHeight="1">
      <c r="B26" s="173" t="s">
        <v>91</v>
      </c>
      <c r="C26" s="159">
        <f>SUM(C27)</f>
        <v>800000</v>
      </c>
      <c r="D26" s="281">
        <f>SUM(D27)</f>
        <v>0</v>
      </c>
      <c r="E26" s="281">
        <f>E27</f>
        <v>0</v>
      </c>
      <c r="F26" s="281">
        <f>F27</f>
        <v>0</v>
      </c>
      <c r="G26" s="161">
        <f aca="true" t="shared" si="2" ref="G26">SUM(G27)</f>
        <v>800000</v>
      </c>
    </row>
    <row r="27" spans="2:7" ht="24" customHeight="1">
      <c r="B27" s="176" t="s">
        <v>95</v>
      </c>
      <c r="C27" s="162">
        <v>800000</v>
      </c>
      <c r="D27" s="282">
        <v>0</v>
      </c>
      <c r="E27" s="283">
        <v>0</v>
      </c>
      <c r="F27" s="283">
        <v>0</v>
      </c>
      <c r="G27" s="163">
        <f>C27+D27+E27+F27</f>
        <v>800000</v>
      </c>
    </row>
    <row r="28" spans="2:7" ht="15.75" thickBot="1">
      <c r="B28" s="174"/>
      <c r="C28" s="166"/>
      <c r="D28" s="284"/>
      <c r="E28" s="285"/>
      <c r="F28" s="285"/>
      <c r="G28" s="167"/>
    </row>
    <row r="29" spans="2:7" ht="26.1" customHeight="1" thickBot="1">
      <c r="B29" s="175" t="s">
        <v>32</v>
      </c>
      <c r="C29" s="168">
        <f>C14+C19+C23+C26</f>
        <v>26200000</v>
      </c>
      <c r="D29" s="286">
        <f aca="true" t="shared" si="3" ref="D29:F29">D14+D19+D23+D26</f>
        <v>0</v>
      </c>
      <c r="E29" s="286">
        <f t="shared" si="3"/>
        <v>0</v>
      </c>
      <c r="F29" s="286">
        <f t="shared" si="3"/>
        <v>0</v>
      </c>
      <c r="G29" s="168">
        <f>G26+G23+G19+G14</f>
        <v>26200000</v>
      </c>
    </row>
    <row r="30" ht="15">
      <c r="B30" t="s">
        <v>272</v>
      </c>
    </row>
    <row r="32" spans="2:7" ht="15">
      <c r="B32" s="222" t="s">
        <v>133</v>
      </c>
      <c r="C32" s="223"/>
      <c r="D32" s="223"/>
      <c r="E32" s="223"/>
      <c r="F32" s="223"/>
      <c r="G32" s="224"/>
    </row>
    <row r="33" spans="2:7" ht="25.5">
      <c r="B33" s="172" t="s">
        <v>89</v>
      </c>
      <c r="C33" s="160">
        <f>SUM(C34)</f>
        <v>1800000</v>
      </c>
      <c r="D33" s="160">
        <f aca="true" t="shared" si="4" ref="D33:G33">SUM(D34)</f>
        <v>0</v>
      </c>
      <c r="E33" s="160">
        <f t="shared" si="4"/>
        <v>0</v>
      </c>
      <c r="F33" s="160">
        <f t="shared" si="4"/>
        <v>0</v>
      </c>
      <c r="G33" s="160">
        <f t="shared" si="4"/>
        <v>1800000</v>
      </c>
    </row>
    <row r="34" spans="2:7" ht="25.5">
      <c r="B34" s="170" t="s">
        <v>132</v>
      </c>
      <c r="C34" s="169">
        <v>1800000</v>
      </c>
      <c r="D34" s="184"/>
      <c r="E34" s="184"/>
      <c r="F34" s="184"/>
      <c r="G34" s="163">
        <f>C34+D34+E34+F34</f>
        <v>1800000</v>
      </c>
    </row>
    <row r="35" spans="2:7" ht="26.45" customHeight="1" thickBot="1">
      <c r="B35" s="175" t="s">
        <v>32</v>
      </c>
      <c r="C35" s="182">
        <f>C34</f>
        <v>1800000</v>
      </c>
      <c r="D35" s="182">
        <f>D34</f>
        <v>0</v>
      </c>
      <c r="E35" s="182">
        <f aca="true" t="shared" si="5" ref="E35:G35">E34</f>
        <v>0</v>
      </c>
      <c r="F35" s="182">
        <f t="shared" si="5"/>
        <v>0</v>
      </c>
      <c r="G35" s="182">
        <f t="shared" si="5"/>
        <v>1800000</v>
      </c>
    </row>
    <row r="36" ht="15">
      <c r="G36" s="246"/>
    </row>
  </sheetData>
  <mergeCells count="5">
    <mergeCell ref="E11:E12"/>
    <mergeCell ref="C11:C12"/>
    <mergeCell ref="G11:G12"/>
    <mergeCell ref="D11:D12"/>
    <mergeCell ref="F11:F12"/>
  </mergeCells>
  <conditionalFormatting sqref="D35:G35">
    <cfRule type="cellIs" priority="2" dxfId="0" operator="equal" stopIfTrue="1">
      <formula>0</formula>
    </cfRule>
  </conditionalFormatting>
  <conditionalFormatting sqref="C35">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72"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zoomScale="85" zoomScaleNormal="85" workbookViewId="0" topLeftCell="A7">
      <selection activeCell="A18" sqref="A18"/>
    </sheetView>
  </sheetViews>
  <sheetFormatPr defaultColWidth="11.421875" defaultRowHeight="15"/>
  <cols>
    <col min="1" max="1" width="73.421875" style="120" customWidth="1"/>
    <col min="2" max="2" width="38.421875" style="149" customWidth="1"/>
    <col min="3" max="256" width="9.140625" style="120" customWidth="1"/>
    <col min="257" max="257" width="73.421875" style="120" customWidth="1"/>
    <col min="258" max="258" width="24.421875" style="120" customWidth="1"/>
    <col min="259" max="512" width="9.140625" style="120" customWidth="1"/>
    <col min="513" max="513" width="73.421875" style="120" customWidth="1"/>
    <col min="514" max="514" width="24.421875" style="120" customWidth="1"/>
    <col min="515" max="768" width="9.140625" style="120" customWidth="1"/>
    <col min="769" max="769" width="73.421875" style="120" customWidth="1"/>
    <col min="770" max="770" width="24.421875" style="120" customWidth="1"/>
    <col min="771" max="1024" width="9.140625" style="120" customWidth="1"/>
    <col min="1025" max="1025" width="73.421875" style="120" customWidth="1"/>
    <col min="1026" max="1026" width="24.421875" style="120" customWidth="1"/>
    <col min="1027" max="1280" width="9.140625" style="120" customWidth="1"/>
    <col min="1281" max="1281" width="73.421875" style="120" customWidth="1"/>
    <col min="1282" max="1282" width="24.421875" style="120" customWidth="1"/>
    <col min="1283" max="1536" width="9.140625" style="120" customWidth="1"/>
    <col min="1537" max="1537" width="73.421875" style="120" customWidth="1"/>
    <col min="1538" max="1538" width="24.421875" style="120" customWidth="1"/>
    <col min="1539" max="1792" width="9.140625" style="120" customWidth="1"/>
    <col min="1793" max="1793" width="73.421875" style="120" customWidth="1"/>
    <col min="1794" max="1794" width="24.421875" style="120" customWidth="1"/>
    <col min="1795" max="2048" width="9.140625" style="120" customWidth="1"/>
    <col min="2049" max="2049" width="73.421875" style="120" customWidth="1"/>
    <col min="2050" max="2050" width="24.421875" style="120" customWidth="1"/>
    <col min="2051" max="2304" width="9.140625" style="120" customWidth="1"/>
    <col min="2305" max="2305" width="73.421875" style="120" customWidth="1"/>
    <col min="2306" max="2306" width="24.421875" style="120" customWidth="1"/>
    <col min="2307" max="2560" width="9.140625" style="120" customWidth="1"/>
    <col min="2561" max="2561" width="73.421875" style="120" customWidth="1"/>
    <col min="2562" max="2562" width="24.421875" style="120" customWidth="1"/>
    <col min="2563" max="2816" width="9.140625" style="120" customWidth="1"/>
    <col min="2817" max="2817" width="73.421875" style="120" customWidth="1"/>
    <col min="2818" max="2818" width="24.421875" style="120" customWidth="1"/>
    <col min="2819" max="3072" width="9.140625" style="120" customWidth="1"/>
    <col min="3073" max="3073" width="73.421875" style="120" customWidth="1"/>
    <col min="3074" max="3074" width="24.421875" style="120" customWidth="1"/>
    <col min="3075" max="3328" width="9.140625" style="120" customWidth="1"/>
    <col min="3329" max="3329" width="73.421875" style="120" customWidth="1"/>
    <col min="3330" max="3330" width="24.421875" style="120" customWidth="1"/>
    <col min="3331" max="3584" width="9.140625" style="120" customWidth="1"/>
    <col min="3585" max="3585" width="73.421875" style="120" customWidth="1"/>
    <col min="3586" max="3586" width="24.421875" style="120" customWidth="1"/>
    <col min="3587" max="3840" width="9.140625" style="120" customWidth="1"/>
    <col min="3841" max="3841" width="73.421875" style="120" customWidth="1"/>
    <col min="3842" max="3842" width="24.421875" style="120" customWidth="1"/>
    <col min="3843" max="4096" width="9.140625" style="120" customWidth="1"/>
    <col min="4097" max="4097" width="73.421875" style="120" customWidth="1"/>
    <col min="4098" max="4098" width="24.421875" style="120" customWidth="1"/>
    <col min="4099" max="4352" width="9.140625" style="120" customWidth="1"/>
    <col min="4353" max="4353" width="73.421875" style="120" customWidth="1"/>
    <col min="4354" max="4354" width="24.421875" style="120" customWidth="1"/>
    <col min="4355" max="4608" width="9.140625" style="120" customWidth="1"/>
    <col min="4609" max="4609" width="73.421875" style="120" customWidth="1"/>
    <col min="4610" max="4610" width="24.421875" style="120" customWidth="1"/>
    <col min="4611" max="4864" width="9.140625" style="120" customWidth="1"/>
    <col min="4865" max="4865" width="73.421875" style="120" customWidth="1"/>
    <col min="4866" max="4866" width="24.421875" style="120" customWidth="1"/>
    <col min="4867" max="5120" width="9.140625" style="120" customWidth="1"/>
    <col min="5121" max="5121" width="73.421875" style="120" customWidth="1"/>
    <col min="5122" max="5122" width="24.421875" style="120" customWidth="1"/>
    <col min="5123" max="5376" width="9.140625" style="120" customWidth="1"/>
    <col min="5377" max="5377" width="73.421875" style="120" customWidth="1"/>
    <col min="5378" max="5378" width="24.421875" style="120" customWidth="1"/>
    <col min="5379" max="5632" width="9.140625" style="120" customWidth="1"/>
    <col min="5633" max="5633" width="73.421875" style="120" customWidth="1"/>
    <col min="5634" max="5634" width="24.421875" style="120" customWidth="1"/>
    <col min="5635" max="5888" width="9.140625" style="120" customWidth="1"/>
    <col min="5889" max="5889" width="73.421875" style="120" customWidth="1"/>
    <col min="5890" max="5890" width="24.421875" style="120" customWidth="1"/>
    <col min="5891" max="6144" width="9.140625" style="120" customWidth="1"/>
    <col min="6145" max="6145" width="73.421875" style="120" customWidth="1"/>
    <col min="6146" max="6146" width="24.421875" style="120" customWidth="1"/>
    <col min="6147" max="6400" width="9.140625" style="120" customWidth="1"/>
    <col min="6401" max="6401" width="73.421875" style="120" customWidth="1"/>
    <col min="6402" max="6402" width="24.421875" style="120" customWidth="1"/>
    <col min="6403" max="6656" width="9.140625" style="120" customWidth="1"/>
    <col min="6657" max="6657" width="73.421875" style="120" customWidth="1"/>
    <col min="6658" max="6658" width="24.421875" style="120" customWidth="1"/>
    <col min="6659" max="6912" width="9.140625" style="120" customWidth="1"/>
    <col min="6913" max="6913" width="73.421875" style="120" customWidth="1"/>
    <col min="6914" max="6914" width="24.421875" style="120" customWidth="1"/>
    <col min="6915" max="7168" width="9.140625" style="120" customWidth="1"/>
    <col min="7169" max="7169" width="73.421875" style="120" customWidth="1"/>
    <col min="7170" max="7170" width="24.421875" style="120" customWidth="1"/>
    <col min="7171" max="7424" width="9.140625" style="120" customWidth="1"/>
    <col min="7425" max="7425" width="73.421875" style="120" customWidth="1"/>
    <col min="7426" max="7426" width="24.421875" style="120" customWidth="1"/>
    <col min="7427" max="7680" width="9.140625" style="120" customWidth="1"/>
    <col min="7681" max="7681" width="73.421875" style="120" customWidth="1"/>
    <col min="7682" max="7682" width="24.421875" style="120" customWidth="1"/>
    <col min="7683" max="7936" width="9.140625" style="120" customWidth="1"/>
    <col min="7937" max="7937" width="73.421875" style="120" customWidth="1"/>
    <col min="7938" max="7938" width="24.421875" style="120" customWidth="1"/>
    <col min="7939" max="8192" width="9.140625" style="120" customWidth="1"/>
    <col min="8193" max="8193" width="73.421875" style="120" customWidth="1"/>
    <col min="8194" max="8194" width="24.421875" style="120" customWidth="1"/>
    <col min="8195" max="8448" width="9.140625" style="120" customWidth="1"/>
    <col min="8449" max="8449" width="73.421875" style="120" customWidth="1"/>
    <col min="8450" max="8450" width="24.421875" style="120" customWidth="1"/>
    <col min="8451" max="8704" width="9.140625" style="120" customWidth="1"/>
    <col min="8705" max="8705" width="73.421875" style="120" customWidth="1"/>
    <col min="8706" max="8706" width="24.421875" style="120" customWidth="1"/>
    <col min="8707" max="8960" width="9.140625" style="120" customWidth="1"/>
    <col min="8961" max="8961" width="73.421875" style="120" customWidth="1"/>
    <col min="8962" max="8962" width="24.421875" style="120" customWidth="1"/>
    <col min="8963" max="9216" width="9.140625" style="120" customWidth="1"/>
    <col min="9217" max="9217" width="73.421875" style="120" customWidth="1"/>
    <col min="9218" max="9218" width="24.421875" style="120" customWidth="1"/>
    <col min="9219" max="9472" width="9.140625" style="120" customWidth="1"/>
    <col min="9473" max="9473" width="73.421875" style="120" customWidth="1"/>
    <col min="9474" max="9474" width="24.421875" style="120" customWidth="1"/>
    <col min="9475" max="9728" width="9.140625" style="120" customWidth="1"/>
    <col min="9729" max="9729" width="73.421875" style="120" customWidth="1"/>
    <col min="9730" max="9730" width="24.421875" style="120" customWidth="1"/>
    <col min="9731" max="9984" width="9.140625" style="120" customWidth="1"/>
    <col min="9985" max="9985" width="73.421875" style="120" customWidth="1"/>
    <col min="9986" max="9986" width="24.421875" style="120" customWidth="1"/>
    <col min="9987" max="10240" width="9.140625" style="120" customWidth="1"/>
    <col min="10241" max="10241" width="73.421875" style="120" customWidth="1"/>
    <col min="10242" max="10242" width="24.421875" style="120" customWidth="1"/>
    <col min="10243" max="10496" width="9.140625" style="120" customWidth="1"/>
    <col min="10497" max="10497" width="73.421875" style="120" customWidth="1"/>
    <col min="10498" max="10498" width="24.421875" style="120" customWidth="1"/>
    <col min="10499" max="10752" width="9.140625" style="120" customWidth="1"/>
    <col min="10753" max="10753" width="73.421875" style="120" customWidth="1"/>
    <col min="10754" max="10754" width="24.421875" style="120" customWidth="1"/>
    <col min="10755" max="11008" width="9.140625" style="120" customWidth="1"/>
    <col min="11009" max="11009" width="73.421875" style="120" customWidth="1"/>
    <col min="11010" max="11010" width="24.421875" style="120" customWidth="1"/>
    <col min="11011" max="11264" width="9.140625" style="120" customWidth="1"/>
    <col min="11265" max="11265" width="73.421875" style="120" customWidth="1"/>
    <col min="11266" max="11266" width="24.421875" style="120" customWidth="1"/>
    <col min="11267" max="11520" width="9.140625" style="120" customWidth="1"/>
    <col min="11521" max="11521" width="73.421875" style="120" customWidth="1"/>
    <col min="11522" max="11522" width="24.421875" style="120" customWidth="1"/>
    <col min="11523" max="11776" width="9.140625" style="120" customWidth="1"/>
    <col min="11777" max="11777" width="73.421875" style="120" customWidth="1"/>
    <col min="11778" max="11778" width="24.421875" style="120" customWidth="1"/>
    <col min="11779" max="12032" width="9.140625" style="120" customWidth="1"/>
    <col min="12033" max="12033" width="73.421875" style="120" customWidth="1"/>
    <col min="12034" max="12034" width="24.421875" style="120" customWidth="1"/>
    <col min="12035" max="12288" width="9.140625" style="120" customWidth="1"/>
    <col min="12289" max="12289" width="73.421875" style="120" customWidth="1"/>
    <col min="12290" max="12290" width="24.421875" style="120" customWidth="1"/>
    <col min="12291" max="12544" width="9.140625" style="120" customWidth="1"/>
    <col min="12545" max="12545" width="73.421875" style="120" customWidth="1"/>
    <col min="12546" max="12546" width="24.421875" style="120" customWidth="1"/>
    <col min="12547" max="12800" width="9.140625" style="120" customWidth="1"/>
    <col min="12801" max="12801" width="73.421875" style="120" customWidth="1"/>
    <col min="12802" max="12802" width="24.421875" style="120" customWidth="1"/>
    <col min="12803" max="13056" width="9.140625" style="120" customWidth="1"/>
    <col min="13057" max="13057" width="73.421875" style="120" customWidth="1"/>
    <col min="13058" max="13058" width="24.421875" style="120" customWidth="1"/>
    <col min="13059" max="13312" width="9.140625" style="120" customWidth="1"/>
    <col min="13313" max="13313" width="73.421875" style="120" customWidth="1"/>
    <col min="13314" max="13314" width="24.421875" style="120" customWidth="1"/>
    <col min="13315" max="13568" width="9.140625" style="120" customWidth="1"/>
    <col min="13569" max="13569" width="73.421875" style="120" customWidth="1"/>
    <col min="13570" max="13570" width="24.421875" style="120" customWidth="1"/>
    <col min="13571" max="13824" width="9.140625" style="120" customWidth="1"/>
    <col min="13825" max="13825" width="73.421875" style="120" customWidth="1"/>
    <col min="13826" max="13826" width="24.421875" style="120" customWidth="1"/>
    <col min="13827" max="14080" width="9.140625" style="120" customWidth="1"/>
    <col min="14081" max="14081" width="73.421875" style="120" customWidth="1"/>
    <col min="14082" max="14082" width="24.421875" style="120" customWidth="1"/>
    <col min="14083" max="14336" width="9.140625" style="120" customWidth="1"/>
    <col min="14337" max="14337" width="73.421875" style="120" customWidth="1"/>
    <col min="14338" max="14338" width="24.421875" style="120" customWidth="1"/>
    <col min="14339" max="14592" width="9.140625" style="120" customWidth="1"/>
    <col min="14593" max="14593" width="73.421875" style="120" customWidth="1"/>
    <col min="14594" max="14594" width="24.421875" style="120" customWidth="1"/>
    <col min="14595" max="14848" width="9.140625" style="120" customWidth="1"/>
    <col min="14849" max="14849" width="73.421875" style="120" customWidth="1"/>
    <col min="14850" max="14850" width="24.421875" style="120" customWidth="1"/>
    <col min="14851" max="15104" width="9.140625" style="120" customWidth="1"/>
    <col min="15105" max="15105" width="73.421875" style="120" customWidth="1"/>
    <col min="15106" max="15106" width="24.421875" style="120" customWidth="1"/>
    <col min="15107" max="15360" width="9.140625" style="120" customWidth="1"/>
    <col min="15361" max="15361" width="73.421875" style="120" customWidth="1"/>
    <col min="15362" max="15362" width="24.421875" style="120" customWidth="1"/>
    <col min="15363" max="15616" width="9.140625" style="120" customWidth="1"/>
    <col min="15617" max="15617" width="73.421875" style="120" customWidth="1"/>
    <col min="15618" max="15618" width="24.421875" style="120" customWidth="1"/>
    <col min="15619" max="15872" width="9.140625" style="120" customWidth="1"/>
    <col min="15873" max="15873" width="73.421875" style="120" customWidth="1"/>
    <col min="15874" max="15874" width="24.421875" style="120" customWidth="1"/>
    <col min="15875" max="16128" width="9.140625" style="120" customWidth="1"/>
    <col min="16129" max="16129" width="73.421875" style="120" customWidth="1"/>
    <col min="16130" max="16130" width="24.421875" style="120" customWidth="1"/>
    <col min="16131" max="16384" width="9.140625" style="120" customWidth="1"/>
  </cols>
  <sheetData>
    <row r="1" spans="1:2" ht="15.75">
      <c r="A1" s="118" t="s">
        <v>35</v>
      </c>
      <c r="B1" s="119"/>
    </row>
    <row r="2" spans="1:2" ht="15.75">
      <c r="A2" s="121"/>
      <c r="B2" s="122"/>
    </row>
    <row r="3" spans="1:2" ht="16.5" thickBot="1">
      <c r="A3" s="411" t="s">
        <v>36</v>
      </c>
      <c r="B3" s="412"/>
    </row>
    <row r="4" spans="1:2" ht="15">
      <c r="A4" s="123" t="s">
        <v>37</v>
      </c>
      <c r="B4" s="124" t="s">
        <v>72</v>
      </c>
    </row>
    <row r="5" spans="1:3" ht="30" customHeight="1">
      <c r="A5" s="125" t="s">
        <v>38</v>
      </c>
      <c r="B5" s="126" t="s">
        <v>39</v>
      </c>
      <c r="C5" s="127"/>
    </row>
    <row r="6" spans="1:2" ht="15">
      <c r="A6" s="128" t="s">
        <v>40</v>
      </c>
      <c r="B6" s="129" t="s">
        <v>240</v>
      </c>
    </row>
    <row r="7" spans="1:2" ht="15">
      <c r="A7" s="130" t="s">
        <v>41</v>
      </c>
      <c r="B7" s="129" t="s">
        <v>74</v>
      </c>
    </row>
    <row r="8" spans="1:2" ht="15">
      <c r="A8" s="125" t="s">
        <v>42</v>
      </c>
      <c r="B8" s="131" t="s">
        <v>73</v>
      </c>
    </row>
    <row r="9" spans="1:2" ht="15">
      <c r="A9" s="125" t="s">
        <v>43</v>
      </c>
      <c r="B9" s="129" t="s">
        <v>239</v>
      </c>
    </row>
    <row r="10" spans="1:2" ht="15">
      <c r="A10" s="125" t="s">
        <v>44</v>
      </c>
      <c r="B10" s="132">
        <v>42991</v>
      </c>
    </row>
    <row r="11" spans="1:2" ht="15">
      <c r="A11" s="125" t="s">
        <v>45</v>
      </c>
      <c r="B11" s="132">
        <v>43009</v>
      </c>
    </row>
    <row r="12" spans="1:2" ht="15">
      <c r="A12" s="125" t="s">
        <v>46</v>
      </c>
      <c r="B12" s="132">
        <f>DATE(YEAR(B11),MONTH(B11)+3,DAY(B11))-1</f>
        <v>43100</v>
      </c>
    </row>
    <row r="13" spans="1:2" ht="15">
      <c r="A13" s="125" t="s">
        <v>47</v>
      </c>
      <c r="B13" s="129">
        <v>6</v>
      </c>
    </row>
    <row r="14" spans="1:2" ht="15">
      <c r="A14" s="133" t="s">
        <v>48</v>
      </c>
      <c r="B14" s="129" t="s">
        <v>49</v>
      </c>
    </row>
    <row r="15" spans="1:2" ht="25.5">
      <c r="A15" s="134" t="s">
        <v>50</v>
      </c>
      <c r="B15" s="129"/>
    </row>
    <row r="16" spans="1:6" ht="32.25" customHeight="1">
      <c r="A16" s="413" t="s">
        <v>144</v>
      </c>
      <c r="B16" s="414"/>
      <c r="C16" s="231"/>
      <c r="D16" s="231"/>
      <c r="E16" s="231"/>
      <c r="F16" s="231"/>
    </row>
    <row r="17" spans="1:2" ht="18.75" customHeight="1">
      <c r="A17" s="125" t="s">
        <v>51</v>
      </c>
      <c r="B17" s="331">
        <f>'DFP-CASH'!H54</f>
        <v>1703969.62911981</v>
      </c>
    </row>
    <row r="18" spans="1:2" ht="20.25" customHeight="1">
      <c r="A18" s="125" t="s">
        <v>52</v>
      </c>
      <c r="B18" s="135"/>
    </row>
    <row r="19" spans="1:2" ht="18.75" customHeight="1">
      <c r="A19" s="125" t="s">
        <v>53</v>
      </c>
      <c r="B19" s="136"/>
    </row>
    <row r="20" spans="1:2" ht="18.75" customHeight="1">
      <c r="A20" s="125" t="s">
        <v>54</v>
      </c>
      <c r="B20" s="135">
        <v>0</v>
      </c>
    </row>
    <row r="21" spans="1:2" ht="18.75" customHeight="1">
      <c r="A21" s="125" t="s">
        <v>55</v>
      </c>
      <c r="B21" s="331">
        <f>B17+B18+B19-B20</f>
        <v>1703969.62911981</v>
      </c>
    </row>
    <row r="22" spans="1:2" ht="32.1" customHeight="1">
      <c r="A22" s="125" t="s">
        <v>56</v>
      </c>
      <c r="B22" s="351" t="s">
        <v>283</v>
      </c>
    </row>
    <row r="23" spans="1:2" ht="39.95" customHeight="1">
      <c r="A23" s="415" t="s">
        <v>57</v>
      </c>
      <c r="B23" s="415"/>
    </row>
    <row r="24" spans="1:2" ht="58.5" customHeight="1">
      <c r="A24" s="415" t="s">
        <v>58</v>
      </c>
      <c r="B24" s="415"/>
    </row>
    <row r="25" spans="1:2" ht="33" customHeight="1">
      <c r="A25" s="415" t="s">
        <v>59</v>
      </c>
      <c r="B25" s="416"/>
    </row>
    <row r="26" spans="1:2" ht="50.1" customHeight="1">
      <c r="A26" s="415" t="s">
        <v>264</v>
      </c>
      <c r="B26" s="415"/>
    </row>
    <row r="27" spans="1:2" ht="20.1" customHeight="1">
      <c r="A27" s="137"/>
      <c r="B27" s="138"/>
    </row>
    <row r="28" spans="1:2" ht="20.1" customHeight="1">
      <c r="A28" s="407" t="s">
        <v>71</v>
      </c>
      <c r="B28" s="408"/>
    </row>
    <row r="29" spans="1:2" ht="20.1" customHeight="1">
      <c r="A29" s="139" t="s">
        <v>60</v>
      </c>
      <c r="B29" s="140"/>
    </row>
    <row r="30" spans="1:2" ht="20.1" customHeight="1">
      <c r="A30" s="139" t="s">
        <v>284</v>
      </c>
      <c r="B30" s="140"/>
    </row>
    <row r="31" spans="1:2" ht="20.1" customHeight="1">
      <c r="A31" s="325" t="s">
        <v>282</v>
      </c>
      <c r="B31" s="140"/>
    </row>
    <row r="32" spans="1:2" ht="20.1" customHeight="1">
      <c r="A32" s="141"/>
      <c r="B32" s="142"/>
    </row>
    <row r="33" spans="1:2" ht="20.1" customHeight="1">
      <c r="A33" s="409" t="s">
        <v>238</v>
      </c>
      <c r="B33" s="410"/>
    </row>
    <row r="34" spans="1:2" ht="20.1" customHeight="1">
      <c r="A34" s="139" t="s">
        <v>60</v>
      </c>
      <c r="B34" s="140"/>
    </row>
    <row r="35" spans="1:2" ht="20.1" customHeight="1">
      <c r="A35" s="349" t="s">
        <v>273</v>
      </c>
      <c r="B35" s="140"/>
    </row>
    <row r="36" spans="1:2" ht="20.1" customHeight="1">
      <c r="A36" s="139" t="s">
        <v>61</v>
      </c>
      <c r="B36" s="140"/>
    </row>
    <row r="37" spans="1:2" ht="20.1" customHeight="1">
      <c r="A37" s="141"/>
      <c r="B37" s="142"/>
    </row>
    <row r="38" spans="1:2" ht="20.1" customHeight="1">
      <c r="A38" s="137"/>
      <c r="B38" s="138"/>
    </row>
    <row r="39" spans="1:2" ht="14.45" customHeight="1">
      <c r="A39" s="407"/>
      <c r="B39" s="408"/>
    </row>
    <row r="40" spans="1:2" ht="20.1" customHeight="1">
      <c r="A40" s="141" t="s">
        <v>60</v>
      </c>
      <c r="B40" s="140"/>
    </row>
    <row r="41" spans="1:2" ht="20.1" customHeight="1" thickBot="1">
      <c r="A41" s="143" t="s">
        <v>62</v>
      </c>
      <c r="B41" s="140"/>
    </row>
    <row r="42" spans="1:2" ht="20.1" customHeight="1">
      <c r="A42" s="139" t="s">
        <v>248</v>
      </c>
      <c r="B42" s="140"/>
    </row>
    <row r="43" spans="1:2" ht="14.45" customHeight="1">
      <c r="A43" s="144"/>
      <c r="B43" s="142"/>
    </row>
    <row r="44" spans="1:2" ht="15">
      <c r="A44" s="145"/>
      <c r="B44" s="146"/>
    </row>
    <row r="45" spans="1:2" ht="15">
      <c r="A45" s="147"/>
      <c r="B45" s="148"/>
    </row>
  </sheetData>
  <mergeCells count="9">
    <mergeCell ref="A28:B28"/>
    <mergeCell ref="A33:B33"/>
    <mergeCell ref="A39:B39"/>
    <mergeCell ref="A3:B3"/>
    <mergeCell ref="A16:B16"/>
    <mergeCell ref="A23:B23"/>
    <mergeCell ref="A24:B24"/>
    <mergeCell ref="A25:B25"/>
    <mergeCell ref="A26:B26"/>
  </mergeCells>
  <printOptions horizontalCentered="1"/>
  <pageMargins left="0.4330708661417323" right="0.3937007874015748" top="0.5118110236220472" bottom="0.4330708661417323" header="0.2755905511811024" footer="0.2755905511811024"/>
  <pageSetup fitToHeight="1" fitToWidth="1" horizontalDpi="600" verticalDpi="600" orientation="portrait" scale="8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92"/>
  <sheetViews>
    <sheetView showGridLines="0" zoomScale="70" zoomScaleNormal="70" workbookViewId="0" topLeftCell="A1">
      <pane xSplit="3" ySplit="3" topLeftCell="D4" activePane="bottomRight" state="frozen"/>
      <selection pane="topRight" activeCell="D1" sqref="D1"/>
      <selection pane="bottomLeft" activeCell="A4" sqref="A4"/>
      <selection pane="bottomRight" activeCell="B1" sqref="B1:C1048576"/>
    </sheetView>
  </sheetViews>
  <sheetFormatPr defaultColWidth="8.8515625" defaultRowHeight="15"/>
  <cols>
    <col min="1" max="1" width="8.8515625" style="0" customWidth="1"/>
    <col min="2" max="2" width="44.8515625" style="0" customWidth="1"/>
    <col min="3" max="3" width="63.8515625" style="0" customWidth="1"/>
    <col min="4" max="4" width="14.00390625" style="0" customWidth="1"/>
    <col min="5" max="5" width="13.140625" style="0" customWidth="1"/>
    <col min="6" max="6" width="12.421875" style="0" customWidth="1"/>
    <col min="7" max="7" width="10.421875" style="0" customWidth="1"/>
    <col min="8" max="8" width="10.421875" style="317" customWidth="1"/>
    <col min="9" max="19" width="10.421875" style="0" customWidth="1"/>
    <col min="20" max="20" width="7.8515625" style="0" bestFit="1" customWidth="1"/>
    <col min="21" max="21" width="23.00390625" style="0" bestFit="1" customWidth="1"/>
    <col min="22" max="23" width="14.00390625" style="0" customWidth="1"/>
    <col min="24" max="24" width="11.00390625" style="0" customWidth="1"/>
    <col min="25" max="27" width="10.421875" style="0" customWidth="1"/>
    <col min="28" max="28" width="16.140625" style="0" customWidth="1"/>
    <col min="29" max="29" width="15.421875" style="0" customWidth="1"/>
    <col min="30" max="34" width="10.421875" style="0" customWidth="1"/>
    <col min="35" max="35" width="12.421875" style="0" customWidth="1"/>
    <col min="36" max="37" width="10.421875" style="0" customWidth="1"/>
    <col min="38" max="38" width="12.57421875" style="0" customWidth="1"/>
    <col min="40" max="41" width="11.421875" style="0" customWidth="1"/>
    <col min="42" max="42" width="12.140625" style="0" customWidth="1"/>
    <col min="43" max="44" width="11.421875" style="0" customWidth="1"/>
    <col min="45" max="45" width="12.421875" style="0" customWidth="1"/>
    <col min="46" max="54" width="11.421875" style="0" customWidth="1"/>
    <col min="56" max="56" width="11.57421875" style="0" customWidth="1"/>
  </cols>
  <sheetData>
    <row r="1" spans="4:54" ht="15">
      <c r="D1" s="236">
        <f>SUM(D2:D66)</f>
        <v>22880235.08</v>
      </c>
      <c r="F1" t="s">
        <v>175</v>
      </c>
      <c r="U1" t="s">
        <v>189</v>
      </c>
      <c r="X1" s="241" t="s">
        <v>217</v>
      </c>
      <c r="Y1" s="241"/>
      <c r="Z1" s="241"/>
      <c r="AA1" s="241"/>
      <c r="AB1" s="241"/>
      <c r="AC1" s="241"/>
      <c r="AD1" s="241"/>
      <c r="AE1" s="241"/>
      <c r="AF1" s="241"/>
      <c r="AG1" s="241"/>
      <c r="AH1" s="241"/>
      <c r="AI1" s="241"/>
      <c r="AJ1" s="241"/>
      <c r="AK1" s="241"/>
      <c r="AL1" s="241"/>
      <c r="AM1" s="242"/>
      <c r="AN1" s="241" t="s">
        <v>218</v>
      </c>
      <c r="AO1" s="241"/>
      <c r="AP1" s="241"/>
      <c r="AQ1" s="241"/>
      <c r="AR1" s="241"/>
      <c r="AS1" s="241"/>
      <c r="AT1" s="241"/>
      <c r="AU1" s="241"/>
      <c r="AV1" s="241"/>
      <c r="AW1" s="241"/>
      <c r="AX1" s="241"/>
      <c r="AY1" s="241"/>
      <c r="AZ1" s="241"/>
      <c r="BA1" s="241"/>
      <c r="BB1" s="241"/>
    </row>
    <row r="2" spans="1:56" ht="15">
      <c r="A2" t="s">
        <v>151</v>
      </c>
      <c r="D2" t="s">
        <v>173</v>
      </c>
      <c r="F2" s="234">
        <v>42552</v>
      </c>
      <c r="G2" s="234">
        <v>42644</v>
      </c>
      <c r="H2" s="318">
        <v>42736</v>
      </c>
      <c r="I2" s="234">
        <v>42826</v>
      </c>
      <c r="J2" s="234">
        <v>42917</v>
      </c>
      <c r="K2" s="234">
        <v>43009</v>
      </c>
      <c r="L2" s="234">
        <v>43101</v>
      </c>
      <c r="M2" s="234">
        <v>43191</v>
      </c>
      <c r="N2" s="234">
        <v>43282</v>
      </c>
      <c r="O2" s="234">
        <v>43374</v>
      </c>
      <c r="P2" s="234">
        <v>43466</v>
      </c>
      <c r="Q2" s="234">
        <v>43556</v>
      </c>
      <c r="R2" s="234">
        <v>43647</v>
      </c>
      <c r="S2" s="234">
        <v>43739</v>
      </c>
      <c r="T2" s="234">
        <v>43831</v>
      </c>
      <c r="V2" s="300"/>
      <c r="W2" s="300"/>
      <c r="X2" s="243">
        <v>42552</v>
      </c>
      <c r="Y2" s="243">
        <v>42644</v>
      </c>
      <c r="Z2" s="243">
        <v>42736</v>
      </c>
      <c r="AA2" s="243">
        <v>42826</v>
      </c>
      <c r="AB2" s="243">
        <v>42917</v>
      </c>
      <c r="AC2" s="243">
        <v>43009</v>
      </c>
      <c r="AD2" s="243">
        <v>43101</v>
      </c>
      <c r="AE2" s="243">
        <v>43191</v>
      </c>
      <c r="AF2" s="243">
        <v>43282</v>
      </c>
      <c r="AG2" s="243">
        <v>43374</v>
      </c>
      <c r="AH2" s="243">
        <v>43466</v>
      </c>
      <c r="AI2" s="243">
        <v>43556</v>
      </c>
      <c r="AJ2" s="243">
        <v>43647</v>
      </c>
      <c r="AK2" s="243">
        <v>43739</v>
      </c>
      <c r="AL2" s="243">
        <v>43831</v>
      </c>
      <c r="AM2" s="242"/>
      <c r="AN2" s="243">
        <v>42552</v>
      </c>
      <c r="AO2" s="243">
        <v>42644</v>
      </c>
      <c r="AP2" s="243">
        <v>42736</v>
      </c>
      <c r="AQ2" s="243">
        <v>42826</v>
      </c>
      <c r="AR2" s="243">
        <v>42917</v>
      </c>
      <c r="AS2" s="243">
        <v>43009</v>
      </c>
      <c r="AT2" s="243">
        <v>43101</v>
      </c>
      <c r="AU2" s="243">
        <v>43191</v>
      </c>
      <c r="AV2" s="243">
        <v>43282</v>
      </c>
      <c r="AW2" s="243">
        <v>43374</v>
      </c>
      <c r="AX2" s="243">
        <v>43466</v>
      </c>
      <c r="AY2" s="243">
        <v>43556</v>
      </c>
      <c r="AZ2" s="243">
        <v>43647</v>
      </c>
      <c r="BA2" s="243">
        <v>43739</v>
      </c>
      <c r="BB2" s="243">
        <v>43831</v>
      </c>
      <c r="BD2" t="s">
        <v>225</v>
      </c>
    </row>
    <row r="3" spans="1:54" ht="15">
      <c r="A3" s="300" t="s">
        <v>151</v>
      </c>
      <c r="C3" s="300"/>
      <c r="E3" t="s">
        <v>174</v>
      </c>
      <c r="F3" t="s">
        <v>172</v>
      </c>
      <c r="G3" t="s">
        <v>176</v>
      </c>
      <c r="H3" s="317" t="s">
        <v>177</v>
      </c>
      <c r="I3" t="s">
        <v>178</v>
      </c>
      <c r="J3" t="s">
        <v>179</v>
      </c>
      <c r="K3" s="352" t="s">
        <v>180</v>
      </c>
      <c r="L3" t="s">
        <v>181</v>
      </c>
      <c r="M3" t="s">
        <v>182</v>
      </c>
      <c r="N3" t="s">
        <v>183</v>
      </c>
      <c r="O3" t="s">
        <v>184</v>
      </c>
      <c r="P3" t="s">
        <v>185</v>
      </c>
      <c r="Q3" t="s">
        <v>186</v>
      </c>
      <c r="R3" t="s">
        <v>187</v>
      </c>
      <c r="S3" t="s">
        <v>188</v>
      </c>
      <c r="T3" t="s">
        <v>190</v>
      </c>
      <c r="V3" s="300"/>
      <c r="W3" s="300"/>
      <c r="X3" s="241" t="s">
        <v>172</v>
      </c>
      <c r="Y3" s="241" t="s">
        <v>176</v>
      </c>
      <c r="Z3" s="241" t="s">
        <v>177</v>
      </c>
      <c r="AA3" s="241" t="s">
        <v>178</v>
      </c>
      <c r="AB3" s="241" t="s">
        <v>179</v>
      </c>
      <c r="AC3" s="241" t="s">
        <v>180</v>
      </c>
      <c r="AD3" s="241" t="s">
        <v>181</v>
      </c>
      <c r="AE3" s="241" t="s">
        <v>182</v>
      </c>
      <c r="AF3" s="241" t="s">
        <v>183</v>
      </c>
      <c r="AG3" s="241" t="s">
        <v>184</v>
      </c>
      <c r="AH3" s="241" t="s">
        <v>185</v>
      </c>
      <c r="AI3" s="241" t="s">
        <v>186</v>
      </c>
      <c r="AJ3" s="241" t="s">
        <v>187</v>
      </c>
      <c r="AK3" s="241" t="s">
        <v>188</v>
      </c>
      <c r="AL3" s="241" t="s">
        <v>190</v>
      </c>
      <c r="AM3" s="242"/>
      <c r="AN3" s="241" t="s">
        <v>172</v>
      </c>
      <c r="AO3" s="241" t="s">
        <v>176</v>
      </c>
      <c r="AP3" s="241" t="s">
        <v>177</v>
      </c>
      <c r="AQ3" s="241" t="s">
        <v>178</v>
      </c>
      <c r="AR3" s="241" t="s">
        <v>179</v>
      </c>
      <c r="AS3" s="241" t="s">
        <v>180</v>
      </c>
      <c r="AT3" s="241" t="s">
        <v>181</v>
      </c>
      <c r="AU3" s="241" t="s">
        <v>182</v>
      </c>
      <c r="AV3" s="241" t="s">
        <v>183</v>
      </c>
      <c r="AW3" s="241" t="s">
        <v>184</v>
      </c>
      <c r="AX3" s="241" t="s">
        <v>185</v>
      </c>
      <c r="AY3" s="241" t="s">
        <v>186</v>
      </c>
      <c r="AZ3" s="241" t="s">
        <v>187</v>
      </c>
      <c r="BA3" s="241" t="s">
        <v>188</v>
      </c>
      <c r="BB3" s="241" t="s">
        <v>190</v>
      </c>
    </row>
    <row r="4" spans="1:56" ht="15">
      <c r="A4" t="s">
        <v>152</v>
      </c>
      <c r="B4" s="248"/>
      <c r="D4" s="382">
        <v>8500031.6614</v>
      </c>
      <c r="E4" s="250" t="s">
        <v>223</v>
      </c>
      <c r="F4" s="362"/>
      <c r="G4" s="362"/>
      <c r="H4" s="362"/>
      <c r="I4" s="339">
        <v>0</v>
      </c>
      <c r="J4" s="339">
        <f>829271.38/D4</f>
        <v>0.0975609754215215</v>
      </c>
      <c r="K4" s="372">
        <f>518294.61/D4</f>
        <v>0.06097560934433439</v>
      </c>
      <c r="L4" s="339">
        <v>0.05</v>
      </c>
      <c r="M4" s="339">
        <v>0.05</v>
      </c>
      <c r="N4" s="339">
        <v>0.05</v>
      </c>
      <c r="O4" s="339">
        <v>0.05</v>
      </c>
      <c r="P4" s="339">
        <v>0.1</v>
      </c>
      <c r="Q4" s="339">
        <v>0.1</v>
      </c>
      <c r="R4" s="339">
        <v>0.1</v>
      </c>
      <c r="S4" s="339">
        <v>0.1</v>
      </c>
      <c r="T4" s="360">
        <f>(SUM(I4:S4)-1)*(-1)</f>
        <v>0.24146341523414416</v>
      </c>
      <c r="U4" s="377">
        <f aca="true" t="shared" si="0" ref="U4:U47">SUM(F4:T4)</f>
        <v>1</v>
      </c>
      <c r="V4" s="300"/>
      <c r="W4" s="300"/>
      <c r="X4" s="244">
        <f aca="true" t="shared" si="1" ref="X4:X47">F4*$D4</f>
        <v>0</v>
      </c>
      <c r="Y4" s="244">
        <f aca="true" t="shared" si="2" ref="Y4:Y47">G4*$D4</f>
        <v>0</v>
      </c>
      <c r="Z4" s="244">
        <f aca="true" t="shared" si="3" ref="Z4:Z47">H4*$D4</f>
        <v>0</v>
      </c>
      <c r="AA4" s="244">
        <f aca="true" t="shared" si="4" ref="AA4:AA47">I4*$D4</f>
        <v>0</v>
      </c>
      <c r="AB4" s="350">
        <f>J4*$D4</f>
        <v>829271.38</v>
      </c>
      <c r="AC4" s="244">
        <f aca="true" t="shared" si="5" ref="AC4:AC47">K4*$D4</f>
        <v>518294.61</v>
      </c>
      <c r="AD4" s="244">
        <f aca="true" t="shared" si="6" ref="AD4:AD47">L4*$D4</f>
        <v>425001.58307</v>
      </c>
      <c r="AE4" s="244">
        <f aca="true" t="shared" si="7" ref="AE4:AE47">M4*$D4</f>
        <v>425001.58307</v>
      </c>
      <c r="AF4" s="244">
        <f aca="true" t="shared" si="8" ref="AF4:AF47">N4*$D4</f>
        <v>425001.58307</v>
      </c>
      <c r="AG4" s="244">
        <f aca="true" t="shared" si="9" ref="AG4:AG47">O4*$D4</f>
        <v>425001.58307</v>
      </c>
      <c r="AH4" s="244">
        <f aca="true" t="shared" si="10" ref="AH4:AH47">P4*$D4</f>
        <v>850003.16614</v>
      </c>
      <c r="AI4" s="244">
        <f aca="true" t="shared" si="11" ref="AI4:AI47">Q4*$D4</f>
        <v>850003.16614</v>
      </c>
      <c r="AJ4" s="244">
        <f aca="true" t="shared" si="12" ref="AJ4:AJ47">R4*$D4</f>
        <v>850003.16614</v>
      </c>
      <c r="AK4" s="244">
        <f aca="true" t="shared" si="13" ref="AK4:AK47">S4*$D4</f>
        <v>850003.16614</v>
      </c>
      <c r="AL4" s="244">
        <f aca="true" t="shared" si="14" ref="AL4:AL47">T4*$D4</f>
        <v>2052446.6745600004</v>
      </c>
      <c r="AM4" s="242"/>
      <c r="AN4" s="244">
        <f aca="true" t="shared" si="15" ref="AN4:BB23">IF(AN$3=$E4,$D4,0)</f>
        <v>0</v>
      </c>
      <c r="AO4" s="244">
        <f t="shared" si="15"/>
        <v>0</v>
      </c>
      <c r="AP4" s="244">
        <f t="shared" si="15"/>
        <v>0</v>
      </c>
      <c r="AQ4" s="244">
        <f t="shared" si="15"/>
        <v>8500031.6614</v>
      </c>
      <c r="AR4" s="244">
        <f t="shared" si="15"/>
        <v>0</v>
      </c>
      <c r="AS4" s="244">
        <f t="shared" si="15"/>
        <v>0</v>
      </c>
      <c r="AT4" s="244">
        <f t="shared" si="15"/>
        <v>0</v>
      </c>
      <c r="AU4" s="244">
        <f t="shared" si="15"/>
        <v>0</v>
      </c>
      <c r="AV4" s="244">
        <f t="shared" si="15"/>
        <v>0</v>
      </c>
      <c r="AW4" s="244">
        <f t="shared" si="15"/>
        <v>0</v>
      </c>
      <c r="AX4" s="244">
        <f t="shared" si="15"/>
        <v>0</v>
      </c>
      <c r="AY4" s="244">
        <f t="shared" si="15"/>
        <v>0</v>
      </c>
      <c r="AZ4" s="244">
        <f t="shared" si="15"/>
        <v>0</v>
      </c>
      <c r="BA4" s="244">
        <f t="shared" si="15"/>
        <v>0</v>
      </c>
      <c r="BB4" s="244">
        <f t="shared" si="15"/>
        <v>0</v>
      </c>
      <c r="BD4" s="237">
        <f aca="true" t="shared" si="16" ref="BD4:BD37">SUM(X4:AL4)-SUM(AN4:BB4)</f>
        <v>0</v>
      </c>
    </row>
    <row r="5" spans="1:56" ht="15">
      <c r="A5" t="s">
        <v>152</v>
      </c>
      <c r="B5" s="248"/>
      <c r="D5" s="382">
        <v>200000</v>
      </c>
      <c r="E5" s="250" t="s">
        <v>193</v>
      </c>
      <c r="F5" s="340"/>
      <c r="G5" s="340"/>
      <c r="H5" s="340"/>
      <c r="I5" s="338"/>
      <c r="J5" s="338"/>
      <c r="K5" s="373">
        <v>0.5</v>
      </c>
      <c r="L5" s="341">
        <v>0.5</v>
      </c>
      <c r="M5" s="341">
        <v>0</v>
      </c>
      <c r="N5" s="341">
        <v>0</v>
      </c>
      <c r="O5" s="341">
        <v>0</v>
      </c>
      <c r="P5" s="338"/>
      <c r="Q5" s="338"/>
      <c r="R5" s="338"/>
      <c r="S5" s="338"/>
      <c r="T5" s="338"/>
      <c r="U5" s="377">
        <f t="shared" si="0"/>
        <v>1</v>
      </c>
      <c r="V5" s="300"/>
      <c r="W5" s="300"/>
      <c r="X5" s="244">
        <f t="shared" si="1"/>
        <v>0</v>
      </c>
      <c r="Y5" s="244">
        <f t="shared" si="2"/>
        <v>0</v>
      </c>
      <c r="Z5" s="244">
        <f t="shared" si="3"/>
        <v>0</v>
      </c>
      <c r="AA5" s="244">
        <f t="shared" si="4"/>
        <v>0</v>
      </c>
      <c r="AB5" s="244">
        <f aca="true" t="shared" si="17" ref="AB5:AB47">J5*$D5</f>
        <v>0</v>
      </c>
      <c r="AC5" s="244">
        <f t="shared" si="5"/>
        <v>100000</v>
      </c>
      <c r="AD5" s="244">
        <f t="shared" si="6"/>
        <v>100000</v>
      </c>
      <c r="AE5" s="244">
        <f t="shared" si="7"/>
        <v>0</v>
      </c>
      <c r="AF5" s="244">
        <f t="shared" si="8"/>
        <v>0</v>
      </c>
      <c r="AG5" s="244">
        <f t="shared" si="9"/>
        <v>0</v>
      </c>
      <c r="AH5" s="244">
        <f t="shared" si="10"/>
        <v>0</v>
      </c>
      <c r="AI5" s="244">
        <f t="shared" si="11"/>
        <v>0</v>
      </c>
      <c r="AJ5" s="244">
        <f t="shared" si="12"/>
        <v>0</v>
      </c>
      <c r="AK5" s="244">
        <f t="shared" si="13"/>
        <v>0</v>
      </c>
      <c r="AL5" s="244">
        <f t="shared" si="14"/>
        <v>0</v>
      </c>
      <c r="AM5" s="242"/>
      <c r="AN5" s="244">
        <f t="shared" si="15"/>
        <v>0</v>
      </c>
      <c r="AO5" s="244">
        <f t="shared" si="15"/>
        <v>0</v>
      </c>
      <c r="AP5" s="244">
        <f t="shared" si="15"/>
        <v>0</v>
      </c>
      <c r="AQ5" s="244">
        <f t="shared" si="15"/>
        <v>0</v>
      </c>
      <c r="AR5" s="244">
        <f t="shared" si="15"/>
        <v>0</v>
      </c>
      <c r="AS5" s="244">
        <f t="shared" si="15"/>
        <v>200000</v>
      </c>
      <c r="AT5" s="244">
        <f t="shared" si="15"/>
        <v>0</v>
      </c>
      <c r="AU5" s="244">
        <f t="shared" si="15"/>
        <v>0</v>
      </c>
      <c r="AV5" s="244">
        <f t="shared" si="15"/>
        <v>0</v>
      </c>
      <c r="AW5" s="244">
        <f t="shared" si="15"/>
        <v>0</v>
      </c>
      <c r="AX5" s="244">
        <f t="shared" si="15"/>
        <v>0</v>
      </c>
      <c r="AY5" s="244">
        <f t="shared" si="15"/>
        <v>0</v>
      </c>
      <c r="AZ5" s="244">
        <f t="shared" si="15"/>
        <v>0</v>
      </c>
      <c r="BA5" s="244">
        <f t="shared" si="15"/>
        <v>0</v>
      </c>
      <c r="BB5" s="244">
        <f t="shared" si="15"/>
        <v>0</v>
      </c>
      <c r="BD5" s="237">
        <f t="shared" si="16"/>
        <v>0</v>
      </c>
    </row>
    <row r="6" spans="1:56" s="300" customFormat="1" ht="15">
      <c r="A6" s="300" t="s">
        <v>152</v>
      </c>
      <c r="B6" s="248"/>
      <c r="D6" s="382">
        <v>200000</v>
      </c>
      <c r="E6" s="250" t="s">
        <v>205</v>
      </c>
      <c r="F6" s="340"/>
      <c r="G6" s="340"/>
      <c r="H6" s="340"/>
      <c r="I6" s="338"/>
      <c r="J6" s="338"/>
      <c r="K6" s="353"/>
      <c r="L6" s="341">
        <v>1</v>
      </c>
      <c r="M6" s="341">
        <v>0</v>
      </c>
      <c r="N6" s="341">
        <v>0</v>
      </c>
      <c r="O6" s="341">
        <v>0</v>
      </c>
      <c r="P6" s="338"/>
      <c r="Q6" s="338"/>
      <c r="R6" s="338"/>
      <c r="S6" s="338"/>
      <c r="T6" s="338"/>
      <c r="U6" s="377">
        <f t="shared" si="0"/>
        <v>1</v>
      </c>
      <c r="X6" s="305">
        <f aca="true" t="shared" si="18" ref="X6">F6*$D6</f>
        <v>0</v>
      </c>
      <c r="Y6" s="305">
        <f aca="true" t="shared" si="19" ref="Y6">G6*$D6</f>
        <v>0</v>
      </c>
      <c r="Z6" s="305">
        <f aca="true" t="shared" si="20" ref="Z6">H6*$D6</f>
        <v>0</v>
      </c>
      <c r="AA6" s="305">
        <f aca="true" t="shared" si="21" ref="AA6">I6*$D6</f>
        <v>0</v>
      </c>
      <c r="AB6" s="305">
        <f aca="true" t="shared" si="22" ref="AB6">J6*$D6</f>
        <v>0</v>
      </c>
      <c r="AC6" s="305">
        <f aca="true" t="shared" si="23" ref="AC6">K6*$D6</f>
        <v>0</v>
      </c>
      <c r="AD6" s="305">
        <f aca="true" t="shared" si="24" ref="AD6">L6*$D6</f>
        <v>200000</v>
      </c>
      <c r="AE6" s="305">
        <f aca="true" t="shared" si="25" ref="AE6">M6*$D6</f>
        <v>0</v>
      </c>
      <c r="AF6" s="305">
        <f aca="true" t="shared" si="26" ref="AF6">N6*$D6</f>
        <v>0</v>
      </c>
      <c r="AG6" s="305">
        <f aca="true" t="shared" si="27" ref="AG6">O6*$D6</f>
        <v>0</v>
      </c>
      <c r="AH6" s="305">
        <f aca="true" t="shared" si="28" ref="AH6">P6*$D6</f>
        <v>0</v>
      </c>
      <c r="AI6" s="305">
        <f aca="true" t="shared" si="29" ref="AI6">Q6*$D6</f>
        <v>0</v>
      </c>
      <c r="AJ6" s="305">
        <f aca="true" t="shared" si="30" ref="AJ6">R6*$D6</f>
        <v>0</v>
      </c>
      <c r="AK6" s="305">
        <f aca="true" t="shared" si="31" ref="AK6">S6*$D6</f>
        <v>0</v>
      </c>
      <c r="AL6" s="305">
        <f aca="true" t="shared" si="32" ref="AL6">T6*$D6</f>
        <v>0</v>
      </c>
      <c r="AM6" s="242"/>
      <c r="AN6" s="305">
        <f aca="true" t="shared" si="33" ref="AN6:BB6">IF(AN$3=$E6,$D6,0)</f>
        <v>0</v>
      </c>
      <c r="AO6" s="305">
        <f t="shared" si="33"/>
        <v>0</v>
      </c>
      <c r="AP6" s="305">
        <f t="shared" si="33"/>
        <v>0</v>
      </c>
      <c r="AQ6" s="305">
        <f t="shared" si="33"/>
        <v>0</v>
      </c>
      <c r="AR6" s="305">
        <f t="shared" si="33"/>
        <v>0</v>
      </c>
      <c r="AS6" s="305">
        <f t="shared" si="33"/>
        <v>0</v>
      </c>
      <c r="AT6" s="305">
        <f t="shared" si="33"/>
        <v>200000</v>
      </c>
      <c r="AU6" s="305">
        <f t="shared" si="33"/>
        <v>0</v>
      </c>
      <c r="AV6" s="305">
        <f t="shared" si="33"/>
        <v>0</v>
      </c>
      <c r="AW6" s="305">
        <f t="shared" si="33"/>
        <v>0</v>
      </c>
      <c r="AX6" s="305">
        <f t="shared" si="33"/>
        <v>0</v>
      </c>
      <c r="AY6" s="305">
        <f t="shared" si="33"/>
        <v>0</v>
      </c>
      <c r="AZ6" s="305">
        <f t="shared" si="33"/>
        <v>0</v>
      </c>
      <c r="BA6" s="305">
        <f t="shared" si="33"/>
        <v>0</v>
      </c>
      <c r="BB6" s="305">
        <f t="shared" si="33"/>
        <v>0</v>
      </c>
      <c r="BD6" s="304">
        <f aca="true" t="shared" si="34" ref="BD6">SUM(X6:AL6)-SUM(AN6:BB6)</f>
        <v>0</v>
      </c>
    </row>
    <row r="7" spans="1:56" ht="15">
      <c r="A7" t="s">
        <v>153</v>
      </c>
      <c r="B7" s="248"/>
      <c r="D7" s="382">
        <v>3000000</v>
      </c>
      <c r="E7" s="250" t="s">
        <v>205</v>
      </c>
      <c r="F7" s="362"/>
      <c r="G7" s="362"/>
      <c r="H7" s="362"/>
      <c r="I7" s="339"/>
      <c r="J7" s="339"/>
      <c r="K7" s="372"/>
      <c r="L7" s="339">
        <v>0.125</v>
      </c>
      <c r="M7" s="339">
        <v>0.125</v>
      </c>
      <c r="N7" s="339">
        <v>0.125</v>
      </c>
      <c r="O7" s="339">
        <v>0.125</v>
      </c>
      <c r="P7" s="339">
        <v>0.125</v>
      </c>
      <c r="Q7" s="339">
        <v>0.125</v>
      </c>
      <c r="R7" s="339">
        <v>0.125</v>
      </c>
      <c r="S7" s="339">
        <v>0.125</v>
      </c>
      <c r="T7" s="360">
        <f>(SUM(I7:S7)-1)*(-1)</f>
        <v>0</v>
      </c>
      <c r="U7" s="377">
        <f t="shared" si="0"/>
        <v>1</v>
      </c>
      <c r="V7" s="300"/>
      <c r="W7" s="300"/>
      <c r="X7" s="244">
        <f t="shared" si="1"/>
        <v>0</v>
      </c>
      <c r="Y7" s="244">
        <f t="shared" si="2"/>
        <v>0</v>
      </c>
      <c r="Z7" s="244">
        <f t="shared" si="3"/>
        <v>0</v>
      </c>
      <c r="AA7" s="244">
        <f t="shared" si="4"/>
        <v>0</v>
      </c>
      <c r="AB7" s="244">
        <f t="shared" si="17"/>
        <v>0</v>
      </c>
      <c r="AC7" s="244">
        <f t="shared" si="5"/>
        <v>0</v>
      </c>
      <c r="AD7" s="244">
        <f t="shared" si="6"/>
        <v>375000</v>
      </c>
      <c r="AE7" s="244">
        <f t="shared" si="7"/>
        <v>375000</v>
      </c>
      <c r="AF7" s="244">
        <f t="shared" si="8"/>
        <v>375000</v>
      </c>
      <c r="AG7" s="244">
        <f t="shared" si="9"/>
        <v>375000</v>
      </c>
      <c r="AH7" s="244">
        <f t="shared" si="10"/>
        <v>375000</v>
      </c>
      <c r="AI7" s="244">
        <f t="shared" si="11"/>
        <v>375000</v>
      </c>
      <c r="AJ7" s="244">
        <f t="shared" si="12"/>
        <v>375000</v>
      </c>
      <c r="AK7" s="244">
        <f t="shared" si="13"/>
        <v>375000</v>
      </c>
      <c r="AL7" s="244">
        <f t="shared" si="14"/>
        <v>0</v>
      </c>
      <c r="AM7" s="242"/>
      <c r="AN7" s="244">
        <f t="shared" si="15"/>
        <v>0</v>
      </c>
      <c r="AO7" s="244">
        <f t="shared" si="15"/>
        <v>0</v>
      </c>
      <c r="AP7" s="244">
        <f t="shared" si="15"/>
        <v>0</v>
      </c>
      <c r="AQ7" s="244">
        <f t="shared" si="15"/>
        <v>0</v>
      </c>
      <c r="AR7" s="244">
        <f t="shared" si="15"/>
        <v>0</v>
      </c>
      <c r="AS7" s="244">
        <f t="shared" si="15"/>
        <v>0</v>
      </c>
      <c r="AT7" s="244">
        <f t="shared" si="15"/>
        <v>3000000</v>
      </c>
      <c r="AU7" s="244">
        <f t="shared" si="15"/>
        <v>0</v>
      </c>
      <c r="AV7" s="244">
        <f t="shared" si="15"/>
        <v>0</v>
      </c>
      <c r="AW7" s="244">
        <f t="shared" si="15"/>
        <v>0</v>
      </c>
      <c r="AX7" s="244">
        <f t="shared" si="15"/>
        <v>0</v>
      </c>
      <c r="AY7" s="244">
        <f t="shared" si="15"/>
        <v>0</v>
      </c>
      <c r="AZ7" s="244">
        <f t="shared" si="15"/>
        <v>0</v>
      </c>
      <c r="BA7" s="244">
        <f t="shared" si="15"/>
        <v>0</v>
      </c>
      <c r="BB7" s="244">
        <f t="shared" si="15"/>
        <v>0</v>
      </c>
      <c r="BD7" s="237">
        <f t="shared" si="16"/>
        <v>0</v>
      </c>
    </row>
    <row r="8" spans="1:56" s="300" customFormat="1" ht="15">
      <c r="A8" s="300" t="s">
        <v>154</v>
      </c>
      <c r="B8" s="248"/>
      <c r="D8" s="382">
        <v>6000</v>
      </c>
      <c r="E8" s="250" t="s">
        <v>220</v>
      </c>
      <c r="F8" s="362"/>
      <c r="G8" s="362"/>
      <c r="H8" s="362"/>
      <c r="I8" s="339"/>
      <c r="J8" s="339">
        <v>0.5</v>
      </c>
      <c r="K8" s="372">
        <v>0.5</v>
      </c>
      <c r="L8" s="339"/>
      <c r="M8" s="339"/>
      <c r="N8" s="339"/>
      <c r="O8" s="339"/>
      <c r="P8" s="339"/>
      <c r="Q8" s="339"/>
      <c r="R8" s="339"/>
      <c r="S8" s="339"/>
      <c r="T8" s="341"/>
      <c r="U8" s="377">
        <f t="shared" si="0"/>
        <v>1</v>
      </c>
      <c r="X8" s="305">
        <f aca="true" t="shared" si="35" ref="X8">F8*$D8</f>
        <v>0</v>
      </c>
      <c r="Y8" s="305">
        <f aca="true" t="shared" si="36" ref="Y8">G8*$D8</f>
        <v>0</v>
      </c>
      <c r="Z8" s="305">
        <f aca="true" t="shared" si="37" ref="Z8">H8*$D8</f>
        <v>0</v>
      </c>
      <c r="AA8" s="305">
        <f aca="true" t="shared" si="38" ref="AA8">I8*$D8</f>
        <v>0</v>
      </c>
      <c r="AB8" s="305">
        <f aca="true" t="shared" si="39" ref="AB8">J8*$D8</f>
        <v>3000</v>
      </c>
      <c r="AC8" s="305">
        <f aca="true" t="shared" si="40" ref="AC8">K8*$D8</f>
        <v>3000</v>
      </c>
      <c r="AD8" s="305">
        <f aca="true" t="shared" si="41" ref="AD8">L8*$D8</f>
        <v>0</v>
      </c>
      <c r="AE8" s="305">
        <f aca="true" t="shared" si="42" ref="AE8">M8*$D8</f>
        <v>0</v>
      </c>
      <c r="AF8" s="305">
        <f aca="true" t="shared" si="43" ref="AF8">N8*$D8</f>
        <v>0</v>
      </c>
      <c r="AG8" s="305">
        <f aca="true" t="shared" si="44" ref="AG8">O8*$D8</f>
        <v>0</v>
      </c>
      <c r="AH8" s="305">
        <f aca="true" t="shared" si="45" ref="AH8">P8*$D8</f>
        <v>0</v>
      </c>
      <c r="AI8" s="305">
        <f aca="true" t="shared" si="46" ref="AI8">Q8*$D8</f>
        <v>0</v>
      </c>
      <c r="AJ8" s="305">
        <f aca="true" t="shared" si="47" ref="AJ8">R8*$D8</f>
        <v>0</v>
      </c>
      <c r="AK8" s="305">
        <f aca="true" t="shared" si="48" ref="AK8">S8*$D8</f>
        <v>0</v>
      </c>
      <c r="AL8" s="305">
        <f aca="true" t="shared" si="49" ref="AL8">T8*$D8</f>
        <v>0</v>
      </c>
      <c r="AM8" s="242"/>
      <c r="AN8" s="305">
        <f t="shared" si="15"/>
        <v>0</v>
      </c>
      <c r="AO8" s="305">
        <f t="shared" si="15"/>
        <v>0</v>
      </c>
      <c r="AP8" s="305">
        <f t="shared" si="15"/>
        <v>0</v>
      </c>
      <c r="AQ8" s="305">
        <f t="shared" si="15"/>
        <v>0</v>
      </c>
      <c r="AR8" s="305">
        <v>3000</v>
      </c>
      <c r="AS8" s="305">
        <v>3000</v>
      </c>
      <c r="AT8" s="305">
        <f t="shared" si="15"/>
        <v>0</v>
      </c>
      <c r="AU8" s="305">
        <f t="shared" si="15"/>
        <v>0</v>
      </c>
      <c r="AV8" s="305">
        <f t="shared" si="15"/>
        <v>0</v>
      </c>
      <c r="AW8" s="305">
        <f t="shared" si="15"/>
        <v>0</v>
      </c>
      <c r="AX8" s="305">
        <f t="shared" si="15"/>
        <v>0</v>
      </c>
      <c r="AY8" s="305">
        <f t="shared" si="15"/>
        <v>0</v>
      </c>
      <c r="AZ8" s="305">
        <f t="shared" si="15"/>
        <v>0</v>
      </c>
      <c r="BA8" s="305">
        <f t="shared" si="15"/>
        <v>0</v>
      </c>
      <c r="BB8" s="305">
        <f t="shared" si="15"/>
        <v>0</v>
      </c>
      <c r="BD8" s="304">
        <f t="shared" si="16"/>
        <v>0</v>
      </c>
    </row>
    <row r="9" spans="1:56" ht="15">
      <c r="A9" s="300" t="s">
        <v>155</v>
      </c>
      <c r="B9" s="248"/>
      <c r="C9" s="250"/>
      <c r="D9" s="382">
        <v>2800000</v>
      </c>
      <c r="E9" s="250" t="s">
        <v>193</v>
      </c>
      <c r="F9" s="340"/>
      <c r="G9" s="340"/>
      <c r="H9" s="340"/>
      <c r="I9" s="338"/>
      <c r="J9" s="338"/>
      <c r="K9" s="373">
        <v>0.05</v>
      </c>
      <c r="L9" s="341">
        <v>0.1</v>
      </c>
      <c r="M9" s="341">
        <v>0.1</v>
      </c>
      <c r="N9" s="341">
        <v>0.1</v>
      </c>
      <c r="O9" s="341">
        <v>0.1</v>
      </c>
      <c r="P9" s="341">
        <v>0.1</v>
      </c>
      <c r="Q9" s="341">
        <v>0.1</v>
      </c>
      <c r="R9" s="341">
        <v>0.1</v>
      </c>
      <c r="S9" s="341">
        <v>0.1</v>
      </c>
      <c r="T9" s="341">
        <v>0.15</v>
      </c>
      <c r="U9" s="377">
        <f t="shared" si="0"/>
        <v>0.9999999999999999</v>
      </c>
      <c r="V9" s="300"/>
      <c r="W9" s="300"/>
      <c r="X9" s="244">
        <f t="shared" si="1"/>
        <v>0</v>
      </c>
      <c r="Y9" s="244">
        <f t="shared" si="2"/>
        <v>0</v>
      </c>
      <c r="Z9" s="244">
        <f t="shared" si="3"/>
        <v>0</v>
      </c>
      <c r="AA9" s="244">
        <f t="shared" si="4"/>
        <v>0</v>
      </c>
      <c r="AB9" s="244">
        <f t="shared" si="17"/>
        <v>0</v>
      </c>
      <c r="AC9" s="244">
        <f t="shared" si="5"/>
        <v>140000</v>
      </c>
      <c r="AD9" s="244">
        <f t="shared" si="6"/>
        <v>280000</v>
      </c>
      <c r="AE9" s="244">
        <f t="shared" si="7"/>
        <v>280000</v>
      </c>
      <c r="AF9" s="244">
        <f t="shared" si="8"/>
        <v>280000</v>
      </c>
      <c r="AG9" s="244">
        <f t="shared" si="9"/>
        <v>280000</v>
      </c>
      <c r="AH9" s="244">
        <f t="shared" si="10"/>
        <v>280000</v>
      </c>
      <c r="AI9" s="244">
        <f t="shared" si="11"/>
        <v>280000</v>
      </c>
      <c r="AJ9" s="244">
        <f t="shared" si="12"/>
        <v>280000</v>
      </c>
      <c r="AK9" s="244">
        <f t="shared" si="13"/>
        <v>280000</v>
      </c>
      <c r="AL9" s="244">
        <f t="shared" si="14"/>
        <v>420000</v>
      </c>
      <c r="AM9" s="242"/>
      <c r="AN9" s="244">
        <f t="shared" si="15"/>
        <v>0</v>
      </c>
      <c r="AO9" s="244">
        <f t="shared" si="15"/>
        <v>0</v>
      </c>
      <c r="AP9" s="244">
        <f t="shared" si="15"/>
        <v>0</v>
      </c>
      <c r="AQ9" s="244">
        <f t="shared" si="15"/>
        <v>0</v>
      </c>
      <c r="AR9" s="244">
        <f t="shared" si="15"/>
        <v>0</v>
      </c>
      <c r="AS9" s="244">
        <f t="shared" si="15"/>
        <v>2800000</v>
      </c>
      <c r="AT9" s="244">
        <f t="shared" si="15"/>
        <v>0</v>
      </c>
      <c r="AU9" s="244">
        <f t="shared" si="15"/>
        <v>0</v>
      </c>
      <c r="AV9" s="244">
        <f t="shared" si="15"/>
        <v>0</v>
      </c>
      <c r="AW9" s="244">
        <f t="shared" si="15"/>
        <v>0</v>
      </c>
      <c r="AX9" s="244">
        <f t="shared" si="15"/>
        <v>0</v>
      </c>
      <c r="AY9" s="244">
        <f t="shared" si="15"/>
        <v>0</v>
      </c>
      <c r="AZ9" s="244">
        <f t="shared" si="15"/>
        <v>0</v>
      </c>
      <c r="BA9" s="244">
        <f t="shared" si="15"/>
        <v>0</v>
      </c>
      <c r="BB9" s="244">
        <f t="shared" si="15"/>
        <v>0</v>
      </c>
      <c r="BD9" s="237">
        <f t="shared" si="16"/>
        <v>0</v>
      </c>
    </row>
    <row r="10" spans="1:56" s="300" customFormat="1" ht="15">
      <c r="A10" s="300" t="s">
        <v>155</v>
      </c>
      <c r="B10" s="248"/>
      <c r="C10" s="250"/>
      <c r="D10" s="382">
        <v>400000</v>
      </c>
      <c r="E10" s="250" t="s">
        <v>247</v>
      </c>
      <c r="F10" s="340"/>
      <c r="G10" s="340"/>
      <c r="H10" s="340"/>
      <c r="I10" s="338"/>
      <c r="J10" s="338"/>
      <c r="K10" s="373"/>
      <c r="L10" s="341"/>
      <c r="M10" s="341"/>
      <c r="N10" s="341">
        <v>0.25</v>
      </c>
      <c r="O10" s="341">
        <v>0.25</v>
      </c>
      <c r="P10" s="341">
        <v>0.25</v>
      </c>
      <c r="Q10" s="341">
        <v>0.25</v>
      </c>
      <c r="R10" s="341"/>
      <c r="S10" s="341"/>
      <c r="T10" s="341"/>
      <c r="U10" s="377"/>
      <c r="X10" s="305">
        <f aca="true" t="shared" si="50" ref="X10">F10*$D10</f>
        <v>0</v>
      </c>
      <c r="Y10" s="305">
        <f aca="true" t="shared" si="51" ref="Y10">G10*$D10</f>
        <v>0</v>
      </c>
      <c r="Z10" s="305">
        <f aca="true" t="shared" si="52" ref="Z10">H10*$D10</f>
        <v>0</v>
      </c>
      <c r="AA10" s="305">
        <f aca="true" t="shared" si="53" ref="AA10">I10*$D10</f>
        <v>0</v>
      </c>
      <c r="AB10" s="305">
        <f aca="true" t="shared" si="54" ref="AB10">J10*$D10</f>
        <v>0</v>
      </c>
      <c r="AC10" s="305">
        <f aca="true" t="shared" si="55" ref="AC10">K10*$D10</f>
        <v>0</v>
      </c>
      <c r="AD10" s="305">
        <f aca="true" t="shared" si="56" ref="AD10">L10*$D10</f>
        <v>0</v>
      </c>
      <c r="AE10" s="305">
        <f aca="true" t="shared" si="57" ref="AE10">M10*$D10</f>
        <v>0</v>
      </c>
      <c r="AF10" s="305">
        <f aca="true" t="shared" si="58" ref="AF10">N10*$D10</f>
        <v>100000</v>
      </c>
      <c r="AG10" s="305">
        <f aca="true" t="shared" si="59" ref="AG10">O10*$D10</f>
        <v>100000</v>
      </c>
      <c r="AH10" s="305">
        <f aca="true" t="shared" si="60" ref="AH10">P10*$D10</f>
        <v>100000</v>
      </c>
      <c r="AI10" s="305">
        <f aca="true" t="shared" si="61" ref="AI10">Q10*$D10</f>
        <v>100000</v>
      </c>
      <c r="AJ10" s="305">
        <f aca="true" t="shared" si="62" ref="AJ10">R10*$D10</f>
        <v>0</v>
      </c>
      <c r="AK10" s="305">
        <f aca="true" t="shared" si="63" ref="AK10">S10*$D10</f>
        <v>0</v>
      </c>
      <c r="AL10" s="305">
        <f aca="true" t="shared" si="64" ref="AL10">T10*$D10</f>
        <v>0</v>
      </c>
      <c r="AM10" s="242"/>
      <c r="AN10" s="305">
        <f aca="true" t="shared" si="65" ref="AN10:BB10">IF(AN$3=$E10,$D10,0)</f>
        <v>0</v>
      </c>
      <c r="AO10" s="305">
        <f t="shared" si="65"/>
        <v>0</v>
      </c>
      <c r="AP10" s="305">
        <f t="shared" si="65"/>
        <v>0</v>
      </c>
      <c r="AQ10" s="305">
        <f t="shared" si="65"/>
        <v>0</v>
      </c>
      <c r="AR10" s="305">
        <f t="shared" si="65"/>
        <v>0</v>
      </c>
      <c r="AS10" s="305">
        <f t="shared" si="65"/>
        <v>0</v>
      </c>
      <c r="AT10" s="305">
        <f t="shared" si="65"/>
        <v>0</v>
      </c>
      <c r="AU10" s="305">
        <f t="shared" si="65"/>
        <v>400000</v>
      </c>
      <c r="AV10" s="305">
        <f t="shared" si="65"/>
        <v>0</v>
      </c>
      <c r="AW10" s="305">
        <f t="shared" si="65"/>
        <v>0</v>
      </c>
      <c r="AX10" s="305">
        <f t="shared" si="65"/>
        <v>0</v>
      </c>
      <c r="AY10" s="305">
        <f t="shared" si="65"/>
        <v>0</v>
      </c>
      <c r="AZ10" s="305">
        <f t="shared" si="65"/>
        <v>0</v>
      </c>
      <c r="BA10" s="305">
        <f t="shared" si="65"/>
        <v>0</v>
      </c>
      <c r="BB10" s="305">
        <f t="shared" si="65"/>
        <v>0</v>
      </c>
      <c r="BD10" s="304">
        <f aca="true" t="shared" si="66" ref="BD10:BD11">SUM(X10:AL10)-SUM(AN10:BB10)</f>
        <v>0</v>
      </c>
    </row>
    <row r="11" spans="1:56" s="300" customFormat="1" ht="15">
      <c r="A11" s="300" t="s">
        <v>155</v>
      </c>
      <c r="B11" s="248"/>
      <c r="C11" s="250"/>
      <c r="D11" s="382">
        <v>1000000</v>
      </c>
      <c r="E11" s="250" t="s">
        <v>205</v>
      </c>
      <c r="F11" s="340"/>
      <c r="G11" s="340"/>
      <c r="H11" s="340"/>
      <c r="I11" s="338"/>
      <c r="J11" s="338"/>
      <c r="K11" s="373">
        <v>0</v>
      </c>
      <c r="L11" s="341">
        <v>0.15</v>
      </c>
      <c r="M11" s="341">
        <v>0.1</v>
      </c>
      <c r="N11" s="341">
        <v>0.1</v>
      </c>
      <c r="O11" s="341">
        <v>0.1</v>
      </c>
      <c r="P11" s="341">
        <v>0.1</v>
      </c>
      <c r="Q11" s="341">
        <v>0.1</v>
      </c>
      <c r="R11" s="341">
        <v>0.1</v>
      </c>
      <c r="S11" s="341">
        <v>0.1</v>
      </c>
      <c r="T11" s="341">
        <v>0.15</v>
      </c>
      <c r="U11" s="377">
        <f aca="true" t="shared" si="67" ref="U11">SUM(F11:T11)</f>
        <v>0.9999999999999999</v>
      </c>
      <c r="X11" s="305">
        <f aca="true" t="shared" si="68" ref="X11">F11*$D11</f>
        <v>0</v>
      </c>
      <c r="Y11" s="305">
        <f aca="true" t="shared" si="69" ref="Y11">G11*$D11</f>
        <v>0</v>
      </c>
      <c r="Z11" s="305">
        <f aca="true" t="shared" si="70" ref="Z11">H11*$D11</f>
        <v>0</v>
      </c>
      <c r="AA11" s="305">
        <f aca="true" t="shared" si="71" ref="AA11">I11*$D11</f>
        <v>0</v>
      </c>
      <c r="AB11" s="305">
        <f aca="true" t="shared" si="72" ref="AB11">J11*$D11</f>
        <v>0</v>
      </c>
      <c r="AC11" s="305">
        <f aca="true" t="shared" si="73" ref="AC11">K11*$D11</f>
        <v>0</v>
      </c>
      <c r="AD11" s="305">
        <f aca="true" t="shared" si="74" ref="AD11">L11*$D11</f>
        <v>150000</v>
      </c>
      <c r="AE11" s="305">
        <f aca="true" t="shared" si="75" ref="AE11">M11*$D11</f>
        <v>100000</v>
      </c>
      <c r="AF11" s="305">
        <f aca="true" t="shared" si="76" ref="AF11">N11*$D11</f>
        <v>100000</v>
      </c>
      <c r="AG11" s="305">
        <f aca="true" t="shared" si="77" ref="AG11">O11*$D11</f>
        <v>100000</v>
      </c>
      <c r="AH11" s="305">
        <f aca="true" t="shared" si="78" ref="AH11">P11*$D11</f>
        <v>100000</v>
      </c>
      <c r="AI11" s="305">
        <f aca="true" t="shared" si="79" ref="AI11">Q11*$D11</f>
        <v>100000</v>
      </c>
      <c r="AJ11" s="305">
        <f aca="true" t="shared" si="80" ref="AJ11">R11*$D11</f>
        <v>100000</v>
      </c>
      <c r="AK11" s="305">
        <f aca="true" t="shared" si="81" ref="AK11">S11*$D11</f>
        <v>100000</v>
      </c>
      <c r="AL11" s="305">
        <f aca="true" t="shared" si="82" ref="AL11">T11*$D11</f>
        <v>150000</v>
      </c>
      <c r="AM11" s="242"/>
      <c r="AN11" s="305">
        <f t="shared" si="15"/>
        <v>0</v>
      </c>
      <c r="AO11" s="305">
        <f t="shared" si="15"/>
        <v>0</v>
      </c>
      <c r="AP11" s="305">
        <f t="shared" si="15"/>
        <v>0</v>
      </c>
      <c r="AQ11" s="305">
        <f t="shared" si="15"/>
        <v>0</v>
      </c>
      <c r="AR11" s="305">
        <f t="shared" si="15"/>
        <v>0</v>
      </c>
      <c r="AS11" s="305">
        <f t="shared" si="15"/>
        <v>0</v>
      </c>
      <c r="AT11" s="305">
        <f t="shared" si="15"/>
        <v>1000000</v>
      </c>
      <c r="AU11" s="305">
        <f t="shared" si="15"/>
        <v>0</v>
      </c>
      <c r="AV11" s="305">
        <f t="shared" si="15"/>
        <v>0</v>
      </c>
      <c r="AW11" s="305">
        <f t="shared" si="15"/>
        <v>0</v>
      </c>
      <c r="AX11" s="305">
        <f t="shared" si="15"/>
        <v>0</v>
      </c>
      <c r="AY11" s="305">
        <f t="shared" si="15"/>
        <v>0</v>
      </c>
      <c r="AZ11" s="305">
        <f t="shared" si="15"/>
        <v>0</v>
      </c>
      <c r="BA11" s="305">
        <f t="shared" si="15"/>
        <v>0</v>
      </c>
      <c r="BB11" s="305">
        <f t="shared" si="15"/>
        <v>0</v>
      </c>
      <c r="BD11" s="304">
        <f t="shared" si="66"/>
        <v>0</v>
      </c>
    </row>
    <row r="12" spans="1:56" ht="12.6" customHeight="1">
      <c r="A12" t="s">
        <v>156</v>
      </c>
      <c r="B12" s="248"/>
      <c r="D12" s="382">
        <v>1865860.6086</v>
      </c>
      <c r="E12" s="250" t="s">
        <v>223</v>
      </c>
      <c r="F12" s="362"/>
      <c r="G12" s="362"/>
      <c r="H12" s="362"/>
      <c r="I12" s="339">
        <v>0</v>
      </c>
      <c r="J12" s="339"/>
      <c r="K12" s="372">
        <f>207317.85/D12</f>
        <v>0.11111111357646142</v>
      </c>
      <c r="L12" s="339">
        <v>0.05</v>
      </c>
      <c r="M12" s="339">
        <v>0.1</v>
      </c>
      <c r="N12" s="339">
        <v>0.1</v>
      </c>
      <c r="O12" s="339">
        <v>0.1</v>
      </c>
      <c r="P12" s="339">
        <v>0.1</v>
      </c>
      <c r="Q12" s="339">
        <v>0.1</v>
      </c>
      <c r="R12" s="339">
        <v>0.1</v>
      </c>
      <c r="S12" s="339">
        <v>0.1</v>
      </c>
      <c r="T12" s="339">
        <v>0.138888886423539</v>
      </c>
      <c r="U12" s="377">
        <f t="shared" si="0"/>
        <v>1.0000000000000002</v>
      </c>
      <c r="V12" s="300"/>
      <c r="W12" s="300"/>
      <c r="X12" s="244">
        <f t="shared" si="1"/>
        <v>0</v>
      </c>
      <c r="Y12" s="244">
        <f t="shared" si="2"/>
        <v>0</v>
      </c>
      <c r="Z12" s="244">
        <f t="shared" si="3"/>
        <v>0</v>
      </c>
      <c r="AA12" s="244">
        <f>I12*$D12</f>
        <v>0</v>
      </c>
      <c r="AB12" s="244">
        <f t="shared" si="17"/>
        <v>0</v>
      </c>
      <c r="AC12" s="244">
        <f t="shared" si="5"/>
        <v>207317.85</v>
      </c>
      <c r="AD12" s="244">
        <f t="shared" si="6"/>
        <v>93293.03043</v>
      </c>
      <c r="AE12" s="244">
        <f t="shared" si="7"/>
        <v>186586.06086</v>
      </c>
      <c r="AF12" s="244">
        <f t="shared" si="8"/>
        <v>186586.06086</v>
      </c>
      <c r="AG12" s="244">
        <f t="shared" si="9"/>
        <v>186586.06086</v>
      </c>
      <c r="AH12" s="244">
        <f t="shared" si="10"/>
        <v>186586.06086</v>
      </c>
      <c r="AI12" s="244">
        <f t="shared" si="11"/>
        <v>186586.06086</v>
      </c>
      <c r="AJ12" s="244">
        <f t="shared" si="12"/>
        <v>186586.06086</v>
      </c>
      <c r="AK12" s="244">
        <f t="shared" si="13"/>
        <v>186586.06086</v>
      </c>
      <c r="AL12" s="244">
        <f t="shared" si="14"/>
        <v>259147.30215000073</v>
      </c>
      <c r="AM12" s="242"/>
      <c r="AN12" s="244">
        <f t="shared" si="15"/>
        <v>0</v>
      </c>
      <c r="AO12" s="244">
        <f t="shared" si="15"/>
        <v>0</v>
      </c>
      <c r="AP12" s="244">
        <f t="shared" si="15"/>
        <v>0</v>
      </c>
      <c r="AQ12" s="244">
        <f t="shared" si="15"/>
        <v>1865860.6086</v>
      </c>
      <c r="AR12" s="244">
        <f t="shared" si="15"/>
        <v>0</v>
      </c>
      <c r="AS12" s="244">
        <f t="shared" si="15"/>
        <v>0</v>
      </c>
      <c r="AT12" s="244">
        <f t="shared" si="15"/>
        <v>0</v>
      </c>
      <c r="AU12" s="244">
        <f t="shared" si="15"/>
        <v>0</v>
      </c>
      <c r="AV12" s="244">
        <f t="shared" si="15"/>
        <v>0</v>
      </c>
      <c r="AW12" s="244">
        <f t="shared" si="15"/>
        <v>0</v>
      </c>
      <c r="AX12" s="244">
        <f t="shared" si="15"/>
        <v>0</v>
      </c>
      <c r="AY12" s="244">
        <f t="shared" si="15"/>
        <v>0</v>
      </c>
      <c r="AZ12" s="244">
        <f t="shared" si="15"/>
        <v>0</v>
      </c>
      <c r="BA12" s="244">
        <f t="shared" si="15"/>
        <v>0</v>
      </c>
      <c r="BB12" s="244">
        <f t="shared" si="15"/>
        <v>0</v>
      </c>
      <c r="BD12" s="237">
        <f t="shared" si="16"/>
        <v>0</v>
      </c>
    </row>
    <row r="13" spans="1:56" s="300" customFormat="1" ht="15">
      <c r="A13" s="300" t="s">
        <v>159</v>
      </c>
      <c r="B13" s="312"/>
      <c r="D13" s="382">
        <f>3000*12</f>
        <v>36000</v>
      </c>
      <c r="E13" s="250" t="s">
        <v>191</v>
      </c>
      <c r="F13" s="363"/>
      <c r="G13" s="363"/>
      <c r="H13" s="363"/>
      <c r="I13" s="341">
        <v>0.25</v>
      </c>
      <c r="J13" s="341">
        <v>0.25</v>
      </c>
      <c r="K13" s="373">
        <v>0.2564</v>
      </c>
      <c r="L13" s="341">
        <f>25%-0.64%</f>
        <v>0.2436</v>
      </c>
      <c r="M13" s="341">
        <v>0</v>
      </c>
      <c r="N13" s="341"/>
      <c r="O13" s="341"/>
      <c r="P13" s="341"/>
      <c r="Q13" s="341"/>
      <c r="R13" s="338"/>
      <c r="S13" s="338"/>
      <c r="T13" s="338"/>
      <c r="U13" s="377">
        <f t="shared" si="0"/>
        <v>1</v>
      </c>
      <c r="X13" s="305">
        <f t="shared" si="1"/>
        <v>0</v>
      </c>
      <c r="Y13" s="305">
        <f t="shared" si="2"/>
        <v>0</v>
      </c>
      <c r="Z13" s="305">
        <f t="shared" si="3"/>
        <v>0</v>
      </c>
      <c r="AA13" s="305">
        <f t="shared" si="4"/>
        <v>9000</v>
      </c>
      <c r="AB13" s="305">
        <f t="shared" si="17"/>
        <v>9000</v>
      </c>
      <c r="AC13" s="305">
        <f t="shared" si="5"/>
        <v>9230.400000000001</v>
      </c>
      <c r="AD13" s="305">
        <f t="shared" si="6"/>
        <v>8769.6</v>
      </c>
      <c r="AE13" s="305">
        <f t="shared" si="7"/>
        <v>0</v>
      </c>
      <c r="AF13" s="305">
        <f t="shared" si="8"/>
        <v>0</v>
      </c>
      <c r="AG13" s="305">
        <f t="shared" si="9"/>
        <v>0</v>
      </c>
      <c r="AH13" s="305">
        <f t="shared" si="10"/>
        <v>0</v>
      </c>
      <c r="AI13" s="305">
        <f t="shared" si="11"/>
        <v>0</v>
      </c>
      <c r="AJ13" s="305">
        <f t="shared" si="12"/>
        <v>0</v>
      </c>
      <c r="AK13" s="305">
        <f t="shared" si="13"/>
        <v>0</v>
      </c>
      <c r="AL13" s="305">
        <f t="shared" si="14"/>
        <v>0</v>
      </c>
      <c r="AM13" s="242"/>
      <c r="AN13" s="305">
        <f t="shared" si="15"/>
        <v>0</v>
      </c>
      <c r="AO13" s="305">
        <f t="shared" si="15"/>
        <v>0</v>
      </c>
      <c r="AP13" s="305">
        <f t="shared" si="15"/>
        <v>36000</v>
      </c>
      <c r="AQ13" s="305">
        <f t="shared" si="15"/>
        <v>0</v>
      </c>
      <c r="AR13" s="305">
        <f t="shared" si="15"/>
        <v>0</v>
      </c>
      <c r="AS13" s="305">
        <f t="shared" si="15"/>
        <v>0</v>
      </c>
      <c r="AT13" s="305">
        <f t="shared" si="15"/>
        <v>0</v>
      </c>
      <c r="AU13" s="305">
        <f t="shared" si="15"/>
        <v>0</v>
      </c>
      <c r="AV13" s="305">
        <f t="shared" si="15"/>
        <v>0</v>
      </c>
      <c r="AW13" s="305">
        <f t="shared" si="15"/>
        <v>0</v>
      </c>
      <c r="AX13" s="305">
        <f t="shared" si="15"/>
        <v>0</v>
      </c>
      <c r="AY13" s="305">
        <f t="shared" si="15"/>
        <v>0</v>
      </c>
      <c r="AZ13" s="305">
        <f t="shared" si="15"/>
        <v>0</v>
      </c>
      <c r="BA13" s="305">
        <f t="shared" si="15"/>
        <v>0</v>
      </c>
      <c r="BB13" s="305">
        <f t="shared" si="15"/>
        <v>0</v>
      </c>
      <c r="BD13" s="304">
        <f t="shared" si="16"/>
        <v>0</v>
      </c>
    </row>
    <row r="14" spans="1:56" s="300" customFormat="1" ht="15">
      <c r="A14" s="300" t="s">
        <v>159</v>
      </c>
      <c r="B14" s="312"/>
      <c r="D14" s="382">
        <f>3000*12</f>
        <v>36000</v>
      </c>
      <c r="E14" s="250" t="s">
        <v>205</v>
      </c>
      <c r="F14" s="363"/>
      <c r="G14" s="363"/>
      <c r="H14" s="363"/>
      <c r="I14" s="341"/>
      <c r="J14" s="341"/>
      <c r="K14" s="373"/>
      <c r="L14" s="341"/>
      <c r="M14" s="341">
        <v>0.25</v>
      </c>
      <c r="N14" s="341">
        <v>0.25</v>
      </c>
      <c r="O14" s="341">
        <v>0.25</v>
      </c>
      <c r="P14" s="341">
        <v>0.25</v>
      </c>
      <c r="Q14" s="341"/>
      <c r="R14" s="338"/>
      <c r="S14" s="338"/>
      <c r="T14" s="338"/>
      <c r="U14" s="377">
        <f aca="true" t="shared" si="83" ref="U14">SUM(F14:T14)</f>
        <v>1</v>
      </c>
      <c r="X14" s="305">
        <f aca="true" t="shared" si="84" ref="X14">F14*$D14</f>
        <v>0</v>
      </c>
      <c r="Y14" s="305">
        <f aca="true" t="shared" si="85" ref="Y14">G14*$D14</f>
        <v>0</v>
      </c>
      <c r="Z14" s="305">
        <f aca="true" t="shared" si="86" ref="Z14">H14*$D14</f>
        <v>0</v>
      </c>
      <c r="AA14" s="305">
        <f aca="true" t="shared" si="87" ref="AA14">I14*$D14</f>
        <v>0</v>
      </c>
      <c r="AB14" s="305">
        <f aca="true" t="shared" si="88" ref="AB14">J14*$D14</f>
        <v>0</v>
      </c>
      <c r="AC14" s="305">
        <f aca="true" t="shared" si="89" ref="AC14">K14*$D14</f>
        <v>0</v>
      </c>
      <c r="AD14" s="305">
        <f aca="true" t="shared" si="90" ref="AD14">L14*$D14</f>
        <v>0</v>
      </c>
      <c r="AE14" s="305">
        <f aca="true" t="shared" si="91" ref="AE14">M14*$D14</f>
        <v>9000</v>
      </c>
      <c r="AF14" s="305">
        <f aca="true" t="shared" si="92" ref="AF14">N14*$D14</f>
        <v>9000</v>
      </c>
      <c r="AG14" s="305">
        <f aca="true" t="shared" si="93" ref="AG14">O14*$D14</f>
        <v>9000</v>
      </c>
      <c r="AH14" s="305">
        <f aca="true" t="shared" si="94" ref="AH14">P14*$D14</f>
        <v>9000</v>
      </c>
      <c r="AI14" s="305">
        <f aca="true" t="shared" si="95" ref="AI14">Q14*$D14</f>
        <v>0</v>
      </c>
      <c r="AJ14" s="305">
        <f aca="true" t="shared" si="96" ref="AJ14">R14*$D14</f>
        <v>0</v>
      </c>
      <c r="AK14" s="305">
        <f aca="true" t="shared" si="97" ref="AK14">S14*$D14</f>
        <v>0</v>
      </c>
      <c r="AL14" s="305">
        <f aca="true" t="shared" si="98" ref="AL14">T14*$D14</f>
        <v>0</v>
      </c>
      <c r="AM14" s="242"/>
      <c r="AN14" s="305">
        <f t="shared" si="15"/>
        <v>0</v>
      </c>
      <c r="AO14" s="305">
        <f t="shared" si="15"/>
        <v>0</v>
      </c>
      <c r="AP14" s="305">
        <f t="shared" si="15"/>
        <v>0</v>
      </c>
      <c r="AQ14" s="305">
        <f t="shared" si="15"/>
        <v>0</v>
      </c>
      <c r="AR14" s="305">
        <f t="shared" si="15"/>
        <v>0</v>
      </c>
      <c r="AS14" s="305">
        <f t="shared" si="15"/>
        <v>0</v>
      </c>
      <c r="AT14" s="305">
        <f t="shared" si="15"/>
        <v>36000</v>
      </c>
      <c r="AU14" s="305">
        <f t="shared" si="15"/>
        <v>0</v>
      </c>
      <c r="AV14" s="305">
        <f t="shared" si="15"/>
        <v>0</v>
      </c>
      <c r="AW14" s="305">
        <f t="shared" si="15"/>
        <v>0</v>
      </c>
      <c r="AX14" s="305">
        <f t="shared" si="15"/>
        <v>0</v>
      </c>
      <c r="AY14" s="305">
        <f t="shared" si="15"/>
        <v>0</v>
      </c>
      <c r="AZ14" s="305">
        <f t="shared" si="15"/>
        <v>0</v>
      </c>
      <c r="BA14" s="305">
        <f t="shared" si="15"/>
        <v>0</v>
      </c>
      <c r="BB14" s="305">
        <f t="shared" si="15"/>
        <v>0</v>
      </c>
      <c r="BD14" s="304">
        <f aca="true" t="shared" si="99" ref="BD14">SUM(X14:AL14)-SUM(AN14:BB14)</f>
        <v>0</v>
      </c>
    </row>
    <row r="15" spans="1:56" s="300" customFormat="1" ht="15">
      <c r="A15" s="300" t="s">
        <v>159</v>
      </c>
      <c r="B15" s="312"/>
      <c r="D15" s="382">
        <v>18000</v>
      </c>
      <c r="E15" s="250" t="s">
        <v>193</v>
      </c>
      <c r="F15" s="363"/>
      <c r="G15" s="363"/>
      <c r="H15" s="363"/>
      <c r="I15" s="341"/>
      <c r="J15" s="341"/>
      <c r="K15" s="373"/>
      <c r="L15" s="341">
        <v>0.25</v>
      </c>
      <c r="M15" s="341">
        <v>0.25</v>
      </c>
      <c r="N15" s="341">
        <v>0.25</v>
      </c>
      <c r="O15" s="341">
        <v>0.25</v>
      </c>
      <c r="P15" s="341">
        <v>0</v>
      </c>
      <c r="Q15" s="341"/>
      <c r="R15" s="338"/>
      <c r="S15" s="338"/>
      <c r="T15" s="338"/>
      <c r="U15" s="377">
        <f aca="true" t="shared" si="100" ref="U15:U16">SUM(F15:T15)</f>
        <v>1</v>
      </c>
      <c r="X15" s="305">
        <f aca="true" t="shared" si="101" ref="X15">F15*$D15</f>
        <v>0</v>
      </c>
      <c r="Y15" s="305">
        <f aca="true" t="shared" si="102" ref="Y15">G15*$D15</f>
        <v>0</v>
      </c>
      <c r="Z15" s="305">
        <f aca="true" t="shared" si="103" ref="Z15">H15*$D15</f>
        <v>0</v>
      </c>
      <c r="AA15" s="305">
        <f aca="true" t="shared" si="104" ref="AA15">I15*$D15</f>
        <v>0</v>
      </c>
      <c r="AB15" s="305">
        <f aca="true" t="shared" si="105" ref="AB15">J15*$D15</f>
        <v>0</v>
      </c>
      <c r="AC15" s="305">
        <f aca="true" t="shared" si="106" ref="AC15">K15*$D15</f>
        <v>0</v>
      </c>
      <c r="AD15" s="305">
        <f aca="true" t="shared" si="107" ref="AD15">L15*$D15</f>
        <v>4500</v>
      </c>
      <c r="AE15" s="305">
        <f aca="true" t="shared" si="108" ref="AE15">M15*$D15</f>
        <v>4500</v>
      </c>
      <c r="AF15" s="305">
        <f aca="true" t="shared" si="109" ref="AF15">N15*$D15</f>
        <v>4500</v>
      </c>
      <c r="AG15" s="305">
        <f aca="true" t="shared" si="110" ref="AG15">O15*$D15</f>
        <v>4500</v>
      </c>
      <c r="AH15" s="305">
        <f aca="true" t="shared" si="111" ref="AH15">P15*$D15</f>
        <v>0</v>
      </c>
      <c r="AI15" s="305">
        <f aca="true" t="shared" si="112" ref="AI15">Q15*$D15</f>
        <v>0</v>
      </c>
      <c r="AJ15" s="305">
        <f aca="true" t="shared" si="113" ref="AJ15">R15*$D15</f>
        <v>0</v>
      </c>
      <c r="AK15" s="305">
        <f aca="true" t="shared" si="114" ref="AK15">S15*$D15</f>
        <v>0</v>
      </c>
      <c r="AL15" s="305">
        <f aca="true" t="shared" si="115" ref="AL15">T15*$D15</f>
        <v>0</v>
      </c>
      <c r="AM15" s="242"/>
      <c r="AN15" s="305">
        <f t="shared" si="15"/>
        <v>0</v>
      </c>
      <c r="AO15" s="305">
        <f t="shared" si="15"/>
        <v>0</v>
      </c>
      <c r="AP15" s="305">
        <f t="shared" si="15"/>
        <v>0</v>
      </c>
      <c r="AQ15" s="305">
        <f t="shared" si="15"/>
        <v>0</v>
      </c>
      <c r="AR15" s="305">
        <f t="shared" si="15"/>
        <v>0</v>
      </c>
      <c r="AS15" s="305">
        <f t="shared" si="15"/>
        <v>18000</v>
      </c>
      <c r="AT15" s="305">
        <f t="shared" si="15"/>
        <v>0</v>
      </c>
      <c r="AU15" s="305">
        <f t="shared" si="15"/>
        <v>0</v>
      </c>
      <c r="AV15" s="305">
        <f t="shared" si="15"/>
        <v>0</v>
      </c>
      <c r="AW15" s="305">
        <f t="shared" si="15"/>
        <v>0</v>
      </c>
      <c r="AX15" s="305">
        <f t="shared" si="15"/>
        <v>0</v>
      </c>
      <c r="AY15" s="305">
        <f t="shared" si="15"/>
        <v>0</v>
      </c>
      <c r="AZ15" s="305">
        <f t="shared" si="15"/>
        <v>0</v>
      </c>
      <c r="BA15" s="305">
        <f t="shared" si="15"/>
        <v>0</v>
      </c>
      <c r="BB15" s="305">
        <f t="shared" si="15"/>
        <v>0</v>
      </c>
      <c r="BD15" s="304">
        <f aca="true" t="shared" si="116" ref="BD15">SUM(X15:AL15)-SUM(AN15:BB15)</f>
        <v>0</v>
      </c>
    </row>
    <row r="16" spans="1:56" s="300" customFormat="1" ht="15">
      <c r="A16" s="300" t="s">
        <v>159</v>
      </c>
      <c r="B16" s="312"/>
      <c r="D16" s="382">
        <v>72000</v>
      </c>
      <c r="E16" s="250" t="s">
        <v>193</v>
      </c>
      <c r="F16" s="363"/>
      <c r="G16" s="363"/>
      <c r="H16" s="363"/>
      <c r="I16" s="341"/>
      <c r="J16" s="341"/>
      <c r="K16" s="373">
        <v>0.0833</v>
      </c>
      <c r="L16" s="341">
        <v>0.25</v>
      </c>
      <c r="M16" s="341">
        <v>0.25</v>
      </c>
      <c r="N16" s="341">
        <v>0.25</v>
      </c>
      <c r="O16" s="341">
        <v>0.06</v>
      </c>
      <c r="P16" s="341">
        <v>0.1067</v>
      </c>
      <c r="Q16" s="341"/>
      <c r="R16" s="338"/>
      <c r="S16" s="338"/>
      <c r="T16" s="338"/>
      <c r="U16" s="377">
        <f t="shared" si="100"/>
        <v>1</v>
      </c>
      <c r="X16" s="305">
        <f t="shared" si="1"/>
        <v>0</v>
      </c>
      <c r="Y16" s="305">
        <f t="shared" si="2"/>
        <v>0</v>
      </c>
      <c r="Z16" s="305">
        <f t="shared" si="3"/>
        <v>0</v>
      </c>
      <c r="AA16" s="305">
        <f t="shared" si="4"/>
        <v>0</v>
      </c>
      <c r="AB16" s="305">
        <f t="shared" si="17"/>
        <v>0</v>
      </c>
      <c r="AC16" s="350">
        <f t="shared" si="5"/>
        <v>5997.6</v>
      </c>
      <c r="AD16" s="305">
        <f t="shared" si="6"/>
        <v>18000</v>
      </c>
      <c r="AE16" s="305">
        <f t="shared" si="7"/>
        <v>18000</v>
      </c>
      <c r="AF16" s="305">
        <f t="shared" si="8"/>
        <v>18000</v>
      </c>
      <c r="AG16" s="305">
        <f t="shared" si="9"/>
        <v>4320</v>
      </c>
      <c r="AH16" s="305">
        <f t="shared" si="10"/>
        <v>7682.400000000001</v>
      </c>
      <c r="AI16" s="305">
        <f t="shared" si="11"/>
        <v>0</v>
      </c>
      <c r="AJ16" s="305">
        <f t="shared" si="12"/>
        <v>0</v>
      </c>
      <c r="AK16" s="305">
        <f t="shared" si="13"/>
        <v>0</v>
      </c>
      <c r="AL16" s="305">
        <f t="shared" si="14"/>
        <v>0</v>
      </c>
      <c r="AM16" s="242"/>
      <c r="AN16" s="305">
        <f t="shared" si="15"/>
        <v>0</v>
      </c>
      <c r="AO16" s="305">
        <f t="shared" si="15"/>
        <v>0</v>
      </c>
      <c r="AP16" s="305">
        <f t="shared" si="15"/>
        <v>0</v>
      </c>
      <c r="AQ16" s="305">
        <f t="shared" si="15"/>
        <v>0</v>
      </c>
      <c r="AR16" s="305">
        <f t="shared" si="15"/>
        <v>0</v>
      </c>
      <c r="AS16" s="305">
        <f t="shared" si="15"/>
        <v>72000</v>
      </c>
      <c r="AT16" s="305">
        <f t="shared" si="15"/>
        <v>0</v>
      </c>
      <c r="AU16" s="305">
        <f t="shared" si="15"/>
        <v>0</v>
      </c>
      <c r="AV16" s="305">
        <f t="shared" si="15"/>
        <v>0</v>
      </c>
      <c r="AW16" s="305">
        <f t="shared" si="15"/>
        <v>0</v>
      </c>
      <c r="AX16" s="305">
        <f t="shared" si="15"/>
        <v>0</v>
      </c>
      <c r="AY16" s="305">
        <f t="shared" si="15"/>
        <v>0</v>
      </c>
      <c r="AZ16" s="305">
        <f t="shared" si="15"/>
        <v>0</v>
      </c>
      <c r="BA16" s="305">
        <f t="shared" si="15"/>
        <v>0</v>
      </c>
      <c r="BB16" s="305">
        <f t="shared" si="15"/>
        <v>0</v>
      </c>
      <c r="BD16" s="304">
        <f t="shared" si="16"/>
        <v>0</v>
      </c>
    </row>
    <row r="17" spans="1:56" s="300" customFormat="1" ht="15">
      <c r="A17" s="300" t="s">
        <v>159</v>
      </c>
      <c r="B17" s="312"/>
      <c r="D17" s="382">
        <v>100000</v>
      </c>
      <c r="E17" s="250" t="s">
        <v>280</v>
      </c>
      <c r="F17" s="363"/>
      <c r="G17" s="363"/>
      <c r="H17" s="363"/>
      <c r="I17" s="341"/>
      <c r="J17" s="341"/>
      <c r="K17" s="373"/>
      <c r="L17" s="341">
        <v>0</v>
      </c>
      <c r="M17" s="341">
        <v>0</v>
      </c>
      <c r="N17" s="341">
        <v>0</v>
      </c>
      <c r="O17" s="341">
        <v>1</v>
      </c>
      <c r="P17" s="341"/>
      <c r="Q17" s="341"/>
      <c r="R17" s="338"/>
      <c r="S17" s="338"/>
      <c r="T17" s="338"/>
      <c r="U17" s="377">
        <f aca="true" t="shared" si="117" ref="U17:U18">SUM(F17:T17)</f>
        <v>1</v>
      </c>
      <c r="X17" s="305">
        <f aca="true" t="shared" si="118" ref="X17:X18">F17*$D17</f>
        <v>0</v>
      </c>
      <c r="Y17" s="305">
        <f aca="true" t="shared" si="119" ref="Y17:Y18">G17*$D17</f>
        <v>0</v>
      </c>
      <c r="Z17" s="305">
        <f aca="true" t="shared" si="120" ref="Z17:Z18">H17*$D17</f>
        <v>0</v>
      </c>
      <c r="AA17" s="305">
        <f aca="true" t="shared" si="121" ref="AA17:AA18">I17*$D17</f>
        <v>0</v>
      </c>
      <c r="AB17" s="305">
        <f aca="true" t="shared" si="122" ref="AB17:AB18">J17*$D17</f>
        <v>0</v>
      </c>
      <c r="AC17" s="305">
        <f aca="true" t="shared" si="123" ref="AC17:AC18">K17*$D17</f>
        <v>0</v>
      </c>
      <c r="AD17" s="305">
        <f aca="true" t="shared" si="124" ref="AD17:AD18">L17*$D17</f>
        <v>0</v>
      </c>
      <c r="AE17" s="305">
        <f aca="true" t="shared" si="125" ref="AE17:AE18">M17*$D17</f>
        <v>0</v>
      </c>
      <c r="AF17" s="305">
        <f aca="true" t="shared" si="126" ref="AF17:AF18">N17*$D17</f>
        <v>0</v>
      </c>
      <c r="AG17" s="305">
        <f aca="true" t="shared" si="127" ref="AG17:AG18">O17*$D17</f>
        <v>100000</v>
      </c>
      <c r="AH17" s="305">
        <f aca="true" t="shared" si="128" ref="AH17:AH18">P17*$D17</f>
        <v>0</v>
      </c>
      <c r="AI17" s="305">
        <f aca="true" t="shared" si="129" ref="AI17:AI18">Q17*$D17</f>
        <v>0</v>
      </c>
      <c r="AJ17" s="305">
        <f aca="true" t="shared" si="130" ref="AJ17:AJ18">R17*$D17</f>
        <v>0</v>
      </c>
      <c r="AK17" s="305">
        <f aca="true" t="shared" si="131" ref="AK17:AK18">S17*$D17</f>
        <v>0</v>
      </c>
      <c r="AL17" s="305">
        <f aca="true" t="shared" si="132" ref="AL17:AL18">T17*$D17</f>
        <v>0</v>
      </c>
      <c r="AM17" s="242"/>
      <c r="AN17" s="305">
        <f t="shared" si="15"/>
        <v>0</v>
      </c>
      <c r="AO17" s="305">
        <f t="shared" si="15"/>
        <v>0</v>
      </c>
      <c r="AP17" s="305">
        <f t="shared" si="15"/>
        <v>0</v>
      </c>
      <c r="AQ17" s="305">
        <f t="shared" si="15"/>
        <v>0</v>
      </c>
      <c r="AR17" s="305">
        <f t="shared" si="15"/>
        <v>0</v>
      </c>
      <c r="AS17" s="305">
        <f t="shared" si="15"/>
        <v>0</v>
      </c>
      <c r="AT17" s="305">
        <f t="shared" si="15"/>
        <v>0</v>
      </c>
      <c r="AU17" s="305">
        <f t="shared" si="15"/>
        <v>0</v>
      </c>
      <c r="AV17" s="305">
        <f t="shared" si="15"/>
        <v>0</v>
      </c>
      <c r="AW17" s="305">
        <f t="shared" si="15"/>
        <v>100000</v>
      </c>
      <c r="AX17" s="305">
        <f t="shared" si="15"/>
        <v>0</v>
      </c>
      <c r="AY17" s="305">
        <f t="shared" si="15"/>
        <v>0</v>
      </c>
      <c r="AZ17" s="305">
        <f t="shared" si="15"/>
        <v>0</v>
      </c>
      <c r="BA17" s="305">
        <f t="shared" si="15"/>
        <v>0</v>
      </c>
      <c r="BB17" s="305">
        <f t="shared" si="15"/>
        <v>0</v>
      </c>
      <c r="BD17" s="304">
        <f aca="true" t="shared" si="133" ref="BD17:BD18">SUM(X17:AL17)-SUM(AN17:BB17)</f>
        <v>0</v>
      </c>
    </row>
    <row r="18" spans="1:56" s="300" customFormat="1" ht="15">
      <c r="A18" s="300" t="s">
        <v>159</v>
      </c>
      <c r="B18" s="312"/>
      <c r="D18" s="382">
        <v>40000</v>
      </c>
      <c r="E18" s="250" t="s">
        <v>193</v>
      </c>
      <c r="F18" s="363"/>
      <c r="G18" s="363"/>
      <c r="H18" s="363"/>
      <c r="I18" s="341"/>
      <c r="J18" s="341"/>
      <c r="K18" s="373">
        <v>0.0833</v>
      </c>
      <c r="L18" s="341">
        <v>0.25</v>
      </c>
      <c r="M18" s="341">
        <v>0.25</v>
      </c>
      <c r="N18" s="341">
        <v>0.25</v>
      </c>
      <c r="O18" s="341">
        <v>0.1667</v>
      </c>
      <c r="P18" s="341"/>
      <c r="Q18" s="341"/>
      <c r="R18" s="338"/>
      <c r="S18" s="338"/>
      <c r="T18" s="338"/>
      <c r="U18" s="377">
        <f t="shared" si="117"/>
        <v>0.9999999999999999</v>
      </c>
      <c r="X18" s="305">
        <f t="shared" si="118"/>
        <v>0</v>
      </c>
      <c r="Y18" s="305">
        <f t="shared" si="119"/>
        <v>0</v>
      </c>
      <c r="Z18" s="305">
        <f t="shared" si="120"/>
        <v>0</v>
      </c>
      <c r="AA18" s="305">
        <f t="shared" si="121"/>
        <v>0</v>
      </c>
      <c r="AB18" s="305">
        <f t="shared" si="122"/>
        <v>0</v>
      </c>
      <c r="AC18" s="305">
        <f t="shared" si="123"/>
        <v>3332</v>
      </c>
      <c r="AD18" s="305">
        <f t="shared" si="124"/>
        <v>10000</v>
      </c>
      <c r="AE18" s="305">
        <f t="shared" si="125"/>
        <v>10000</v>
      </c>
      <c r="AF18" s="305">
        <f t="shared" si="126"/>
        <v>10000</v>
      </c>
      <c r="AG18" s="305">
        <f t="shared" si="127"/>
        <v>6667.999999999999</v>
      </c>
      <c r="AH18" s="305">
        <f t="shared" si="128"/>
        <v>0</v>
      </c>
      <c r="AI18" s="305">
        <f t="shared" si="129"/>
        <v>0</v>
      </c>
      <c r="AJ18" s="305">
        <f t="shared" si="130"/>
        <v>0</v>
      </c>
      <c r="AK18" s="305">
        <f t="shared" si="131"/>
        <v>0</v>
      </c>
      <c r="AL18" s="305">
        <f t="shared" si="132"/>
        <v>0</v>
      </c>
      <c r="AM18" s="242"/>
      <c r="AN18" s="305">
        <f aca="true" t="shared" si="134" ref="AN18:BB18">IF(AN$3=$E18,$D18,0)</f>
        <v>0</v>
      </c>
      <c r="AO18" s="305">
        <f t="shared" si="134"/>
        <v>0</v>
      </c>
      <c r="AP18" s="305">
        <f t="shared" si="134"/>
        <v>0</v>
      </c>
      <c r="AQ18" s="305">
        <f t="shared" si="134"/>
        <v>0</v>
      </c>
      <c r="AR18" s="305">
        <f t="shared" si="134"/>
        <v>0</v>
      </c>
      <c r="AS18" s="305">
        <f t="shared" si="134"/>
        <v>40000</v>
      </c>
      <c r="AT18" s="305">
        <f t="shared" si="134"/>
        <v>0</v>
      </c>
      <c r="AU18" s="305">
        <f t="shared" si="134"/>
        <v>0</v>
      </c>
      <c r="AV18" s="305">
        <f t="shared" si="134"/>
        <v>0</v>
      </c>
      <c r="AW18" s="305">
        <f t="shared" si="134"/>
        <v>0</v>
      </c>
      <c r="AX18" s="305">
        <f t="shared" si="134"/>
        <v>0</v>
      </c>
      <c r="AY18" s="305">
        <f t="shared" si="134"/>
        <v>0</v>
      </c>
      <c r="AZ18" s="305">
        <f t="shared" si="134"/>
        <v>0</v>
      </c>
      <c r="BA18" s="305">
        <f t="shared" si="134"/>
        <v>0</v>
      </c>
      <c r="BB18" s="305">
        <f t="shared" si="134"/>
        <v>0</v>
      </c>
      <c r="BD18" s="304">
        <f t="shared" si="133"/>
        <v>0</v>
      </c>
    </row>
    <row r="19" spans="1:56" ht="15">
      <c r="A19" t="s">
        <v>159</v>
      </c>
      <c r="B19" s="312"/>
      <c r="D19" s="382">
        <v>4000</v>
      </c>
      <c r="E19" s="250" t="s">
        <v>191</v>
      </c>
      <c r="F19" s="363"/>
      <c r="G19" s="363"/>
      <c r="H19" s="363">
        <v>1</v>
      </c>
      <c r="I19" s="341"/>
      <c r="J19" s="341"/>
      <c r="K19" s="373"/>
      <c r="L19" s="341"/>
      <c r="M19" s="341"/>
      <c r="N19" s="341"/>
      <c r="O19" s="338"/>
      <c r="P19" s="338"/>
      <c r="Q19" s="338"/>
      <c r="R19" s="338"/>
      <c r="S19" s="338"/>
      <c r="T19" s="338"/>
      <c r="U19" s="377">
        <f t="shared" si="0"/>
        <v>1</v>
      </c>
      <c r="V19" s="300"/>
      <c r="W19" s="300"/>
      <c r="X19" s="244">
        <f t="shared" si="1"/>
        <v>0</v>
      </c>
      <c r="Y19" s="244">
        <f t="shared" si="2"/>
        <v>0</v>
      </c>
      <c r="Z19" s="244">
        <f t="shared" si="3"/>
        <v>4000</v>
      </c>
      <c r="AA19" s="244">
        <f t="shared" si="4"/>
        <v>0</v>
      </c>
      <c r="AB19" s="244">
        <f t="shared" si="17"/>
        <v>0</v>
      </c>
      <c r="AC19" s="244">
        <f t="shared" si="5"/>
        <v>0</v>
      </c>
      <c r="AD19" s="244">
        <f t="shared" si="6"/>
        <v>0</v>
      </c>
      <c r="AE19" s="244">
        <f t="shared" si="7"/>
        <v>0</v>
      </c>
      <c r="AF19" s="244">
        <f t="shared" si="8"/>
        <v>0</v>
      </c>
      <c r="AG19" s="244">
        <f t="shared" si="9"/>
        <v>0</v>
      </c>
      <c r="AH19" s="244">
        <f t="shared" si="10"/>
        <v>0</v>
      </c>
      <c r="AI19" s="244">
        <f t="shared" si="11"/>
        <v>0</v>
      </c>
      <c r="AJ19" s="244">
        <f t="shared" si="12"/>
        <v>0</v>
      </c>
      <c r="AK19" s="244">
        <f t="shared" si="13"/>
        <v>0</v>
      </c>
      <c r="AL19" s="244">
        <f t="shared" si="14"/>
        <v>0</v>
      </c>
      <c r="AM19" s="242"/>
      <c r="AN19" s="244">
        <f t="shared" si="15"/>
        <v>0</v>
      </c>
      <c r="AO19" s="244">
        <f t="shared" si="15"/>
        <v>0</v>
      </c>
      <c r="AP19" s="244">
        <f t="shared" si="15"/>
        <v>4000</v>
      </c>
      <c r="AQ19" s="244">
        <f t="shared" si="15"/>
        <v>0</v>
      </c>
      <c r="AR19" s="244">
        <f t="shared" si="15"/>
        <v>0</v>
      </c>
      <c r="AS19" s="244">
        <f t="shared" si="15"/>
        <v>0</v>
      </c>
      <c r="AT19" s="244">
        <f t="shared" si="15"/>
        <v>0</v>
      </c>
      <c r="AU19" s="244">
        <f t="shared" si="15"/>
        <v>0</v>
      </c>
      <c r="AV19" s="244">
        <f t="shared" si="15"/>
        <v>0</v>
      </c>
      <c r="AW19" s="244">
        <f t="shared" si="15"/>
        <v>0</v>
      </c>
      <c r="AX19" s="244">
        <f t="shared" si="15"/>
        <v>0</v>
      </c>
      <c r="AY19" s="244">
        <f t="shared" si="15"/>
        <v>0</v>
      </c>
      <c r="AZ19" s="244">
        <f t="shared" si="15"/>
        <v>0</v>
      </c>
      <c r="BA19" s="244">
        <f t="shared" si="15"/>
        <v>0</v>
      </c>
      <c r="BB19" s="244">
        <f t="shared" si="15"/>
        <v>0</v>
      </c>
      <c r="BD19" s="237">
        <f t="shared" si="16"/>
        <v>0</v>
      </c>
    </row>
    <row r="20" spans="1:56" ht="15">
      <c r="A20" t="s">
        <v>159</v>
      </c>
      <c r="B20" s="312"/>
      <c r="D20" s="382">
        <v>99000</v>
      </c>
      <c r="E20" s="250" t="s">
        <v>191</v>
      </c>
      <c r="F20" s="363"/>
      <c r="G20" s="363"/>
      <c r="H20" s="362">
        <v>0</v>
      </c>
      <c r="I20" s="339">
        <v>0.3333</v>
      </c>
      <c r="J20" s="339">
        <v>0.2475</v>
      </c>
      <c r="K20" s="372">
        <v>0.2564363636</v>
      </c>
      <c r="L20" s="341">
        <v>0.16276363640000002</v>
      </c>
      <c r="M20" s="341"/>
      <c r="N20" s="341"/>
      <c r="O20" s="338"/>
      <c r="P20" s="338"/>
      <c r="Q20" s="338"/>
      <c r="R20" s="338"/>
      <c r="S20" s="338"/>
      <c r="T20" s="338"/>
      <c r="U20" s="378">
        <f t="shared" si="0"/>
        <v>1</v>
      </c>
      <c r="V20" s="300"/>
      <c r="W20" s="300"/>
      <c r="X20" s="244">
        <f t="shared" si="1"/>
        <v>0</v>
      </c>
      <c r="Y20" s="244">
        <f t="shared" si="2"/>
        <v>0</v>
      </c>
      <c r="Z20" s="244">
        <f t="shared" si="3"/>
        <v>0</v>
      </c>
      <c r="AA20" s="244">
        <f t="shared" si="4"/>
        <v>32996.7</v>
      </c>
      <c r="AB20" s="244">
        <f t="shared" si="17"/>
        <v>24502.5</v>
      </c>
      <c r="AC20" s="244">
        <f t="shared" si="5"/>
        <v>25387.1999964</v>
      </c>
      <c r="AD20" s="244">
        <f t="shared" si="6"/>
        <v>16113.600003600002</v>
      </c>
      <c r="AE20" s="244">
        <f t="shared" si="7"/>
        <v>0</v>
      </c>
      <c r="AF20" s="244">
        <f t="shared" si="8"/>
        <v>0</v>
      </c>
      <c r="AG20" s="244">
        <f t="shared" si="9"/>
        <v>0</v>
      </c>
      <c r="AH20" s="244">
        <f t="shared" si="10"/>
        <v>0</v>
      </c>
      <c r="AI20" s="244">
        <f t="shared" si="11"/>
        <v>0</v>
      </c>
      <c r="AJ20" s="244">
        <f t="shared" si="12"/>
        <v>0</v>
      </c>
      <c r="AK20" s="244">
        <f t="shared" si="13"/>
        <v>0</v>
      </c>
      <c r="AL20" s="244">
        <f t="shared" si="14"/>
        <v>0</v>
      </c>
      <c r="AM20" s="242"/>
      <c r="AN20" s="244">
        <f t="shared" si="15"/>
        <v>0</v>
      </c>
      <c r="AO20" s="244">
        <f t="shared" si="15"/>
        <v>0</v>
      </c>
      <c r="AP20" s="244">
        <f t="shared" si="15"/>
        <v>99000</v>
      </c>
      <c r="AQ20" s="244">
        <f t="shared" si="15"/>
        <v>0</v>
      </c>
      <c r="AR20" s="244">
        <f t="shared" si="15"/>
        <v>0</v>
      </c>
      <c r="AS20" s="244">
        <f t="shared" si="15"/>
        <v>0</v>
      </c>
      <c r="AT20" s="244">
        <f t="shared" si="15"/>
        <v>0</v>
      </c>
      <c r="AU20" s="244">
        <f t="shared" si="15"/>
        <v>0</v>
      </c>
      <c r="AV20" s="244">
        <f t="shared" si="15"/>
        <v>0</v>
      </c>
      <c r="AW20" s="244">
        <f t="shared" si="15"/>
        <v>0</v>
      </c>
      <c r="AX20" s="244">
        <f t="shared" si="15"/>
        <v>0</v>
      </c>
      <c r="AY20" s="244">
        <f t="shared" si="15"/>
        <v>0</v>
      </c>
      <c r="AZ20" s="244">
        <f t="shared" si="15"/>
        <v>0</v>
      </c>
      <c r="BA20" s="244">
        <f t="shared" si="15"/>
        <v>0</v>
      </c>
      <c r="BB20" s="244">
        <f t="shared" si="15"/>
        <v>0</v>
      </c>
      <c r="BD20" s="237">
        <f t="shared" si="16"/>
        <v>0</v>
      </c>
    </row>
    <row r="21" spans="1:56" ht="15">
      <c r="A21" t="s">
        <v>159</v>
      </c>
      <c r="B21" s="312"/>
      <c r="C21" s="300"/>
      <c r="D21" s="346">
        <v>230000</v>
      </c>
      <c r="E21" s="250" t="s">
        <v>193</v>
      </c>
      <c r="F21" s="363"/>
      <c r="G21" s="363"/>
      <c r="H21" s="363"/>
      <c r="I21" s="341"/>
      <c r="J21" s="341"/>
      <c r="K21" s="373">
        <v>0.25</v>
      </c>
      <c r="L21" s="341">
        <v>0.25</v>
      </c>
      <c r="M21" s="341">
        <v>0.25</v>
      </c>
      <c r="N21" s="341">
        <v>0.25</v>
      </c>
      <c r="O21" s="341"/>
      <c r="P21" s="341"/>
      <c r="Q21" s="341"/>
      <c r="R21" s="338"/>
      <c r="S21" s="338"/>
      <c r="T21" s="338"/>
      <c r="U21" s="377">
        <f t="shared" si="0"/>
        <v>1</v>
      </c>
      <c r="V21" s="300"/>
      <c r="W21" s="300"/>
      <c r="X21" s="244">
        <f t="shared" si="1"/>
        <v>0</v>
      </c>
      <c r="Y21" s="244">
        <f t="shared" si="2"/>
        <v>0</v>
      </c>
      <c r="Z21" s="244">
        <f t="shared" si="3"/>
        <v>0</v>
      </c>
      <c r="AA21" s="244">
        <f t="shared" si="4"/>
        <v>0</v>
      </c>
      <c r="AB21" s="244">
        <f t="shared" si="17"/>
        <v>0</v>
      </c>
      <c r="AC21" s="358">
        <f t="shared" si="5"/>
        <v>57500</v>
      </c>
      <c r="AD21" s="244">
        <f t="shared" si="6"/>
        <v>57500</v>
      </c>
      <c r="AE21" s="244">
        <f t="shared" si="7"/>
        <v>57500</v>
      </c>
      <c r="AF21" s="244">
        <f t="shared" si="8"/>
        <v>57500</v>
      </c>
      <c r="AG21" s="244">
        <f t="shared" si="9"/>
        <v>0</v>
      </c>
      <c r="AH21" s="244">
        <f t="shared" si="10"/>
        <v>0</v>
      </c>
      <c r="AI21" s="244">
        <f t="shared" si="11"/>
        <v>0</v>
      </c>
      <c r="AJ21" s="244">
        <f t="shared" si="12"/>
        <v>0</v>
      </c>
      <c r="AK21" s="244">
        <f t="shared" si="13"/>
        <v>0</v>
      </c>
      <c r="AL21" s="244">
        <f t="shared" si="14"/>
        <v>0</v>
      </c>
      <c r="AM21" s="242"/>
      <c r="AN21" s="244">
        <f t="shared" si="15"/>
        <v>0</v>
      </c>
      <c r="AO21" s="244">
        <f t="shared" si="15"/>
        <v>0</v>
      </c>
      <c r="AP21" s="244">
        <f t="shared" si="15"/>
        <v>0</v>
      </c>
      <c r="AQ21" s="244">
        <f t="shared" si="15"/>
        <v>0</v>
      </c>
      <c r="AR21" s="244">
        <f t="shared" si="15"/>
        <v>0</v>
      </c>
      <c r="AS21" s="244">
        <f t="shared" si="15"/>
        <v>230000</v>
      </c>
      <c r="AT21" s="244">
        <f t="shared" si="15"/>
        <v>0</v>
      </c>
      <c r="AU21" s="244">
        <f t="shared" si="15"/>
        <v>0</v>
      </c>
      <c r="AV21" s="244">
        <f t="shared" si="15"/>
        <v>0</v>
      </c>
      <c r="AW21" s="244">
        <f t="shared" si="15"/>
        <v>0</v>
      </c>
      <c r="AX21" s="244">
        <f t="shared" si="15"/>
        <v>0</v>
      </c>
      <c r="AY21" s="244">
        <f t="shared" si="15"/>
        <v>0</v>
      </c>
      <c r="AZ21" s="244">
        <f t="shared" si="15"/>
        <v>0</v>
      </c>
      <c r="BA21" s="244">
        <f t="shared" si="15"/>
        <v>0</v>
      </c>
      <c r="BB21" s="244">
        <f t="shared" si="15"/>
        <v>0</v>
      </c>
      <c r="BD21" s="237">
        <f t="shared" si="16"/>
        <v>0</v>
      </c>
    </row>
    <row r="22" spans="1:56" s="300" customFormat="1" ht="15">
      <c r="A22" s="300" t="s">
        <v>159</v>
      </c>
      <c r="B22" s="312"/>
      <c r="D22" s="346">
        <v>30000</v>
      </c>
      <c r="E22" s="250" t="s">
        <v>193</v>
      </c>
      <c r="F22" s="363"/>
      <c r="G22" s="363"/>
      <c r="H22" s="363"/>
      <c r="I22" s="341"/>
      <c r="J22" s="341"/>
      <c r="K22" s="373">
        <v>1</v>
      </c>
      <c r="L22" s="341"/>
      <c r="M22" s="341"/>
      <c r="N22" s="341"/>
      <c r="O22" s="341"/>
      <c r="P22" s="341"/>
      <c r="Q22" s="341"/>
      <c r="R22" s="338"/>
      <c r="S22" s="338"/>
      <c r="T22" s="338"/>
      <c r="U22" s="377">
        <f aca="true" t="shared" si="135" ref="U22">SUM(F22:T22)</f>
        <v>1</v>
      </c>
      <c r="X22" s="305">
        <f aca="true" t="shared" si="136" ref="X22">F22*$D22</f>
        <v>0</v>
      </c>
      <c r="Y22" s="305">
        <f aca="true" t="shared" si="137" ref="Y22">G22*$D22</f>
        <v>0</v>
      </c>
      <c r="Z22" s="305">
        <f aca="true" t="shared" si="138" ref="Z22">H22*$D22</f>
        <v>0</v>
      </c>
      <c r="AA22" s="305">
        <f aca="true" t="shared" si="139" ref="AA22">I22*$D22</f>
        <v>0</v>
      </c>
      <c r="AB22" s="305">
        <f aca="true" t="shared" si="140" ref="AB22">J22*$D22</f>
        <v>0</v>
      </c>
      <c r="AC22" s="358">
        <f aca="true" t="shared" si="141" ref="AC22">K22*$D22</f>
        <v>30000</v>
      </c>
      <c r="AD22" s="305">
        <f aca="true" t="shared" si="142" ref="AD22">L22*$D22</f>
        <v>0</v>
      </c>
      <c r="AE22" s="305">
        <f aca="true" t="shared" si="143" ref="AE22">M22*$D22</f>
        <v>0</v>
      </c>
      <c r="AF22" s="305">
        <f aca="true" t="shared" si="144" ref="AF22">N22*$D22</f>
        <v>0</v>
      </c>
      <c r="AG22" s="305">
        <f aca="true" t="shared" si="145" ref="AG22">O22*$D22</f>
        <v>0</v>
      </c>
      <c r="AH22" s="305">
        <f aca="true" t="shared" si="146" ref="AH22">P22*$D22</f>
        <v>0</v>
      </c>
      <c r="AI22" s="305">
        <f aca="true" t="shared" si="147" ref="AI22">Q22*$D22</f>
        <v>0</v>
      </c>
      <c r="AJ22" s="305">
        <f aca="true" t="shared" si="148" ref="AJ22">R22*$D22</f>
        <v>0</v>
      </c>
      <c r="AK22" s="305">
        <f aca="true" t="shared" si="149" ref="AK22">S22*$D22</f>
        <v>0</v>
      </c>
      <c r="AL22" s="305">
        <f aca="true" t="shared" si="150" ref="AL22">T22*$D22</f>
        <v>0</v>
      </c>
      <c r="AM22" s="242"/>
      <c r="AN22" s="305">
        <f t="shared" si="15"/>
        <v>0</v>
      </c>
      <c r="AO22" s="305">
        <f t="shared" si="15"/>
        <v>0</v>
      </c>
      <c r="AP22" s="305">
        <f t="shared" si="15"/>
        <v>0</v>
      </c>
      <c r="AQ22" s="305">
        <f t="shared" si="15"/>
        <v>0</v>
      </c>
      <c r="AR22" s="305">
        <f t="shared" si="15"/>
        <v>0</v>
      </c>
      <c r="AS22" s="305">
        <f t="shared" si="15"/>
        <v>30000</v>
      </c>
      <c r="AT22" s="305">
        <f t="shared" si="15"/>
        <v>0</v>
      </c>
      <c r="AU22" s="305">
        <f t="shared" si="15"/>
        <v>0</v>
      </c>
      <c r="AV22" s="305">
        <f t="shared" si="15"/>
        <v>0</v>
      </c>
      <c r="AW22" s="305">
        <f t="shared" si="15"/>
        <v>0</v>
      </c>
      <c r="AX22" s="305">
        <f t="shared" si="15"/>
        <v>0</v>
      </c>
      <c r="AY22" s="305">
        <f t="shared" si="15"/>
        <v>0</v>
      </c>
      <c r="AZ22" s="305">
        <f t="shared" si="15"/>
        <v>0</v>
      </c>
      <c r="BA22" s="305">
        <f t="shared" si="15"/>
        <v>0</v>
      </c>
      <c r="BB22" s="305">
        <f t="shared" si="15"/>
        <v>0</v>
      </c>
      <c r="BD22" s="304">
        <f aca="true" t="shared" si="151" ref="BD22">SUM(X22:AL22)-SUM(AN22:BB22)</f>
        <v>0</v>
      </c>
    </row>
    <row r="23" spans="1:56" s="300" customFormat="1" ht="15">
      <c r="A23" s="300" t="s">
        <v>159</v>
      </c>
      <c r="B23" s="312"/>
      <c r="D23" s="346">
        <v>1500</v>
      </c>
      <c r="E23" s="250" t="s">
        <v>223</v>
      </c>
      <c r="F23" s="363"/>
      <c r="G23" s="363"/>
      <c r="H23" s="363"/>
      <c r="I23" s="341">
        <v>1</v>
      </c>
      <c r="J23" s="341"/>
      <c r="K23" s="373">
        <v>0</v>
      </c>
      <c r="L23" s="341"/>
      <c r="M23" s="341"/>
      <c r="N23" s="341"/>
      <c r="O23" s="341"/>
      <c r="P23" s="341"/>
      <c r="Q23" s="341"/>
      <c r="R23" s="338"/>
      <c r="S23" s="338"/>
      <c r="T23" s="338"/>
      <c r="U23" s="377">
        <f aca="true" t="shared" si="152" ref="U23">SUM(F23:T23)</f>
        <v>1</v>
      </c>
      <c r="X23" s="305">
        <f aca="true" t="shared" si="153" ref="X23">F23*$D23</f>
        <v>0</v>
      </c>
      <c r="Y23" s="305">
        <f aca="true" t="shared" si="154" ref="Y23">G23*$D23</f>
        <v>0</v>
      </c>
      <c r="Z23" s="305">
        <f aca="true" t="shared" si="155" ref="Z23">H23*$D23</f>
        <v>0</v>
      </c>
      <c r="AA23" s="305">
        <f aca="true" t="shared" si="156" ref="AA23">I23*$D23</f>
        <v>1500</v>
      </c>
      <c r="AB23" s="305">
        <f aca="true" t="shared" si="157" ref="AB23">J23*$D23</f>
        <v>0</v>
      </c>
      <c r="AC23" s="305">
        <f aca="true" t="shared" si="158" ref="AC23">K23*$D23</f>
        <v>0</v>
      </c>
      <c r="AD23" s="305">
        <f aca="true" t="shared" si="159" ref="AD23">L23*$D23</f>
        <v>0</v>
      </c>
      <c r="AE23" s="305">
        <f aca="true" t="shared" si="160" ref="AE23">M23*$D23</f>
        <v>0</v>
      </c>
      <c r="AF23" s="305">
        <f aca="true" t="shared" si="161" ref="AF23">N23*$D23</f>
        <v>0</v>
      </c>
      <c r="AG23" s="305">
        <f aca="true" t="shared" si="162" ref="AG23">O23*$D23</f>
        <v>0</v>
      </c>
      <c r="AH23" s="305">
        <f aca="true" t="shared" si="163" ref="AH23">P23*$D23</f>
        <v>0</v>
      </c>
      <c r="AI23" s="305">
        <f aca="true" t="shared" si="164" ref="AI23">Q23*$D23</f>
        <v>0</v>
      </c>
      <c r="AJ23" s="305">
        <f aca="true" t="shared" si="165" ref="AJ23">R23*$D23</f>
        <v>0</v>
      </c>
      <c r="AK23" s="305">
        <f aca="true" t="shared" si="166" ref="AK23">S23*$D23</f>
        <v>0</v>
      </c>
      <c r="AL23" s="305">
        <f aca="true" t="shared" si="167" ref="AL23">T23*$D23</f>
        <v>0</v>
      </c>
      <c r="AM23" s="242"/>
      <c r="AN23" s="305">
        <f t="shared" si="15"/>
        <v>0</v>
      </c>
      <c r="AO23" s="305">
        <f t="shared" si="15"/>
        <v>0</v>
      </c>
      <c r="AP23" s="305">
        <f t="shared" si="15"/>
        <v>0</v>
      </c>
      <c r="AQ23" s="305">
        <f t="shared" si="15"/>
        <v>1500</v>
      </c>
      <c r="AR23" s="305">
        <f t="shared" si="15"/>
        <v>0</v>
      </c>
      <c r="AS23" s="305">
        <f t="shared" si="15"/>
        <v>0</v>
      </c>
      <c r="AT23" s="305">
        <f t="shared" si="15"/>
        <v>0</v>
      </c>
      <c r="AU23" s="305">
        <f t="shared" si="15"/>
        <v>0</v>
      </c>
      <c r="AV23" s="305">
        <f t="shared" si="15"/>
        <v>0</v>
      </c>
      <c r="AW23" s="305">
        <f t="shared" si="15"/>
        <v>0</v>
      </c>
      <c r="AX23" s="305">
        <f t="shared" si="15"/>
        <v>0</v>
      </c>
      <c r="AY23" s="305">
        <f t="shared" si="15"/>
        <v>0</v>
      </c>
      <c r="AZ23" s="305">
        <f t="shared" si="15"/>
        <v>0</v>
      </c>
      <c r="BA23" s="305">
        <f t="shared" si="15"/>
        <v>0</v>
      </c>
      <c r="BB23" s="305">
        <f t="shared" si="15"/>
        <v>0</v>
      </c>
      <c r="BD23" s="304">
        <f aca="true" t="shared" si="168" ref="BD23">SUM(X23:AL23)-SUM(AN23:BB23)</f>
        <v>0</v>
      </c>
    </row>
    <row r="24" spans="1:56" ht="15">
      <c r="A24" s="347" t="s">
        <v>160</v>
      </c>
      <c r="B24" s="348"/>
      <c r="C24" s="347"/>
      <c r="D24" s="346">
        <v>47312.08</v>
      </c>
      <c r="E24" s="250" t="s">
        <v>223</v>
      </c>
      <c r="F24" s="363"/>
      <c r="G24" s="363"/>
      <c r="H24" s="363"/>
      <c r="I24" s="341"/>
      <c r="J24" s="341">
        <v>0.605343920622387</v>
      </c>
      <c r="K24" s="373">
        <v>0.295992</v>
      </c>
      <c r="L24" s="364">
        <v>0.09866407937761301</v>
      </c>
      <c r="M24" s="341"/>
      <c r="N24" s="338"/>
      <c r="O24" s="338"/>
      <c r="P24" s="338"/>
      <c r="Q24" s="338"/>
      <c r="R24" s="338"/>
      <c r="S24" s="338"/>
      <c r="T24" s="338"/>
      <c r="U24" s="378">
        <f t="shared" si="0"/>
        <v>1</v>
      </c>
      <c r="V24" s="300"/>
      <c r="W24" s="300"/>
      <c r="X24" s="244">
        <f t="shared" si="1"/>
        <v>0</v>
      </c>
      <c r="Y24" s="244">
        <f t="shared" si="2"/>
        <v>0</v>
      </c>
      <c r="Z24" s="244">
        <f t="shared" si="3"/>
        <v>0</v>
      </c>
      <c r="AA24" s="244">
        <f t="shared" si="4"/>
        <v>0</v>
      </c>
      <c r="AB24" s="244">
        <f t="shared" si="17"/>
        <v>28640.080000000024</v>
      </c>
      <c r="AC24" s="244">
        <f t="shared" si="5"/>
        <v>14003.99718336</v>
      </c>
      <c r="AD24" s="244">
        <f t="shared" si="6"/>
        <v>4668.002816639977</v>
      </c>
      <c r="AE24" s="244">
        <f t="shared" si="7"/>
        <v>0</v>
      </c>
      <c r="AF24" s="244">
        <f t="shared" si="8"/>
        <v>0</v>
      </c>
      <c r="AG24" s="244">
        <f t="shared" si="9"/>
        <v>0</v>
      </c>
      <c r="AH24" s="244">
        <f t="shared" si="10"/>
        <v>0</v>
      </c>
      <c r="AI24" s="244">
        <f t="shared" si="11"/>
        <v>0</v>
      </c>
      <c r="AJ24" s="244">
        <f t="shared" si="12"/>
        <v>0</v>
      </c>
      <c r="AK24" s="244">
        <f t="shared" si="13"/>
        <v>0</v>
      </c>
      <c r="AL24" s="244">
        <f t="shared" si="14"/>
        <v>0</v>
      </c>
      <c r="AM24" s="242"/>
      <c r="AN24" s="244">
        <f aca="true" t="shared" si="169" ref="AN24:BB32">IF(AN$3=$E24,$D24,0)</f>
        <v>0</v>
      </c>
      <c r="AO24" s="244">
        <f t="shared" si="169"/>
        <v>0</v>
      </c>
      <c r="AP24" s="244">
        <f t="shared" si="169"/>
        <v>0</v>
      </c>
      <c r="AQ24" s="244">
        <f t="shared" si="169"/>
        <v>47312.08</v>
      </c>
      <c r="AR24" s="244">
        <f t="shared" si="169"/>
        <v>0</v>
      </c>
      <c r="AS24" s="244">
        <f t="shared" si="169"/>
        <v>0</v>
      </c>
      <c r="AT24" s="244">
        <f t="shared" si="169"/>
        <v>0</v>
      </c>
      <c r="AU24" s="244">
        <f t="shared" si="169"/>
        <v>0</v>
      </c>
      <c r="AV24" s="244">
        <f t="shared" si="169"/>
        <v>0</v>
      </c>
      <c r="AW24" s="244">
        <f t="shared" si="169"/>
        <v>0</v>
      </c>
      <c r="AX24" s="244">
        <f t="shared" si="169"/>
        <v>0</v>
      </c>
      <c r="AY24" s="244">
        <f t="shared" si="169"/>
        <v>0</v>
      </c>
      <c r="AZ24" s="244">
        <f t="shared" si="169"/>
        <v>0</v>
      </c>
      <c r="BA24" s="244">
        <f t="shared" si="169"/>
        <v>0</v>
      </c>
      <c r="BB24" s="244">
        <f t="shared" si="169"/>
        <v>0</v>
      </c>
      <c r="BD24" s="237">
        <f t="shared" si="16"/>
        <v>0</v>
      </c>
    </row>
    <row r="25" spans="1:56" ht="15">
      <c r="A25" t="s">
        <v>160</v>
      </c>
      <c r="B25" s="313"/>
      <c r="D25" s="346">
        <v>51406.27</v>
      </c>
      <c r="E25" s="250" t="s">
        <v>220</v>
      </c>
      <c r="F25" s="340"/>
      <c r="G25" s="340"/>
      <c r="H25" s="340"/>
      <c r="I25" s="338"/>
      <c r="J25" s="341">
        <v>0.5</v>
      </c>
      <c r="K25" s="373">
        <v>0.375015</v>
      </c>
      <c r="L25" s="341">
        <v>0.124985</v>
      </c>
      <c r="M25" s="341"/>
      <c r="N25" s="341"/>
      <c r="O25" s="338"/>
      <c r="P25" s="338"/>
      <c r="Q25" s="338"/>
      <c r="R25" s="338"/>
      <c r="S25" s="338"/>
      <c r="T25" s="338"/>
      <c r="U25" s="377">
        <f t="shared" si="0"/>
        <v>1</v>
      </c>
      <c r="V25" s="300"/>
      <c r="W25" s="300"/>
      <c r="X25" s="244">
        <f t="shared" si="1"/>
        <v>0</v>
      </c>
      <c r="Y25" s="244">
        <f t="shared" si="2"/>
        <v>0</v>
      </c>
      <c r="Z25" s="244">
        <f t="shared" si="3"/>
        <v>0</v>
      </c>
      <c r="AA25" s="244">
        <f t="shared" si="4"/>
        <v>0</v>
      </c>
      <c r="AB25" s="244">
        <f t="shared" si="17"/>
        <v>25703.135</v>
      </c>
      <c r="AC25" s="305">
        <f t="shared" si="5"/>
        <v>19278.12234405</v>
      </c>
      <c r="AD25" s="244">
        <f t="shared" si="6"/>
        <v>6425.0126559499995</v>
      </c>
      <c r="AE25" s="244">
        <f t="shared" si="7"/>
        <v>0</v>
      </c>
      <c r="AF25" s="244">
        <f t="shared" si="8"/>
        <v>0</v>
      </c>
      <c r="AG25" s="244">
        <f t="shared" si="9"/>
        <v>0</v>
      </c>
      <c r="AH25" s="244">
        <f t="shared" si="10"/>
        <v>0</v>
      </c>
      <c r="AI25" s="244">
        <f t="shared" si="11"/>
        <v>0</v>
      </c>
      <c r="AJ25" s="244">
        <f t="shared" si="12"/>
        <v>0</v>
      </c>
      <c r="AK25" s="244">
        <f t="shared" si="13"/>
        <v>0</v>
      </c>
      <c r="AL25" s="244">
        <f t="shared" si="14"/>
        <v>0</v>
      </c>
      <c r="AM25" s="242"/>
      <c r="AN25" s="244">
        <f t="shared" si="169"/>
        <v>0</v>
      </c>
      <c r="AO25" s="244">
        <f t="shared" si="169"/>
        <v>0</v>
      </c>
      <c r="AP25" s="244">
        <f t="shared" si="169"/>
        <v>0</v>
      </c>
      <c r="AQ25" s="244">
        <f t="shared" si="169"/>
        <v>0</v>
      </c>
      <c r="AR25" s="244">
        <f t="shared" si="169"/>
        <v>51406.27</v>
      </c>
      <c r="AS25" s="244">
        <f t="shared" si="169"/>
        <v>0</v>
      </c>
      <c r="AT25" s="244">
        <f t="shared" si="169"/>
        <v>0</v>
      </c>
      <c r="AU25" s="244">
        <f t="shared" si="169"/>
        <v>0</v>
      </c>
      <c r="AV25" s="244">
        <f t="shared" si="169"/>
        <v>0</v>
      </c>
      <c r="AW25" s="244">
        <f t="shared" si="169"/>
        <v>0</v>
      </c>
      <c r="AX25" s="244">
        <f t="shared" si="169"/>
        <v>0</v>
      </c>
      <c r="AY25" s="244">
        <f t="shared" si="169"/>
        <v>0</v>
      </c>
      <c r="AZ25" s="244">
        <f t="shared" si="169"/>
        <v>0</v>
      </c>
      <c r="BA25" s="244">
        <f t="shared" si="169"/>
        <v>0</v>
      </c>
      <c r="BB25" s="244">
        <f t="shared" si="169"/>
        <v>0</v>
      </c>
      <c r="BD25" s="237">
        <f t="shared" si="16"/>
        <v>0</v>
      </c>
    </row>
    <row r="26" spans="1:56" ht="15">
      <c r="A26" t="s">
        <v>160</v>
      </c>
      <c r="B26" s="313"/>
      <c r="D26" s="346">
        <v>121200</v>
      </c>
      <c r="E26" s="250" t="s">
        <v>191</v>
      </c>
      <c r="F26" s="363"/>
      <c r="G26" s="363"/>
      <c r="H26" s="363"/>
      <c r="I26" s="341">
        <v>0.33333333</v>
      </c>
      <c r="J26" s="341">
        <v>0.16666666</v>
      </c>
      <c r="K26" s="373">
        <v>0.33333333</v>
      </c>
      <c r="L26" s="341">
        <v>0.16666668000000007</v>
      </c>
      <c r="M26" s="341"/>
      <c r="N26" s="341"/>
      <c r="O26" s="341"/>
      <c r="P26" s="341"/>
      <c r="Q26" s="341"/>
      <c r="R26" s="338"/>
      <c r="S26" s="338"/>
      <c r="T26" s="338"/>
      <c r="U26" s="379">
        <f t="shared" si="0"/>
        <v>1</v>
      </c>
      <c r="V26" s="300"/>
      <c r="W26" s="300"/>
      <c r="X26" s="254">
        <f t="shared" si="1"/>
        <v>0</v>
      </c>
      <c r="Y26" s="244">
        <f t="shared" si="2"/>
        <v>0</v>
      </c>
      <c r="Z26" s="244">
        <f t="shared" si="3"/>
        <v>0</v>
      </c>
      <c r="AA26" s="244">
        <f t="shared" si="4"/>
        <v>40399.999596</v>
      </c>
      <c r="AB26" s="244">
        <f t="shared" si="17"/>
        <v>20199.999192</v>
      </c>
      <c r="AC26" s="244">
        <f t="shared" si="5"/>
        <v>40399.999596</v>
      </c>
      <c r="AD26" s="244">
        <f t="shared" si="6"/>
        <v>20200.00161600001</v>
      </c>
      <c r="AE26" s="244">
        <f t="shared" si="7"/>
        <v>0</v>
      </c>
      <c r="AF26" s="244">
        <f t="shared" si="8"/>
        <v>0</v>
      </c>
      <c r="AG26" s="244">
        <f t="shared" si="9"/>
        <v>0</v>
      </c>
      <c r="AH26" s="244">
        <f t="shared" si="10"/>
        <v>0</v>
      </c>
      <c r="AI26" s="244">
        <f t="shared" si="11"/>
        <v>0</v>
      </c>
      <c r="AJ26" s="244">
        <f t="shared" si="12"/>
        <v>0</v>
      </c>
      <c r="AK26" s="244">
        <f t="shared" si="13"/>
        <v>0</v>
      </c>
      <c r="AL26" s="244">
        <f t="shared" si="14"/>
        <v>0</v>
      </c>
      <c r="AM26" s="242"/>
      <c r="AN26" s="244">
        <f t="shared" si="169"/>
        <v>0</v>
      </c>
      <c r="AO26" s="244">
        <f t="shared" si="169"/>
        <v>0</v>
      </c>
      <c r="AP26" s="244">
        <f t="shared" si="169"/>
        <v>121200</v>
      </c>
      <c r="AQ26" s="244">
        <f t="shared" si="169"/>
        <v>0</v>
      </c>
      <c r="AR26" s="244">
        <f t="shared" si="169"/>
        <v>0</v>
      </c>
      <c r="AS26" s="244">
        <f t="shared" si="169"/>
        <v>0</v>
      </c>
      <c r="AT26" s="244">
        <f t="shared" si="169"/>
        <v>0</v>
      </c>
      <c r="AU26" s="244">
        <f t="shared" si="169"/>
        <v>0</v>
      </c>
      <c r="AV26" s="244">
        <f t="shared" si="169"/>
        <v>0</v>
      </c>
      <c r="AW26" s="244">
        <f t="shared" si="169"/>
        <v>0</v>
      </c>
      <c r="AX26" s="244">
        <f t="shared" si="169"/>
        <v>0</v>
      </c>
      <c r="AY26" s="244">
        <f t="shared" si="169"/>
        <v>0</v>
      </c>
      <c r="AZ26" s="244">
        <f t="shared" si="169"/>
        <v>0</v>
      </c>
      <c r="BA26" s="244">
        <f t="shared" si="169"/>
        <v>0</v>
      </c>
      <c r="BB26" s="244">
        <f t="shared" si="169"/>
        <v>0</v>
      </c>
      <c r="BD26" s="237">
        <f t="shared" si="16"/>
        <v>0</v>
      </c>
    </row>
    <row r="27" spans="1:56" ht="15">
      <c r="A27" t="s">
        <v>160</v>
      </c>
      <c r="B27" s="313"/>
      <c r="D27" s="383">
        <f>12250*12</f>
        <v>147000</v>
      </c>
      <c r="E27" s="338" t="s">
        <v>220</v>
      </c>
      <c r="F27" s="363"/>
      <c r="G27" s="363"/>
      <c r="H27" s="363"/>
      <c r="I27" s="341"/>
      <c r="J27" s="341">
        <v>0.166666666666667</v>
      </c>
      <c r="K27" s="373">
        <v>0.25</v>
      </c>
      <c r="L27" s="341">
        <v>0.25</v>
      </c>
      <c r="M27" s="341">
        <v>0.25</v>
      </c>
      <c r="N27" s="341">
        <v>0.0833333333333333</v>
      </c>
      <c r="O27" s="341">
        <v>0</v>
      </c>
      <c r="P27" s="341"/>
      <c r="Q27" s="341"/>
      <c r="R27" s="338"/>
      <c r="S27" s="338"/>
      <c r="T27" s="338"/>
      <c r="U27" s="377">
        <f t="shared" si="0"/>
        <v>1.0000000000000002</v>
      </c>
      <c r="V27" s="300"/>
      <c r="W27" s="300"/>
      <c r="X27" s="254">
        <f t="shared" si="1"/>
        <v>0</v>
      </c>
      <c r="Y27" s="244">
        <f t="shared" si="2"/>
        <v>0</v>
      </c>
      <c r="Z27" s="244">
        <f t="shared" si="3"/>
        <v>0</v>
      </c>
      <c r="AA27" s="244">
        <f t="shared" si="4"/>
        <v>0</v>
      </c>
      <c r="AB27" s="244">
        <f t="shared" si="17"/>
        <v>24500.000000000047</v>
      </c>
      <c r="AC27" s="244">
        <f t="shared" si="5"/>
        <v>36750</v>
      </c>
      <c r="AD27" s="244">
        <f t="shared" si="6"/>
        <v>36750</v>
      </c>
      <c r="AE27" s="244">
        <f t="shared" si="7"/>
        <v>36750</v>
      </c>
      <c r="AF27" s="244">
        <f t="shared" si="8"/>
        <v>12249.999999999995</v>
      </c>
      <c r="AG27" s="244">
        <f t="shared" si="9"/>
        <v>0</v>
      </c>
      <c r="AH27" s="244">
        <f t="shared" si="10"/>
        <v>0</v>
      </c>
      <c r="AI27" s="244">
        <f t="shared" si="11"/>
        <v>0</v>
      </c>
      <c r="AJ27" s="244">
        <f t="shared" si="12"/>
        <v>0</v>
      </c>
      <c r="AK27" s="244">
        <f t="shared" si="13"/>
        <v>0</v>
      </c>
      <c r="AL27" s="244">
        <f t="shared" si="14"/>
        <v>0</v>
      </c>
      <c r="AM27" s="242"/>
      <c r="AN27" s="244">
        <f t="shared" si="169"/>
        <v>0</v>
      </c>
      <c r="AO27" s="244">
        <f t="shared" si="169"/>
        <v>0</v>
      </c>
      <c r="AP27" s="244">
        <f t="shared" si="169"/>
        <v>0</v>
      </c>
      <c r="AQ27" s="244">
        <f t="shared" si="169"/>
        <v>0</v>
      </c>
      <c r="AR27" s="244">
        <f t="shared" si="169"/>
        <v>147000</v>
      </c>
      <c r="AS27" s="244">
        <f t="shared" si="169"/>
        <v>0</v>
      </c>
      <c r="AT27" s="244">
        <f t="shared" si="169"/>
        <v>0</v>
      </c>
      <c r="AU27" s="244">
        <f t="shared" si="169"/>
        <v>0</v>
      </c>
      <c r="AV27" s="244">
        <f t="shared" si="169"/>
        <v>0</v>
      </c>
      <c r="AW27" s="244">
        <f t="shared" si="169"/>
        <v>0</v>
      </c>
      <c r="AX27" s="244">
        <f t="shared" si="169"/>
        <v>0</v>
      </c>
      <c r="AY27" s="244">
        <f t="shared" si="169"/>
        <v>0</v>
      </c>
      <c r="AZ27" s="244">
        <f t="shared" si="169"/>
        <v>0</v>
      </c>
      <c r="BA27" s="244">
        <f t="shared" si="169"/>
        <v>0</v>
      </c>
      <c r="BB27" s="244">
        <f t="shared" si="169"/>
        <v>0</v>
      </c>
      <c r="BD27" s="237">
        <f t="shared" si="16"/>
        <v>0</v>
      </c>
    </row>
    <row r="28" spans="1:56" ht="15">
      <c r="A28" t="s">
        <v>160</v>
      </c>
      <c r="B28" s="313"/>
      <c r="C28" s="352"/>
      <c r="D28" s="346">
        <f>12250*12+100000</f>
        <v>247000</v>
      </c>
      <c r="E28" s="250" t="s">
        <v>247</v>
      </c>
      <c r="F28" s="363"/>
      <c r="G28" s="363"/>
      <c r="H28" s="363"/>
      <c r="I28" s="341"/>
      <c r="J28" s="341"/>
      <c r="K28" s="373"/>
      <c r="L28" s="341"/>
      <c r="M28" s="341"/>
      <c r="N28" s="341"/>
      <c r="O28" s="341">
        <v>0.166666666666667</v>
      </c>
      <c r="P28" s="341">
        <v>0.25</v>
      </c>
      <c r="Q28" s="341">
        <v>0.25</v>
      </c>
      <c r="R28" s="341">
        <v>0.25</v>
      </c>
      <c r="S28" s="341">
        <v>0.08333333333333333</v>
      </c>
      <c r="T28" s="338"/>
      <c r="U28" s="377">
        <f t="shared" si="0"/>
        <v>1.0000000000000002</v>
      </c>
      <c r="V28" s="300"/>
      <c r="W28" s="300"/>
      <c r="X28" s="254">
        <f t="shared" si="1"/>
        <v>0</v>
      </c>
      <c r="Y28" s="244">
        <f t="shared" si="2"/>
        <v>0</v>
      </c>
      <c r="Z28" s="244">
        <f t="shared" si="3"/>
        <v>0</v>
      </c>
      <c r="AA28" s="244">
        <f t="shared" si="4"/>
        <v>0</v>
      </c>
      <c r="AB28" s="244">
        <f t="shared" si="17"/>
        <v>0</v>
      </c>
      <c r="AC28" s="244">
        <f t="shared" si="5"/>
        <v>0</v>
      </c>
      <c r="AD28" s="244">
        <f t="shared" si="6"/>
        <v>0</v>
      </c>
      <c r="AE28" s="244">
        <f t="shared" si="7"/>
        <v>0</v>
      </c>
      <c r="AF28" s="244">
        <f t="shared" si="8"/>
        <v>0</v>
      </c>
      <c r="AG28" s="244">
        <f t="shared" si="9"/>
        <v>41166.666666666744</v>
      </c>
      <c r="AH28" s="244">
        <f t="shared" si="10"/>
        <v>61750</v>
      </c>
      <c r="AI28" s="244">
        <f t="shared" si="11"/>
        <v>61750</v>
      </c>
      <c r="AJ28" s="244">
        <f t="shared" si="12"/>
        <v>61750</v>
      </c>
      <c r="AK28" s="244">
        <f t="shared" si="13"/>
        <v>20583.333333333332</v>
      </c>
      <c r="AL28" s="244">
        <f t="shared" si="14"/>
        <v>0</v>
      </c>
      <c r="AM28" s="242"/>
      <c r="AN28" s="244">
        <f t="shared" si="169"/>
        <v>0</v>
      </c>
      <c r="AO28" s="244">
        <f t="shared" si="169"/>
        <v>0</v>
      </c>
      <c r="AP28" s="244">
        <f t="shared" si="169"/>
        <v>0</v>
      </c>
      <c r="AQ28" s="244">
        <f t="shared" si="169"/>
        <v>0</v>
      </c>
      <c r="AR28" s="244">
        <f t="shared" si="169"/>
        <v>0</v>
      </c>
      <c r="AS28" s="244">
        <f t="shared" si="169"/>
        <v>0</v>
      </c>
      <c r="AT28" s="244">
        <f t="shared" si="169"/>
        <v>0</v>
      </c>
      <c r="AU28" s="244">
        <f t="shared" si="169"/>
        <v>247000</v>
      </c>
      <c r="AV28" s="244">
        <f t="shared" si="169"/>
        <v>0</v>
      </c>
      <c r="AW28" s="244">
        <f t="shared" si="169"/>
        <v>0</v>
      </c>
      <c r="AX28" s="244">
        <f t="shared" si="169"/>
        <v>0</v>
      </c>
      <c r="AY28" s="244">
        <f t="shared" si="169"/>
        <v>0</v>
      </c>
      <c r="AZ28" s="244">
        <f t="shared" si="169"/>
        <v>0</v>
      </c>
      <c r="BA28" s="244">
        <f t="shared" si="169"/>
        <v>0</v>
      </c>
      <c r="BB28" s="244">
        <f t="shared" si="169"/>
        <v>0</v>
      </c>
      <c r="BD28" s="237">
        <f t="shared" si="16"/>
        <v>0</v>
      </c>
    </row>
    <row r="29" spans="1:56" ht="15">
      <c r="A29" t="s">
        <v>160</v>
      </c>
      <c r="B29" s="313"/>
      <c r="D29" s="383">
        <v>61250</v>
      </c>
      <c r="E29" s="338" t="s">
        <v>219</v>
      </c>
      <c r="F29" s="363"/>
      <c r="G29" s="363">
        <v>0</v>
      </c>
      <c r="H29" s="363">
        <v>0.4</v>
      </c>
      <c r="I29" s="341">
        <v>0.6</v>
      </c>
      <c r="J29" s="341">
        <v>0</v>
      </c>
      <c r="K29" s="373"/>
      <c r="L29" s="341"/>
      <c r="M29" s="341"/>
      <c r="N29" s="341"/>
      <c r="O29" s="341"/>
      <c r="P29" s="341"/>
      <c r="Q29" s="341"/>
      <c r="R29" s="338"/>
      <c r="S29" s="338"/>
      <c r="T29" s="338"/>
      <c r="U29" s="377">
        <f t="shared" si="0"/>
        <v>1</v>
      </c>
      <c r="V29" s="300"/>
      <c r="W29" s="300"/>
      <c r="X29" s="244">
        <f t="shared" si="1"/>
        <v>0</v>
      </c>
      <c r="Y29" s="244">
        <f t="shared" si="2"/>
        <v>0</v>
      </c>
      <c r="Z29" s="244">
        <f t="shared" si="3"/>
        <v>24500</v>
      </c>
      <c r="AA29" s="244">
        <f t="shared" si="4"/>
        <v>36750</v>
      </c>
      <c r="AB29" s="244">
        <f t="shared" si="17"/>
        <v>0</v>
      </c>
      <c r="AC29" s="244">
        <f t="shared" si="5"/>
        <v>0</v>
      </c>
      <c r="AD29" s="244">
        <f t="shared" si="6"/>
        <v>0</v>
      </c>
      <c r="AE29" s="244">
        <f t="shared" si="7"/>
        <v>0</v>
      </c>
      <c r="AF29" s="244">
        <f t="shared" si="8"/>
        <v>0</v>
      </c>
      <c r="AG29" s="244">
        <f t="shared" si="9"/>
        <v>0</v>
      </c>
      <c r="AH29" s="244">
        <f t="shared" si="10"/>
        <v>0</v>
      </c>
      <c r="AI29" s="244">
        <f t="shared" si="11"/>
        <v>0</v>
      </c>
      <c r="AJ29" s="244">
        <f t="shared" si="12"/>
        <v>0</v>
      </c>
      <c r="AK29" s="244">
        <f t="shared" si="13"/>
        <v>0</v>
      </c>
      <c r="AL29" s="244">
        <f t="shared" si="14"/>
        <v>0</v>
      </c>
      <c r="AM29" s="242"/>
      <c r="AN29" s="244">
        <f t="shared" si="169"/>
        <v>0</v>
      </c>
      <c r="AO29" s="244">
        <f t="shared" si="169"/>
        <v>61250</v>
      </c>
      <c r="AP29" s="244">
        <f t="shared" si="169"/>
        <v>0</v>
      </c>
      <c r="AQ29" s="244">
        <f t="shared" si="169"/>
        <v>0</v>
      </c>
      <c r="AR29" s="244">
        <f t="shared" si="169"/>
        <v>0</v>
      </c>
      <c r="AS29" s="244">
        <f t="shared" si="169"/>
        <v>0</v>
      </c>
      <c r="AT29" s="244">
        <f t="shared" si="169"/>
        <v>0</v>
      </c>
      <c r="AU29" s="244">
        <f t="shared" si="169"/>
        <v>0</v>
      </c>
      <c r="AV29" s="244">
        <f t="shared" si="169"/>
        <v>0</v>
      </c>
      <c r="AW29" s="244">
        <f t="shared" si="169"/>
        <v>0</v>
      </c>
      <c r="AX29" s="244">
        <f t="shared" si="169"/>
        <v>0</v>
      </c>
      <c r="AY29" s="244">
        <f t="shared" si="169"/>
        <v>0</v>
      </c>
      <c r="AZ29" s="244">
        <f t="shared" si="169"/>
        <v>0</v>
      </c>
      <c r="BA29" s="244">
        <f t="shared" si="169"/>
        <v>0</v>
      </c>
      <c r="BB29" s="244">
        <f t="shared" si="169"/>
        <v>0</v>
      </c>
      <c r="BD29" s="237">
        <f t="shared" si="16"/>
        <v>0</v>
      </c>
    </row>
    <row r="30" spans="1:56" s="335" customFormat="1" ht="15">
      <c r="A30" s="335" t="s">
        <v>160</v>
      </c>
      <c r="B30" s="313"/>
      <c r="C30" s="353"/>
      <c r="D30" s="383">
        <v>73500</v>
      </c>
      <c r="E30" s="338" t="s">
        <v>280</v>
      </c>
      <c r="F30" s="363"/>
      <c r="G30" s="363" t="s">
        <v>128</v>
      </c>
      <c r="H30" s="363" t="s">
        <v>128</v>
      </c>
      <c r="I30" s="341" t="s">
        <v>128</v>
      </c>
      <c r="J30" s="341">
        <v>0</v>
      </c>
      <c r="K30" s="373">
        <v>0</v>
      </c>
      <c r="L30" s="341"/>
      <c r="M30" s="341"/>
      <c r="N30" s="341"/>
      <c r="O30" s="341">
        <v>1</v>
      </c>
      <c r="P30" s="341"/>
      <c r="Q30" s="341"/>
      <c r="R30" s="338"/>
      <c r="S30" s="338"/>
      <c r="T30" s="338"/>
      <c r="U30" s="341">
        <f t="shared" si="0"/>
        <v>1</v>
      </c>
      <c r="X30" s="336">
        <f t="shared" si="1"/>
        <v>0</v>
      </c>
      <c r="Y30" s="336">
        <v>0</v>
      </c>
      <c r="Z30" s="336">
        <v>0</v>
      </c>
      <c r="AA30" s="336">
        <v>0</v>
      </c>
      <c r="AB30" s="336">
        <f t="shared" si="17"/>
        <v>0</v>
      </c>
      <c r="AC30" s="336">
        <f t="shared" si="5"/>
        <v>0</v>
      </c>
      <c r="AD30" s="336">
        <f t="shared" si="6"/>
        <v>0</v>
      </c>
      <c r="AE30" s="336">
        <f t="shared" si="7"/>
        <v>0</v>
      </c>
      <c r="AF30" s="336">
        <f t="shared" si="8"/>
        <v>0</v>
      </c>
      <c r="AG30" s="336">
        <f t="shared" si="9"/>
        <v>73500</v>
      </c>
      <c r="AH30" s="336">
        <f t="shared" si="10"/>
        <v>0</v>
      </c>
      <c r="AI30" s="336">
        <f t="shared" si="11"/>
        <v>0</v>
      </c>
      <c r="AJ30" s="336">
        <f t="shared" si="12"/>
        <v>0</v>
      </c>
      <c r="AK30" s="336">
        <f t="shared" si="13"/>
        <v>0</v>
      </c>
      <c r="AL30" s="336">
        <f t="shared" si="14"/>
        <v>0</v>
      </c>
      <c r="AM30" s="337"/>
      <c r="AN30" s="336">
        <f t="shared" si="169"/>
        <v>0</v>
      </c>
      <c r="AO30" s="336">
        <f t="shared" si="169"/>
        <v>0</v>
      </c>
      <c r="AP30" s="336">
        <f t="shared" si="169"/>
        <v>0</v>
      </c>
      <c r="AQ30" s="336">
        <f t="shared" si="169"/>
        <v>0</v>
      </c>
      <c r="AR30" s="336">
        <f t="shared" si="169"/>
        <v>0</v>
      </c>
      <c r="AS30" s="336">
        <f t="shared" si="169"/>
        <v>0</v>
      </c>
      <c r="AT30" s="336">
        <f t="shared" si="169"/>
        <v>0</v>
      </c>
      <c r="AU30" s="336">
        <f t="shared" si="169"/>
        <v>0</v>
      </c>
      <c r="AV30" s="336">
        <f t="shared" si="169"/>
        <v>0</v>
      </c>
      <c r="AW30" s="336">
        <f t="shared" si="169"/>
        <v>73500</v>
      </c>
      <c r="AX30" s="336">
        <f t="shared" si="169"/>
        <v>0</v>
      </c>
      <c r="AY30" s="336">
        <f t="shared" si="169"/>
        <v>0</v>
      </c>
      <c r="AZ30" s="336">
        <f t="shared" si="169"/>
        <v>0</v>
      </c>
      <c r="BA30" s="336">
        <f t="shared" si="169"/>
        <v>0</v>
      </c>
      <c r="BB30" s="336">
        <f t="shared" si="169"/>
        <v>0</v>
      </c>
      <c r="BD30" s="304">
        <f t="shared" si="16"/>
        <v>0</v>
      </c>
    </row>
    <row r="31" spans="1:56" ht="15">
      <c r="A31" t="s">
        <v>161</v>
      </c>
      <c r="B31" s="313"/>
      <c r="C31" s="300"/>
      <c r="D31" s="346">
        <v>1030229</v>
      </c>
      <c r="E31" s="250" t="s">
        <v>220</v>
      </c>
      <c r="F31" s="363"/>
      <c r="G31" s="363"/>
      <c r="H31" s="363"/>
      <c r="I31" s="341"/>
      <c r="J31" s="341"/>
      <c r="K31" s="373">
        <v>0.25</v>
      </c>
      <c r="L31" s="341">
        <v>0.25</v>
      </c>
      <c r="M31" s="341">
        <v>0.25</v>
      </c>
      <c r="N31" s="341">
        <v>0.25</v>
      </c>
      <c r="O31" s="338"/>
      <c r="P31" s="338"/>
      <c r="Q31" s="338"/>
      <c r="R31" s="338"/>
      <c r="S31" s="338"/>
      <c r="T31" s="338"/>
      <c r="U31" s="377">
        <f t="shared" si="0"/>
        <v>1</v>
      </c>
      <c r="V31" s="300"/>
      <c r="W31" s="300"/>
      <c r="X31" s="244">
        <f t="shared" si="1"/>
        <v>0</v>
      </c>
      <c r="Y31" s="244">
        <f t="shared" si="2"/>
        <v>0</v>
      </c>
      <c r="Z31" s="244">
        <f t="shared" si="3"/>
        <v>0</v>
      </c>
      <c r="AA31" s="244">
        <f t="shared" si="4"/>
        <v>0</v>
      </c>
      <c r="AB31" s="244">
        <f t="shared" si="17"/>
        <v>0</v>
      </c>
      <c r="AC31" s="359">
        <f t="shared" si="5"/>
        <v>257557.25</v>
      </c>
      <c r="AD31" s="244">
        <f t="shared" si="6"/>
        <v>257557.25</v>
      </c>
      <c r="AE31" s="244">
        <f t="shared" si="7"/>
        <v>257557.25</v>
      </c>
      <c r="AF31" s="244">
        <f t="shared" si="8"/>
        <v>257557.25</v>
      </c>
      <c r="AG31" s="244">
        <f t="shared" si="9"/>
        <v>0</v>
      </c>
      <c r="AH31" s="244">
        <f t="shared" si="10"/>
        <v>0</v>
      </c>
      <c r="AI31" s="244">
        <f t="shared" si="11"/>
        <v>0</v>
      </c>
      <c r="AJ31" s="244">
        <f t="shared" si="12"/>
        <v>0</v>
      </c>
      <c r="AK31" s="244">
        <f t="shared" si="13"/>
        <v>0</v>
      </c>
      <c r="AL31" s="244">
        <f t="shared" si="14"/>
        <v>0</v>
      </c>
      <c r="AM31" s="242"/>
      <c r="AN31" s="244">
        <f t="shared" si="169"/>
        <v>0</v>
      </c>
      <c r="AO31" s="244">
        <f t="shared" si="169"/>
        <v>0</v>
      </c>
      <c r="AP31" s="244">
        <f t="shared" si="169"/>
        <v>0</v>
      </c>
      <c r="AQ31" s="244">
        <f t="shared" si="169"/>
        <v>0</v>
      </c>
      <c r="AR31" s="244">
        <f t="shared" si="169"/>
        <v>1030229</v>
      </c>
      <c r="AS31" s="244">
        <f t="shared" si="169"/>
        <v>0</v>
      </c>
      <c r="AT31" s="244">
        <f t="shared" si="169"/>
        <v>0</v>
      </c>
      <c r="AU31" s="244">
        <f t="shared" si="169"/>
        <v>0</v>
      </c>
      <c r="AV31" s="244">
        <f t="shared" si="169"/>
        <v>0</v>
      </c>
      <c r="AW31" s="244">
        <f t="shared" si="169"/>
        <v>0</v>
      </c>
      <c r="AX31" s="244">
        <f t="shared" si="169"/>
        <v>0</v>
      </c>
      <c r="AY31" s="244">
        <f t="shared" si="169"/>
        <v>0</v>
      </c>
      <c r="AZ31" s="244">
        <f t="shared" si="169"/>
        <v>0</v>
      </c>
      <c r="BA31" s="244">
        <f t="shared" si="169"/>
        <v>0</v>
      </c>
      <c r="BB31" s="244">
        <f t="shared" si="169"/>
        <v>0</v>
      </c>
      <c r="BD31" s="237">
        <f t="shared" si="16"/>
        <v>0</v>
      </c>
    </row>
    <row r="32" spans="1:56" ht="15">
      <c r="A32" t="s">
        <v>161</v>
      </c>
      <c r="B32" s="313"/>
      <c r="C32" s="300"/>
      <c r="D32" s="346">
        <v>400000</v>
      </c>
      <c r="E32" s="250" t="s">
        <v>193</v>
      </c>
      <c r="F32" s="363"/>
      <c r="G32" s="363"/>
      <c r="H32" s="363"/>
      <c r="I32" s="341"/>
      <c r="J32" s="341"/>
      <c r="K32" s="373">
        <v>0.25</v>
      </c>
      <c r="L32" s="341">
        <v>0.25</v>
      </c>
      <c r="M32" s="341">
        <v>0.25</v>
      </c>
      <c r="N32" s="341">
        <v>0.25</v>
      </c>
      <c r="O32" s="338"/>
      <c r="P32" s="338"/>
      <c r="Q32" s="338"/>
      <c r="R32" s="338"/>
      <c r="S32" s="338"/>
      <c r="T32" s="338"/>
      <c r="U32" s="377">
        <f t="shared" si="0"/>
        <v>1</v>
      </c>
      <c r="V32" s="300"/>
      <c r="W32" s="300"/>
      <c r="X32" s="244">
        <f t="shared" si="1"/>
        <v>0</v>
      </c>
      <c r="Y32" s="244">
        <f t="shared" si="2"/>
        <v>0</v>
      </c>
      <c r="Z32" s="244">
        <f t="shared" si="3"/>
        <v>0</v>
      </c>
      <c r="AA32" s="244">
        <f t="shared" si="4"/>
        <v>0</v>
      </c>
      <c r="AB32" s="244">
        <f t="shared" si="17"/>
        <v>0</v>
      </c>
      <c r="AC32" s="244">
        <f t="shared" si="5"/>
        <v>100000</v>
      </c>
      <c r="AD32" s="244">
        <f t="shared" si="6"/>
        <v>100000</v>
      </c>
      <c r="AE32" s="244">
        <f t="shared" si="7"/>
        <v>100000</v>
      </c>
      <c r="AF32" s="244">
        <f t="shared" si="8"/>
        <v>100000</v>
      </c>
      <c r="AG32" s="244">
        <f t="shared" si="9"/>
        <v>0</v>
      </c>
      <c r="AH32" s="244">
        <f t="shared" si="10"/>
        <v>0</v>
      </c>
      <c r="AI32" s="244">
        <f t="shared" si="11"/>
        <v>0</v>
      </c>
      <c r="AJ32" s="244">
        <f t="shared" si="12"/>
        <v>0</v>
      </c>
      <c r="AK32" s="244">
        <f t="shared" si="13"/>
        <v>0</v>
      </c>
      <c r="AL32" s="244">
        <f t="shared" si="14"/>
        <v>0</v>
      </c>
      <c r="AM32" s="242"/>
      <c r="AN32" s="244">
        <f t="shared" si="169"/>
        <v>0</v>
      </c>
      <c r="AO32" s="244">
        <f t="shared" si="169"/>
        <v>0</v>
      </c>
      <c r="AP32" s="244">
        <f t="shared" si="169"/>
        <v>0</v>
      </c>
      <c r="AQ32" s="244">
        <f t="shared" si="169"/>
        <v>0</v>
      </c>
      <c r="AR32" s="244">
        <f t="shared" si="169"/>
        <v>0</v>
      </c>
      <c r="AS32" s="244">
        <f t="shared" si="169"/>
        <v>400000</v>
      </c>
      <c r="AT32" s="244">
        <f t="shared" si="169"/>
        <v>0</v>
      </c>
      <c r="AU32" s="244">
        <f t="shared" si="169"/>
        <v>0</v>
      </c>
      <c r="AV32" s="244">
        <f t="shared" si="169"/>
        <v>0</v>
      </c>
      <c r="AW32" s="244">
        <f t="shared" si="169"/>
        <v>0</v>
      </c>
      <c r="AX32" s="244">
        <f t="shared" si="169"/>
        <v>0</v>
      </c>
      <c r="AY32" s="244">
        <f t="shared" si="169"/>
        <v>0</v>
      </c>
      <c r="AZ32" s="244">
        <f t="shared" si="169"/>
        <v>0</v>
      </c>
      <c r="BA32" s="244">
        <f t="shared" si="169"/>
        <v>0</v>
      </c>
      <c r="BB32" s="244">
        <f t="shared" si="169"/>
        <v>0</v>
      </c>
      <c r="BD32" s="237">
        <f t="shared" si="16"/>
        <v>0</v>
      </c>
    </row>
    <row r="33" spans="1:56" ht="15">
      <c r="A33" t="s">
        <v>161</v>
      </c>
      <c r="B33" s="313"/>
      <c r="C33" s="352"/>
      <c r="D33" s="346">
        <v>500000</v>
      </c>
      <c r="E33" s="250" t="s">
        <v>281</v>
      </c>
      <c r="F33" s="340"/>
      <c r="G33" s="340"/>
      <c r="H33" s="340"/>
      <c r="I33" s="338"/>
      <c r="J33" s="341"/>
      <c r="K33" s="373">
        <v>0</v>
      </c>
      <c r="L33" s="341">
        <v>0</v>
      </c>
      <c r="M33" s="341">
        <v>0.25</v>
      </c>
      <c r="N33" s="341">
        <v>0.25</v>
      </c>
      <c r="O33" s="360">
        <v>0.25</v>
      </c>
      <c r="P33" s="360">
        <v>0.25</v>
      </c>
      <c r="Q33" s="338"/>
      <c r="R33" s="338"/>
      <c r="S33" s="338"/>
      <c r="T33" s="338"/>
      <c r="U33" s="377">
        <f t="shared" si="0"/>
        <v>1</v>
      </c>
      <c r="V33" s="300"/>
      <c r="W33" s="300"/>
      <c r="X33" s="305">
        <f t="shared" si="1"/>
        <v>0</v>
      </c>
      <c r="Y33" s="305">
        <f t="shared" si="2"/>
        <v>0</v>
      </c>
      <c r="Z33" s="305">
        <f t="shared" si="3"/>
        <v>0</v>
      </c>
      <c r="AA33" s="305">
        <f t="shared" si="4"/>
        <v>0</v>
      </c>
      <c r="AB33" s="305">
        <f t="shared" si="17"/>
        <v>0</v>
      </c>
      <c r="AC33" s="305">
        <f t="shared" si="5"/>
        <v>0</v>
      </c>
      <c r="AD33" s="305">
        <f t="shared" si="6"/>
        <v>0</v>
      </c>
      <c r="AE33" s="305">
        <f t="shared" si="7"/>
        <v>125000</v>
      </c>
      <c r="AF33" s="305">
        <f t="shared" si="8"/>
        <v>125000</v>
      </c>
      <c r="AG33" s="305">
        <f t="shared" si="9"/>
        <v>125000</v>
      </c>
      <c r="AH33" s="305">
        <f t="shared" si="10"/>
        <v>125000</v>
      </c>
      <c r="AI33" s="305">
        <f t="shared" si="11"/>
        <v>0</v>
      </c>
      <c r="AJ33" s="305">
        <f t="shared" si="12"/>
        <v>0</v>
      </c>
      <c r="AK33" s="305">
        <f t="shared" si="13"/>
        <v>0</v>
      </c>
      <c r="AL33" s="305">
        <f t="shared" si="14"/>
        <v>0</v>
      </c>
      <c r="AM33" s="242"/>
      <c r="AN33" s="244">
        <f aca="true" t="shared" si="170" ref="AN33:BB47">IF(AN$3=$E33,$D33,0)</f>
        <v>0</v>
      </c>
      <c r="AO33" s="244">
        <f t="shared" si="170"/>
        <v>0</v>
      </c>
      <c r="AP33" s="244">
        <f t="shared" si="170"/>
        <v>0</v>
      </c>
      <c r="AQ33" s="244">
        <f t="shared" si="170"/>
        <v>0</v>
      </c>
      <c r="AR33" s="244">
        <f t="shared" si="170"/>
        <v>0</v>
      </c>
      <c r="AS33" s="244">
        <f t="shared" si="170"/>
        <v>0</v>
      </c>
      <c r="AT33" s="244">
        <f t="shared" si="170"/>
        <v>0</v>
      </c>
      <c r="AU33" s="244">
        <f t="shared" si="170"/>
        <v>0</v>
      </c>
      <c r="AV33" s="244">
        <f t="shared" si="170"/>
        <v>0</v>
      </c>
      <c r="AW33" s="244">
        <f t="shared" si="170"/>
        <v>0</v>
      </c>
      <c r="AX33" s="244">
        <f t="shared" si="170"/>
        <v>500000</v>
      </c>
      <c r="AY33" s="244">
        <f t="shared" si="170"/>
        <v>0</v>
      </c>
      <c r="AZ33" s="244">
        <f t="shared" si="170"/>
        <v>0</v>
      </c>
      <c r="BA33" s="244">
        <f t="shared" si="170"/>
        <v>0</v>
      </c>
      <c r="BB33" s="244">
        <f t="shared" si="170"/>
        <v>0</v>
      </c>
      <c r="BD33" s="304">
        <f t="shared" si="16"/>
        <v>0</v>
      </c>
    </row>
    <row r="34" spans="1:56" s="300" customFormat="1" ht="15">
      <c r="A34" s="300" t="s">
        <v>162</v>
      </c>
      <c r="B34" s="313"/>
      <c r="D34" s="346">
        <v>5000</v>
      </c>
      <c r="E34" s="250" t="s">
        <v>223</v>
      </c>
      <c r="F34" s="340"/>
      <c r="G34" s="340"/>
      <c r="H34" s="340"/>
      <c r="I34" s="341">
        <v>1</v>
      </c>
      <c r="J34" s="341"/>
      <c r="K34" s="373"/>
      <c r="L34" s="341"/>
      <c r="M34" s="341"/>
      <c r="N34" s="338"/>
      <c r="O34" s="338"/>
      <c r="P34" s="338"/>
      <c r="Q34" s="338"/>
      <c r="R34" s="338"/>
      <c r="S34" s="338"/>
      <c r="T34" s="338"/>
      <c r="U34" s="377">
        <f aca="true" t="shared" si="171" ref="U34">SUM(F34:T34)</f>
        <v>1</v>
      </c>
      <c r="X34" s="305">
        <f aca="true" t="shared" si="172" ref="X34">F34*$D34</f>
        <v>0</v>
      </c>
      <c r="Y34" s="305">
        <f aca="true" t="shared" si="173" ref="Y34">G34*$D34</f>
        <v>0</v>
      </c>
      <c r="Z34" s="305">
        <f aca="true" t="shared" si="174" ref="Z34">H34*$D34</f>
        <v>0</v>
      </c>
      <c r="AA34" s="305">
        <f aca="true" t="shared" si="175" ref="AA34">I34*$D34</f>
        <v>5000</v>
      </c>
      <c r="AB34" s="305">
        <f aca="true" t="shared" si="176" ref="AB34">J34*$D34</f>
        <v>0</v>
      </c>
      <c r="AC34" s="305">
        <f aca="true" t="shared" si="177" ref="AC34">K34*$D34</f>
        <v>0</v>
      </c>
      <c r="AD34" s="305">
        <f aca="true" t="shared" si="178" ref="AD34">L34*$D34</f>
        <v>0</v>
      </c>
      <c r="AE34" s="305">
        <f aca="true" t="shared" si="179" ref="AE34">M34*$D34</f>
        <v>0</v>
      </c>
      <c r="AF34" s="305">
        <f aca="true" t="shared" si="180" ref="AF34">N34*$D34</f>
        <v>0</v>
      </c>
      <c r="AG34" s="305">
        <f aca="true" t="shared" si="181" ref="AG34">O34*$D34</f>
        <v>0</v>
      </c>
      <c r="AH34" s="305">
        <f aca="true" t="shared" si="182" ref="AH34">P34*$D34</f>
        <v>0</v>
      </c>
      <c r="AI34" s="305">
        <f aca="true" t="shared" si="183" ref="AI34">Q34*$D34</f>
        <v>0</v>
      </c>
      <c r="AJ34" s="305">
        <f aca="true" t="shared" si="184" ref="AJ34">R34*$D34</f>
        <v>0</v>
      </c>
      <c r="AK34" s="305">
        <f aca="true" t="shared" si="185" ref="AK34">S34*$D34</f>
        <v>0</v>
      </c>
      <c r="AL34" s="305">
        <f aca="true" t="shared" si="186" ref="AL34">T34*$D34</f>
        <v>0</v>
      </c>
      <c r="AM34" s="242"/>
      <c r="AN34" s="305">
        <f t="shared" si="170"/>
        <v>0</v>
      </c>
      <c r="AO34" s="305">
        <f t="shared" si="170"/>
        <v>0</v>
      </c>
      <c r="AP34" s="305">
        <f t="shared" si="170"/>
        <v>0</v>
      </c>
      <c r="AQ34" s="305">
        <f t="shared" si="170"/>
        <v>5000</v>
      </c>
      <c r="AR34" s="305">
        <f t="shared" si="170"/>
        <v>0</v>
      </c>
      <c r="AS34" s="305">
        <f t="shared" si="170"/>
        <v>0</v>
      </c>
      <c r="AT34" s="305">
        <f t="shared" si="170"/>
        <v>0</v>
      </c>
      <c r="AU34" s="305">
        <f t="shared" si="170"/>
        <v>0</v>
      </c>
      <c r="AV34" s="305">
        <f t="shared" si="170"/>
        <v>0</v>
      </c>
      <c r="AW34" s="305">
        <f t="shared" si="170"/>
        <v>0</v>
      </c>
      <c r="AX34" s="305">
        <f t="shared" si="170"/>
        <v>0</v>
      </c>
      <c r="AY34" s="305">
        <f t="shared" si="170"/>
        <v>0</v>
      </c>
      <c r="AZ34" s="305">
        <f t="shared" si="170"/>
        <v>0</v>
      </c>
      <c r="BA34" s="305">
        <f t="shared" si="170"/>
        <v>0</v>
      </c>
      <c r="BB34" s="305">
        <f t="shared" si="170"/>
        <v>0</v>
      </c>
      <c r="BD34" s="304">
        <f aca="true" t="shared" si="187" ref="BD34">SUM(X34:AL34)-SUM(AN34:BB34)</f>
        <v>0</v>
      </c>
    </row>
    <row r="35" spans="1:56" s="300" customFormat="1" ht="15">
      <c r="A35" s="300" t="s">
        <v>162</v>
      </c>
      <c r="B35" s="313"/>
      <c r="D35" s="346">
        <v>961.64</v>
      </c>
      <c r="E35" s="250" t="s">
        <v>220</v>
      </c>
      <c r="F35" s="340"/>
      <c r="G35" s="340"/>
      <c r="H35" s="340"/>
      <c r="I35" s="341"/>
      <c r="J35" s="341">
        <v>1</v>
      </c>
      <c r="K35" s="373"/>
      <c r="L35" s="341"/>
      <c r="M35" s="341"/>
      <c r="N35" s="338"/>
      <c r="O35" s="338"/>
      <c r="P35" s="338"/>
      <c r="Q35" s="338"/>
      <c r="R35" s="338"/>
      <c r="S35" s="338"/>
      <c r="T35" s="338"/>
      <c r="U35" s="377">
        <f aca="true" t="shared" si="188" ref="U35">SUM(F35:T35)</f>
        <v>1</v>
      </c>
      <c r="X35" s="305">
        <f aca="true" t="shared" si="189" ref="X35">F35*$D35</f>
        <v>0</v>
      </c>
      <c r="Y35" s="305">
        <f aca="true" t="shared" si="190" ref="Y35">G35*$D35</f>
        <v>0</v>
      </c>
      <c r="Z35" s="305">
        <f aca="true" t="shared" si="191" ref="Z35">H35*$D35</f>
        <v>0</v>
      </c>
      <c r="AA35" s="305">
        <f aca="true" t="shared" si="192" ref="AA35">I35*$D35</f>
        <v>0</v>
      </c>
      <c r="AB35" s="305">
        <f aca="true" t="shared" si="193" ref="AB35">J35*$D35</f>
        <v>961.64</v>
      </c>
      <c r="AC35" s="305">
        <f aca="true" t="shared" si="194" ref="AC35">K35*$D35</f>
        <v>0</v>
      </c>
      <c r="AD35" s="305">
        <f aca="true" t="shared" si="195" ref="AD35">L35*$D35</f>
        <v>0</v>
      </c>
      <c r="AE35" s="305">
        <f aca="true" t="shared" si="196" ref="AE35">M35*$D35</f>
        <v>0</v>
      </c>
      <c r="AF35" s="305">
        <f aca="true" t="shared" si="197" ref="AF35">N35*$D35</f>
        <v>0</v>
      </c>
      <c r="AG35" s="305">
        <f aca="true" t="shared" si="198" ref="AG35">O35*$D35</f>
        <v>0</v>
      </c>
      <c r="AH35" s="305">
        <f aca="true" t="shared" si="199" ref="AH35">P35*$D35</f>
        <v>0</v>
      </c>
      <c r="AI35" s="305">
        <f aca="true" t="shared" si="200" ref="AI35">Q35*$D35</f>
        <v>0</v>
      </c>
      <c r="AJ35" s="305">
        <f aca="true" t="shared" si="201" ref="AJ35">R35*$D35</f>
        <v>0</v>
      </c>
      <c r="AK35" s="305">
        <f aca="true" t="shared" si="202" ref="AK35">S35*$D35</f>
        <v>0</v>
      </c>
      <c r="AL35" s="305">
        <f aca="true" t="shared" si="203" ref="AL35">T35*$D35</f>
        <v>0</v>
      </c>
      <c r="AM35" s="242"/>
      <c r="AN35" s="305">
        <f t="shared" si="170"/>
        <v>0</v>
      </c>
      <c r="AO35" s="305">
        <f t="shared" si="170"/>
        <v>0</v>
      </c>
      <c r="AP35" s="305">
        <f t="shared" si="170"/>
        <v>0</v>
      </c>
      <c r="AQ35" s="305">
        <f t="shared" si="170"/>
        <v>0</v>
      </c>
      <c r="AR35" s="305">
        <f t="shared" si="170"/>
        <v>961.64</v>
      </c>
      <c r="AS35" s="305">
        <f t="shared" si="170"/>
        <v>0</v>
      </c>
      <c r="AT35" s="305">
        <f t="shared" si="170"/>
        <v>0</v>
      </c>
      <c r="AU35" s="305">
        <f t="shared" si="170"/>
        <v>0</v>
      </c>
      <c r="AV35" s="305">
        <f t="shared" si="170"/>
        <v>0</v>
      </c>
      <c r="AW35" s="305">
        <f t="shared" si="170"/>
        <v>0</v>
      </c>
      <c r="AX35" s="305">
        <f t="shared" si="170"/>
        <v>0</v>
      </c>
      <c r="AY35" s="305">
        <f t="shared" si="170"/>
        <v>0</v>
      </c>
      <c r="AZ35" s="305">
        <f t="shared" si="170"/>
        <v>0</v>
      </c>
      <c r="BA35" s="305">
        <f t="shared" si="170"/>
        <v>0</v>
      </c>
      <c r="BB35" s="305">
        <f t="shared" si="170"/>
        <v>0</v>
      </c>
      <c r="BD35" s="304">
        <f aca="true" t="shared" si="204" ref="BD35">SUM(X35:AL35)-SUM(AN35:BB35)</f>
        <v>0</v>
      </c>
    </row>
    <row r="36" spans="1:56" ht="15">
      <c r="A36" t="s">
        <v>163</v>
      </c>
      <c r="B36" s="259"/>
      <c r="C36" s="250"/>
      <c r="D36" s="326">
        <v>15000</v>
      </c>
      <c r="E36" s="250" t="s">
        <v>220</v>
      </c>
      <c r="F36" s="363"/>
      <c r="G36" s="363"/>
      <c r="H36" s="363"/>
      <c r="I36" s="341"/>
      <c r="J36" s="341"/>
      <c r="K36" s="373">
        <v>1</v>
      </c>
      <c r="L36" s="341"/>
      <c r="M36" s="341"/>
      <c r="N36" s="341"/>
      <c r="O36" s="338"/>
      <c r="P36" s="338"/>
      <c r="Q36" s="338"/>
      <c r="R36" s="338"/>
      <c r="S36" s="338"/>
      <c r="T36" s="338"/>
      <c r="U36" s="377">
        <f t="shared" si="0"/>
        <v>1</v>
      </c>
      <c r="V36" s="300"/>
      <c r="W36" s="300"/>
      <c r="X36" s="305">
        <f t="shared" si="1"/>
        <v>0</v>
      </c>
      <c r="Y36" s="305">
        <f t="shared" si="2"/>
        <v>0</v>
      </c>
      <c r="Z36" s="305">
        <f t="shared" si="3"/>
        <v>0</v>
      </c>
      <c r="AA36" s="305">
        <f t="shared" si="4"/>
        <v>0</v>
      </c>
      <c r="AB36" s="305">
        <f t="shared" si="17"/>
        <v>0</v>
      </c>
      <c r="AC36" s="305">
        <f t="shared" si="5"/>
        <v>15000</v>
      </c>
      <c r="AD36" s="305">
        <f t="shared" si="6"/>
        <v>0</v>
      </c>
      <c r="AE36" s="305">
        <f t="shared" si="7"/>
        <v>0</v>
      </c>
      <c r="AF36" s="305">
        <f t="shared" si="8"/>
        <v>0</v>
      </c>
      <c r="AG36" s="305">
        <f t="shared" si="9"/>
        <v>0</v>
      </c>
      <c r="AH36" s="305">
        <f t="shared" si="10"/>
        <v>0</v>
      </c>
      <c r="AI36" s="305">
        <f t="shared" si="11"/>
        <v>0</v>
      </c>
      <c r="AJ36" s="305">
        <f t="shared" si="12"/>
        <v>0</v>
      </c>
      <c r="AK36" s="305">
        <f t="shared" si="13"/>
        <v>0</v>
      </c>
      <c r="AL36" s="305">
        <f t="shared" si="14"/>
        <v>0</v>
      </c>
      <c r="AM36" s="242"/>
      <c r="AN36" s="244">
        <f t="shared" si="170"/>
        <v>0</v>
      </c>
      <c r="AO36" s="244">
        <f t="shared" si="170"/>
        <v>0</v>
      </c>
      <c r="AP36" s="244">
        <f t="shared" si="170"/>
        <v>0</v>
      </c>
      <c r="AQ36" s="244">
        <f t="shared" si="170"/>
        <v>0</v>
      </c>
      <c r="AR36" s="244">
        <f t="shared" si="170"/>
        <v>15000</v>
      </c>
      <c r="AS36" s="244">
        <f t="shared" si="170"/>
        <v>0</v>
      </c>
      <c r="AT36" s="244">
        <f t="shared" si="170"/>
        <v>0</v>
      </c>
      <c r="AU36" s="244">
        <f t="shared" si="170"/>
        <v>0</v>
      </c>
      <c r="AV36" s="244">
        <f t="shared" si="170"/>
        <v>0</v>
      </c>
      <c r="AW36" s="244">
        <f t="shared" si="170"/>
        <v>0</v>
      </c>
      <c r="AX36" s="244">
        <f t="shared" si="170"/>
        <v>0</v>
      </c>
      <c r="AY36" s="244">
        <f t="shared" si="170"/>
        <v>0</v>
      </c>
      <c r="AZ36" s="244">
        <f t="shared" si="170"/>
        <v>0</v>
      </c>
      <c r="BA36" s="244">
        <f t="shared" si="170"/>
        <v>0</v>
      </c>
      <c r="BB36" s="244">
        <f t="shared" si="170"/>
        <v>0</v>
      </c>
      <c r="BD36" s="304">
        <f t="shared" si="16"/>
        <v>0</v>
      </c>
    </row>
    <row r="37" spans="1:56" ht="15">
      <c r="A37" t="s">
        <v>163</v>
      </c>
      <c r="B37" s="259"/>
      <c r="C37" s="250"/>
      <c r="D37" s="326">
        <v>150000</v>
      </c>
      <c r="E37" s="250" t="s">
        <v>205</v>
      </c>
      <c r="F37" s="340"/>
      <c r="G37" s="340"/>
      <c r="H37" s="340"/>
      <c r="I37" s="338"/>
      <c r="J37" s="338"/>
      <c r="K37" s="353"/>
      <c r="L37" s="360">
        <v>1</v>
      </c>
      <c r="M37" s="341"/>
      <c r="N37" s="338"/>
      <c r="O37" s="338"/>
      <c r="P37" s="338"/>
      <c r="Q37" s="341"/>
      <c r="R37" s="341"/>
      <c r="S37" s="341"/>
      <c r="T37" s="341"/>
      <c r="U37" s="377">
        <f t="shared" si="0"/>
        <v>1</v>
      </c>
      <c r="V37" s="300"/>
      <c r="W37" s="300"/>
      <c r="X37" s="305">
        <f t="shared" si="1"/>
        <v>0</v>
      </c>
      <c r="Y37" s="305">
        <f t="shared" si="2"/>
        <v>0</v>
      </c>
      <c r="Z37" s="305">
        <f t="shared" si="3"/>
        <v>0</v>
      </c>
      <c r="AA37" s="305">
        <f t="shared" si="4"/>
        <v>0</v>
      </c>
      <c r="AB37" s="305">
        <f t="shared" si="17"/>
        <v>0</v>
      </c>
      <c r="AC37" s="305">
        <f t="shared" si="5"/>
        <v>0</v>
      </c>
      <c r="AD37" s="305">
        <f t="shared" si="6"/>
        <v>150000</v>
      </c>
      <c r="AE37" s="305">
        <f t="shared" si="7"/>
        <v>0</v>
      </c>
      <c r="AF37" s="305">
        <f t="shared" si="8"/>
        <v>0</v>
      </c>
      <c r="AG37" s="305">
        <f t="shared" si="9"/>
        <v>0</v>
      </c>
      <c r="AH37" s="305">
        <f t="shared" si="10"/>
        <v>0</v>
      </c>
      <c r="AI37" s="305">
        <f t="shared" si="11"/>
        <v>0</v>
      </c>
      <c r="AJ37" s="305">
        <f t="shared" si="12"/>
        <v>0</v>
      </c>
      <c r="AK37" s="305">
        <f t="shared" si="13"/>
        <v>0</v>
      </c>
      <c r="AL37" s="305">
        <f t="shared" si="14"/>
        <v>0</v>
      </c>
      <c r="AM37" s="242"/>
      <c r="AN37" s="244">
        <f t="shared" si="170"/>
        <v>0</v>
      </c>
      <c r="AO37" s="244">
        <f t="shared" si="170"/>
        <v>0</v>
      </c>
      <c r="AP37" s="244">
        <f t="shared" si="170"/>
        <v>0</v>
      </c>
      <c r="AQ37" s="244">
        <f t="shared" si="170"/>
        <v>0</v>
      </c>
      <c r="AR37" s="244">
        <f t="shared" si="170"/>
        <v>0</v>
      </c>
      <c r="AS37" s="244">
        <f t="shared" si="170"/>
        <v>0</v>
      </c>
      <c r="AT37" s="244">
        <f t="shared" si="170"/>
        <v>150000</v>
      </c>
      <c r="AU37" s="244">
        <f t="shared" si="170"/>
        <v>0</v>
      </c>
      <c r="AV37" s="244">
        <f t="shared" si="170"/>
        <v>0</v>
      </c>
      <c r="AW37" s="244">
        <f t="shared" si="170"/>
        <v>0</v>
      </c>
      <c r="AX37" s="244">
        <f t="shared" si="170"/>
        <v>0</v>
      </c>
      <c r="AY37" s="244">
        <f t="shared" si="170"/>
        <v>0</v>
      </c>
      <c r="AZ37" s="244">
        <f t="shared" si="170"/>
        <v>0</v>
      </c>
      <c r="BA37" s="244">
        <f t="shared" si="170"/>
        <v>0</v>
      </c>
      <c r="BB37" s="244">
        <f t="shared" si="170"/>
        <v>0</v>
      </c>
      <c r="BD37" s="237">
        <f t="shared" si="16"/>
        <v>0</v>
      </c>
    </row>
    <row r="38" spans="1:56" s="300" customFormat="1" ht="15">
      <c r="A38" s="300" t="s">
        <v>163</v>
      </c>
      <c r="B38" s="259"/>
      <c r="C38" s="250"/>
      <c r="D38" s="326">
        <v>200000</v>
      </c>
      <c r="E38" s="365" t="s">
        <v>237</v>
      </c>
      <c r="F38" s="366"/>
      <c r="G38" s="366"/>
      <c r="H38" s="366"/>
      <c r="I38" s="366"/>
      <c r="J38" s="366"/>
      <c r="K38" s="374"/>
      <c r="L38" s="338"/>
      <c r="M38" s="341"/>
      <c r="N38" s="338"/>
      <c r="O38" s="338"/>
      <c r="P38" s="338"/>
      <c r="Q38" s="341"/>
      <c r="R38" s="341"/>
      <c r="S38" s="341"/>
      <c r="T38" s="341">
        <v>1</v>
      </c>
      <c r="U38" s="377">
        <f aca="true" t="shared" si="205" ref="U38">SUM(F38:T38)</f>
        <v>1</v>
      </c>
      <c r="X38" s="305">
        <f aca="true" t="shared" si="206" ref="X38">F38*$D38</f>
        <v>0</v>
      </c>
      <c r="Y38" s="305">
        <f aca="true" t="shared" si="207" ref="Y38">G38*$D38</f>
        <v>0</v>
      </c>
      <c r="Z38" s="305">
        <f aca="true" t="shared" si="208" ref="Z38">H38*$D38</f>
        <v>0</v>
      </c>
      <c r="AA38" s="305">
        <f aca="true" t="shared" si="209" ref="AA38">I38*$D38</f>
        <v>0</v>
      </c>
      <c r="AB38" s="305">
        <f aca="true" t="shared" si="210" ref="AB38">J38*$D38</f>
        <v>0</v>
      </c>
      <c r="AC38" s="305">
        <f aca="true" t="shared" si="211" ref="AC38">K38*$D38</f>
        <v>0</v>
      </c>
      <c r="AD38" s="305">
        <f aca="true" t="shared" si="212" ref="AD38">L38*$D38</f>
        <v>0</v>
      </c>
      <c r="AE38" s="305">
        <f aca="true" t="shared" si="213" ref="AE38">M38*$D38</f>
        <v>0</v>
      </c>
      <c r="AF38" s="305">
        <f aca="true" t="shared" si="214" ref="AF38">N38*$D38</f>
        <v>0</v>
      </c>
      <c r="AG38" s="305">
        <f aca="true" t="shared" si="215" ref="AG38">O38*$D38</f>
        <v>0</v>
      </c>
      <c r="AH38" s="305">
        <f aca="true" t="shared" si="216" ref="AH38">P38*$D38</f>
        <v>0</v>
      </c>
      <c r="AI38" s="305">
        <f aca="true" t="shared" si="217" ref="AI38">Q38*$D38</f>
        <v>0</v>
      </c>
      <c r="AJ38" s="305">
        <f aca="true" t="shared" si="218" ref="AJ38">R38*$D38</f>
        <v>0</v>
      </c>
      <c r="AK38" s="305">
        <f aca="true" t="shared" si="219" ref="AK38">S38*$D38</f>
        <v>0</v>
      </c>
      <c r="AL38" s="305">
        <f aca="true" t="shared" si="220" ref="AL38">T38*$D38</f>
        <v>200000</v>
      </c>
      <c r="AM38" s="242"/>
      <c r="AN38" s="305">
        <f aca="true" t="shared" si="221" ref="AN38:BB43">IF(AN$3=$E38,$D38,0)</f>
        <v>0</v>
      </c>
      <c r="AO38" s="305">
        <f t="shared" si="221"/>
        <v>0</v>
      </c>
      <c r="AP38" s="305">
        <f t="shared" si="221"/>
        <v>0</v>
      </c>
      <c r="AQ38" s="305">
        <f t="shared" si="221"/>
        <v>0</v>
      </c>
      <c r="AR38" s="305">
        <f t="shared" si="221"/>
        <v>0</v>
      </c>
      <c r="AS38" s="305">
        <f t="shared" si="221"/>
        <v>0</v>
      </c>
      <c r="AT38" s="305">
        <f t="shared" si="221"/>
        <v>0</v>
      </c>
      <c r="AU38" s="305">
        <f t="shared" si="221"/>
        <v>0</v>
      </c>
      <c r="AV38" s="305">
        <f t="shared" si="221"/>
        <v>0</v>
      </c>
      <c r="AW38" s="305">
        <f t="shared" si="221"/>
        <v>0</v>
      </c>
      <c r="AX38" s="305">
        <f t="shared" si="221"/>
        <v>0</v>
      </c>
      <c r="AY38" s="305">
        <f t="shared" si="221"/>
        <v>0</v>
      </c>
      <c r="AZ38" s="305">
        <f t="shared" si="221"/>
        <v>0</v>
      </c>
      <c r="BA38" s="305">
        <f t="shared" si="221"/>
        <v>0</v>
      </c>
      <c r="BB38" s="305">
        <f t="shared" si="221"/>
        <v>200000</v>
      </c>
      <c r="BD38" s="304">
        <f aca="true" t="shared" si="222" ref="BD38">SUM(X38:AL38)-SUM(AN38:BB38)</f>
        <v>0</v>
      </c>
    </row>
    <row r="39" spans="1:56" ht="15">
      <c r="A39" t="s">
        <v>163</v>
      </c>
      <c r="B39" s="259"/>
      <c r="C39" s="300"/>
      <c r="D39" s="346">
        <v>8100</v>
      </c>
      <c r="E39" s="250" t="s">
        <v>223</v>
      </c>
      <c r="F39" s="363"/>
      <c r="G39" s="363"/>
      <c r="H39" s="363"/>
      <c r="I39" s="341">
        <v>0</v>
      </c>
      <c r="J39" s="341">
        <v>0.5</v>
      </c>
      <c r="K39" s="373">
        <v>0.5</v>
      </c>
      <c r="L39" s="338"/>
      <c r="M39" s="338"/>
      <c r="N39" s="338"/>
      <c r="O39" s="338"/>
      <c r="P39" s="338"/>
      <c r="Q39" s="341"/>
      <c r="R39" s="341"/>
      <c r="S39" s="341"/>
      <c r="T39" s="341"/>
      <c r="U39" s="377">
        <f t="shared" si="0"/>
        <v>1</v>
      </c>
      <c r="V39" s="300"/>
      <c r="W39" s="300"/>
      <c r="X39" s="305">
        <f t="shared" si="1"/>
        <v>0</v>
      </c>
      <c r="Y39" s="305">
        <f t="shared" si="2"/>
        <v>0</v>
      </c>
      <c r="Z39" s="305">
        <f t="shared" si="3"/>
        <v>0</v>
      </c>
      <c r="AA39" s="305">
        <f t="shared" si="4"/>
        <v>0</v>
      </c>
      <c r="AB39" s="305">
        <f t="shared" si="17"/>
        <v>4050</v>
      </c>
      <c r="AC39" s="305">
        <f t="shared" si="5"/>
        <v>4050</v>
      </c>
      <c r="AD39" s="305">
        <f t="shared" si="6"/>
        <v>0</v>
      </c>
      <c r="AE39" s="305">
        <f t="shared" si="7"/>
        <v>0</v>
      </c>
      <c r="AF39" s="305">
        <f t="shared" si="8"/>
        <v>0</v>
      </c>
      <c r="AG39" s="305">
        <f t="shared" si="9"/>
        <v>0</v>
      </c>
      <c r="AH39" s="305">
        <f t="shared" si="10"/>
        <v>0</v>
      </c>
      <c r="AI39" s="305">
        <f t="shared" si="11"/>
        <v>0</v>
      </c>
      <c r="AJ39" s="305">
        <f t="shared" si="12"/>
        <v>0</v>
      </c>
      <c r="AK39" s="305">
        <f t="shared" si="13"/>
        <v>0</v>
      </c>
      <c r="AL39" s="305">
        <f t="shared" si="14"/>
        <v>0</v>
      </c>
      <c r="AM39" s="242"/>
      <c r="AN39" s="244">
        <f t="shared" si="170"/>
        <v>0</v>
      </c>
      <c r="AO39" s="244">
        <f t="shared" si="170"/>
        <v>0</v>
      </c>
      <c r="AP39" s="244">
        <f t="shared" si="170"/>
        <v>0</v>
      </c>
      <c r="AQ39" s="244">
        <f t="shared" si="170"/>
        <v>8100</v>
      </c>
      <c r="AR39" s="244">
        <f t="shared" si="170"/>
        <v>0</v>
      </c>
      <c r="AS39" s="244">
        <f t="shared" si="170"/>
        <v>0</v>
      </c>
      <c r="AT39" s="244">
        <f t="shared" si="170"/>
        <v>0</v>
      </c>
      <c r="AU39" s="244">
        <f t="shared" si="170"/>
        <v>0</v>
      </c>
      <c r="AV39" s="244">
        <f t="shared" si="170"/>
        <v>0</v>
      </c>
      <c r="AW39" s="244">
        <f t="shared" si="170"/>
        <v>0</v>
      </c>
      <c r="AX39" s="244">
        <f t="shared" si="170"/>
        <v>0</v>
      </c>
      <c r="AY39" s="244">
        <f t="shared" si="170"/>
        <v>0</v>
      </c>
      <c r="AZ39" s="244">
        <f t="shared" si="170"/>
        <v>0</v>
      </c>
      <c r="BA39" s="244">
        <f t="shared" si="170"/>
        <v>0</v>
      </c>
      <c r="BB39" s="305">
        <f t="shared" si="221"/>
        <v>0</v>
      </c>
      <c r="BC39" s="300"/>
      <c r="BD39" s="304">
        <f aca="true" t="shared" si="223" ref="BD39:BD43">SUM(X39:AL39)-SUM(AN39:BB39)</f>
        <v>0</v>
      </c>
    </row>
    <row r="40" spans="1:56" ht="15">
      <c r="A40" t="s">
        <v>163</v>
      </c>
      <c r="B40" s="259"/>
      <c r="C40" s="300"/>
      <c r="D40" s="346">
        <v>20400</v>
      </c>
      <c r="E40" s="250" t="s">
        <v>223</v>
      </c>
      <c r="F40" s="363"/>
      <c r="G40" s="363"/>
      <c r="H40" s="363"/>
      <c r="I40" s="341">
        <v>0</v>
      </c>
      <c r="J40" s="341">
        <v>0.5</v>
      </c>
      <c r="K40" s="373">
        <v>0.5</v>
      </c>
      <c r="L40" s="338"/>
      <c r="M40" s="338"/>
      <c r="N40" s="338"/>
      <c r="O40" s="338"/>
      <c r="P40" s="338"/>
      <c r="Q40" s="341"/>
      <c r="R40" s="341"/>
      <c r="S40" s="341"/>
      <c r="T40" s="341"/>
      <c r="U40" s="377">
        <f t="shared" si="0"/>
        <v>1</v>
      </c>
      <c r="V40" s="300"/>
      <c r="W40" s="300"/>
      <c r="X40" s="305">
        <f t="shared" si="1"/>
        <v>0</v>
      </c>
      <c r="Y40" s="305">
        <f t="shared" si="2"/>
        <v>0</v>
      </c>
      <c r="Z40" s="305">
        <f t="shared" si="3"/>
        <v>0</v>
      </c>
      <c r="AA40" s="305">
        <f t="shared" si="4"/>
        <v>0</v>
      </c>
      <c r="AB40" s="305">
        <f t="shared" si="17"/>
        <v>10200</v>
      </c>
      <c r="AC40" s="305">
        <f t="shared" si="5"/>
        <v>10200</v>
      </c>
      <c r="AD40" s="305">
        <f t="shared" si="6"/>
        <v>0</v>
      </c>
      <c r="AE40" s="305">
        <f t="shared" si="7"/>
        <v>0</v>
      </c>
      <c r="AF40" s="305">
        <f t="shared" si="8"/>
        <v>0</v>
      </c>
      <c r="AG40" s="305">
        <f t="shared" si="9"/>
        <v>0</v>
      </c>
      <c r="AH40" s="305">
        <f t="shared" si="10"/>
        <v>0</v>
      </c>
      <c r="AI40" s="305">
        <f t="shared" si="11"/>
        <v>0</v>
      </c>
      <c r="AJ40" s="305">
        <f t="shared" si="12"/>
        <v>0</v>
      </c>
      <c r="AK40" s="305">
        <f t="shared" si="13"/>
        <v>0</v>
      </c>
      <c r="AL40" s="305">
        <f t="shared" si="14"/>
        <v>0</v>
      </c>
      <c r="AM40" s="242"/>
      <c r="AN40" s="244">
        <f t="shared" si="170"/>
        <v>0</v>
      </c>
      <c r="AO40" s="244">
        <f t="shared" si="170"/>
        <v>0</v>
      </c>
      <c r="AP40" s="244">
        <f t="shared" si="170"/>
        <v>0</v>
      </c>
      <c r="AQ40" s="244">
        <f t="shared" si="170"/>
        <v>20400</v>
      </c>
      <c r="AR40" s="244">
        <f t="shared" si="170"/>
        <v>0</v>
      </c>
      <c r="AS40" s="244">
        <f t="shared" si="170"/>
        <v>0</v>
      </c>
      <c r="AT40" s="244">
        <f t="shared" si="170"/>
        <v>0</v>
      </c>
      <c r="AU40" s="244">
        <f t="shared" si="170"/>
        <v>0</v>
      </c>
      <c r="AV40" s="244">
        <f t="shared" si="170"/>
        <v>0</v>
      </c>
      <c r="AW40" s="244">
        <f t="shared" si="170"/>
        <v>0</v>
      </c>
      <c r="AX40" s="244">
        <f t="shared" si="170"/>
        <v>0</v>
      </c>
      <c r="AY40" s="244">
        <f t="shared" si="170"/>
        <v>0</v>
      </c>
      <c r="AZ40" s="244">
        <f t="shared" si="170"/>
        <v>0</v>
      </c>
      <c r="BA40" s="244">
        <f t="shared" si="170"/>
        <v>0</v>
      </c>
      <c r="BB40" s="305">
        <f t="shared" si="221"/>
        <v>0</v>
      </c>
      <c r="BC40" s="300"/>
      <c r="BD40" s="304">
        <f t="shared" si="223"/>
        <v>0</v>
      </c>
    </row>
    <row r="41" spans="1:56" ht="15">
      <c r="A41" t="s">
        <v>163</v>
      </c>
      <c r="B41" s="259"/>
      <c r="C41" s="300"/>
      <c r="D41" s="346">
        <v>8000</v>
      </c>
      <c r="E41" s="250" t="s">
        <v>191</v>
      </c>
      <c r="F41" s="363"/>
      <c r="G41" s="363"/>
      <c r="H41" s="363"/>
      <c r="I41" s="341">
        <v>0.25</v>
      </c>
      <c r="J41" s="341">
        <v>0.75</v>
      </c>
      <c r="K41" s="353"/>
      <c r="L41" s="338"/>
      <c r="M41" s="338"/>
      <c r="N41" s="338"/>
      <c r="O41" s="338"/>
      <c r="P41" s="338"/>
      <c r="Q41" s="341"/>
      <c r="R41" s="341"/>
      <c r="S41" s="341"/>
      <c r="T41" s="341"/>
      <c r="U41" s="377">
        <f t="shared" si="0"/>
        <v>1</v>
      </c>
      <c r="V41" s="300"/>
      <c r="W41" s="300"/>
      <c r="X41" s="305">
        <f t="shared" si="1"/>
        <v>0</v>
      </c>
      <c r="Y41" s="305">
        <f t="shared" si="2"/>
        <v>0</v>
      </c>
      <c r="Z41" s="305">
        <f t="shared" si="3"/>
        <v>0</v>
      </c>
      <c r="AA41" s="305">
        <f t="shared" si="4"/>
        <v>2000</v>
      </c>
      <c r="AB41" s="305">
        <f t="shared" si="17"/>
        <v>6000</v>
      </c>
      <c r="AC41" s="305">
        <f t="shared" si="5"/>
        <v>0</v>
      </c>
      <c r="AD41" s="305">
        <f t="shared" si="6"/>
        <v>0</v>
      </c>
      <c r="AE41" s="305">
        <f t="shared" si="7"/>
        <v>0</v>
      </c>
      <c r="AF41" s="305">
        <f t="shared" si="8"/>
        <v>0</v>
      </c>
      <c r="AG41" s="305">
        <f t="shared" si="9"/>
        <v>0</v>
      </c>
      <c r="AH41" s="305">
        <f t="shared" si="10"/>
        <v>0</v>
      </c>
      <c r="AI41" s="305">
        <f t="shared" si="11"/>
        <v>0</v>
      </c>
      <c r="AJ41" s="305">
        <f t="shared" si="12"/>
        <v>0</v>
      </c>
      <c r="AK41" s="305">
        <f t="shared" si="13"/>
        <v>0</v>
      </c>
      <c r="AL41" s="305">
        <f t="shared" si="14"/>
        <v>0</v>
      </c>
      <c r="AM41" s="242"/>
      <c r="AN41" s="244">
        <f t="shared" si="170"/>
        <v>0</v>
      </c>
      <c r="AO41" s="244">
        <f t="shared" si="170"/>
        <v>0</v>
      </c>
      <c r="AP41" s="244">
        <f t="shared" si="170"/>
        <v>8000</v>
      </c>
      <c r="AQ41" s="244">
        <f t="shared" si="170"/>
        <v>0</v>
      </c>
      <c r="AR41" s="244">
        <f t="shared" si="170"/>
        <v>0</v>
      </c>
      <c r="AS41" s="244">
        <f t="shared" si="170"/>
        <v>0</v>
      </c>
      <c r="AT41" s="244">
        <f t="shared" si="170"/>
        <v>0</v>
      </c>
      <c r="AU41" s="244">
        <f t="shared" si="170"/>
        <v>0</v>
      </c>
      <c r="AV41" s="244">
        <f t="shared" si="170"/>
        <v>0</v>
      </c>
      <c r="AW41" s="244">
        <f t="shared" si="170"/>
        <v>0</v>
      </c>
      <c r="AX41" s="244">
        <f t="shared" si="170"/>
        <v>0</v>
      </c>
      <c r="AY41" s="244">
        <f t="shared" si="170"/>
        <v>0</v>
      </c>
      <c r="AZ41" s="244">
        <f t="shared" si="170"/>
        <v>0</v>
      </c>
      <c r="BA41" s="244">
        <f t="shared" si="170"/>
        <v>0</v>
      </c>
      <c r="BB41" s="305">
        <f t="shared" si="221"/>
        <v>0</v>
      </c>
      <c r="BC41" s="300"/>
      <c r="BD41" s="304">
        <f t="shared" si="223"/>
        <v>0</v>
      </c>
    </row>
    <row r="42" spans="1:56" ht="15">
      <c r="A42" t="s">
        <v>163</v>
      </c>
      <c r="B42" s="259"/>
      <c r="C42" s="300"/>
      <c r="D42" s="346">
        <v>72000</v>
      </c>
      <c r="E42" s="250" t="s">
        <v>191</v>
      </c>
      <c r="F42" s="367"/>
      <c r="G42" s="367"/>
      <c r="H42" s="367"/>
      <c r="I42" s="343">
        <v>0.0833333333333333</v>
      </c>
      <c r="J42" s="343">
        <v>0.0833333333333333</v>
      </c>
      <c r="K42" s="375">
        <v>0.0833333333333333</v>
      </c>
      <c r="L42" s="343">
        <v>0.0833333333333333</v>
      </c>
      <c r="M42" s="343">
        <v>0.0833333333333333</v>
      </c>
      <c r="N42" s="343">
        <v>0.0833333333333333</v>
      </c>
      <c r="O42" s="343">
        <v>0.0833333333333333</v>
      </c>
      <c r="P42" s="343">
        <v>0.0833333333333333</v>
      </c>
      <c r="Q42" s="343">
        <v>0.0833333333333333</v>
      </c>
      <c r="R42" s="343">
        <v>0.0833333333333333</v>
      </c>
      <c r="S42" s="343">
        <v>0.0833333333333333</v>
      </c>
      <c r="T42" s="343">
        <v>0.0833333333333334</v>
      </c>
      <c r="U42" s="380">
        <f t="shared" si="0"/>
        <v>0.9999999999999996</v>
      </c>
      <c r="V42" s="300"/>
      <c r="W42" s="300"/>
      <c r="X42" s="305">
        <f t="shared" si="1"/>
        <v>0</v>
      </c>
      <c r="Y42" s="305">
        <f t="shared" si="2"/>
        <v>0</v>
      </c>
      <c r="Z42" s="305">
        <f t="shared" si="3"/>
        <v>0</v>
      </c>
      <c r="AA42" s="305">
        <f t="shared" si="4"/>
        <v>5999.999999999997</v>
      </c>
      <c r="AB42" s="305">
        <f t="shared" si="17"/>
        <v>5999.999999999997</v>
      </c>
      <c r="AC42" s="305">
        <f t="shared" si="5"/>
        <v>5999.999999999997</v>
      </c>
      <c r="AD42" s="305">
        <f t="shared" si="6"/>
        <v>5999.999999999997</v>
      </c>
      <c r="AE42" s="305">
        <f t="shared" si="7"/>
        <v>5999.999999999997</v>
      </c>
      <c r="AF42" s="305">
        <f t="shared" si="8"/>
        <v>5999.999999999997</v>
      </c>
      <c r="AG42" s="305">
        <f t="shared" si="9"/>
        <v>5999.999999999997</v>
      </c>
      <c r="AH42" s="305">
        <f t="shared" si="10"/>
        <v>5999.999999999997</v>
      </c>
      <c r="AI42" s="305">
        <f t="shared" si="11"/>
        <v>5999.999999999997</v>
      </c>
      <c r="AJ42" s="305">
        <f t="shared" si="12"/>
        <v>5999.999999999997</v>
      </c>
      <c r="AK42" s="305">
        <f t="shared" si="13"/>
        <v>5999.999999999997</v>
      </c>
      <c r="AL42" s="305">
        <f t="shared" si="14"/>
        <v>6000.000000000005</v>
      </c>
      <c r="AM42" s="242"/>
      <c r="AN42" s="244">
        <f t="shared" si="170"/>
        <v>0</v>
      </c>
      <c r="AO42" s="244">
        <f t="shared" si="170"/>
        <v>0</v>
      </c>
      <c r="AP42" s="244">
        <f t="shared" si="170"/>
        <v>72000</v>
      </c>
      <c r="AQ42" s="244">
        <f t="shared" si="170"/>
        <v>0</v>
      </c>
      <c r="AR42" s="244">
        <f t="shared" si="170"/>
        <v>0</v>
      </c>
      <c r="AS42" s="244">
        <f t="shared" si="170"/>
        <v>0</v>
      </c>
      <c r="AT42" s="244">
        <f t="shared" si="170"/>
        <v>0</v>
      </c>
      <c r="AU42" s="244">
        <f t="shared" si="170"/>
        <v>0</v>
      </c>
      <c r="AV42" s="244">
        <f t="shared" si="170"/>
        <v>0</v>
      </c>
      <c r="AW42" s="244">
        <f t="shared" si="170"/>
        <v>0</v>
      </c>
      <c r="AX42" s="244">
        <f t="shared" si="170"/>
        <v>0</v>
      </c>
      <c r="AY42" s="244">
        <f t="shared" si="170"/>
        <v>0</v>
      </c>
      <c r="AZ42" s="244">
        <f t="shared" si="170"/>
        <v>0</v>
      </c>
      <c r="BA42" s="244">
        <f t="shared" si="170"/>
        <v>0</v>
      </c>
      <c r="BB42" s="305">
        <f t="shared" si="221"/>
        <v>0</v>
      </c>
      <c r="BC42" s="300"/>
      <c r="BD42" s="304">
        <f t="shared" si="223"/>
        <v>0</v>
      </c>
    </row>
    <row r="43" spans="1:56" ht="15">
      <c r="A43" t="s">
        <v>163</v>
      </c>
      <c r="B43" s="259"/>
      <c r="C43" s="250"/>
      <c r="D43" s="346">
        <v>20000</v>
      </c>
      <c r="E43" s="250" t="s">
        <v>193</v>
      </c>
      <c r="F43" s="340"/>
      <c r="G43" s="340"/>
      <c r="H43" s="340"/>
      <c r="I43" s="338"/>
      <c r="J43" s="338"/>
      <c r="K43" s="353"/>
      <c r="L43" s="341">
        <v>0.25</v>
      </c>
      <c r="M43" s="341">
        <v>0.25</v>
      </c>
      <c r="N43" s="341">
        <v>0.25</v>
      </c>
      <c r="O43" s="341">
        <v>0.25</v>
      </c>
      <c r="P43" s="338"/>
      <c r="Q43" s="338"/>
      <c r="R43" s="338"/>
      <c r="S43" s="338"/>
      <c r="T43" s="338"/>
      <c r="U43" s="377">
        <f t="shared" si="0"/>
        <v>1</v>
      </c>
      <c r="V43" s="300"/>
      <c r="W43" s="300"/>
      <c r="X43" s="244">
        <f t="shared" si="1"/>
        <v>0</v>
      </c>
      <c r="Y43" s="244">
        <f t="shared" si="2"/>
        <v>0</v>
      </c>
      <c r="Z43" s="244">
        <f t="shared" si="3"/>
        <v>0</v>
      </c>
      <c r="AA43" s="244">
        <f t="shared" si="4"/>
        <v>0</v>
      </c>
      <c r="AB43" s="244">
        <f t="shared" si="17"/>
        <v>0</v>
      </c>
      <c r="AC43" s="244">
        <f t="shared" si="5"/>
        <v>0</v>
      </c>
      <c r="AD43" s="244">
        <f t="shared" si="6"/>
        <v>5000</v>
      </c>
      <c r="AE43" s="244">
        <f t="shared" si="7"/>
        <v>5000</v>
      </c>
      <c r="AF43" s="244">
        <f t="shared" si="8"/>
        <v>5000</v>
      </c>
      <c r="AG43" s="244">
        <f t="shared" si="9"/>
        <v>5000</v>
      </c>
      <c r="AH43" s="244">
        <f t="shared" si="10"/>
        <v>0</v>
      </c>
      <c r="AI43" s="244">
        <f t="shared" si="11"/>
        <v>0</v>
      </c>
      <c r="AJ43" s="244">
        <f t="shared" si="12"/>
        <v>0</v>
      </c>
      <c r="AK43" s="244">
        <f t="shared" si="13"/>
        <v>0</v>
      </c>
      <c r="AL43" s="244">
        <f t="shared" si="14"/>
        <v>0</v>
      </c>
      <c r="AM43" s="242"/>
      <c r="AN43" s="244">
        <f t="shared" si="170"/>
        <v>0</v>
      </c>
      <c r="AO43" s="244">
        <f t="shared" si="170"/>
        <v>0</v>
      </c>
      <c r="AP43" s="244">
        <f t="shared" si="170"/>
        <v>0</v>
      </c>
      <c r="AQ43" s="244">
        <f t="shared" si="170"/>
        <v>0</v>
      </c>
      <c r="AR43" s="244">
        <f t="shared" si="170"/>
        <v>0</v>
      </c>
      <c r="AS43" s="244">
        <f t="shared" si="170"/>
        <v>20000</v>
      </c>
      <c r="AT43" s="244">
        <f t="shared" si="170"/>
        <v>0</v>
      </c>
      <c r="AU43" s="244">
        <f t="shared" si="170"/>
        <v>0</v>
      </c>
      <c r="AV43" s="244">
        <f t="shared" si="170"/>
        <v>0</v>
      </c>
      <c r="AW43" s="244">
        <f t="shared" si="170"/>
        <v>0</v>
      </c>
      <c r="AX43" s="244">
        <f t="shared" si="170"/>
        <v>0</v>
      </c>
      <c r="AY43" s="244">
        <f t="shared" si="170"/>
        <v>0</v>
      </c>
      <c r="AZ43" s="244">
        <f t="shared" si="170"/>
        <v>0</v>
      </c>
      <c r="BA43" s="244">
        <f t="shared" si="170"/>
        <v>0</v>
      </c>
      <c r="BB43" s="305">
        <f t="shared" si="221"/>
        <v>0</v>
      </c>
      <c r="BC43" s="300"/>
      <c r="BD43" s="304">
        <f t="shared" si="223"/>
        <v>0</v>
      </c>
    </row>
    <row r="44" spans="1:56" s="300" customFormat="1" ht="15">
      <c r="A44" s="300" t="s">
        <v>165</v>
      </c>
      <c r="B44" s="259"/>
      <c r="C44" s="250"/>
      <c r="D44" s="346">
        <v>180000</v>
      </c>
      <c r="E44" s="250" t="s">
        <v>237</v>
      </c>
      <c r="F44" s="340"/>
      <c r="G44" s="340"/>
      <c r="H44" s="340"/>
      <c r="I44" s="338"/>
      <c r="J44" s="338"/>
      <c r="K44" s="353"/>
      <c r="L44" s="338"/>
      <c r="M44" s="338"/>
      <c r="N44" s="338"/>
      <c r="O44" s="338"/>
      <c r="P44" s="338"/>
      <c r="Q44" s="341">
        <v>0.25</v>
      </c>
      <c r="R44" s="341">
        <v>0.25</v>
      </c>
      <c r="S44" s="341">
        <v>0.25</v>
      </c>
      <c r="T44" s="341">
        <v>0.25</v>
      </c>
      <c r="U44" s="377">
        <f t="shared" si="0"/>
        <v>1</v>
      </c>
      <c r="X44" s="305">
        <f t="shared" si="1"/>
        <v>0</v>
      </c>
      <c r="Y44" s="305">
        <f t="shared" si="2"/>
        <v>0</v>
      </c>
      <c r="Z44" s="305">
        <f t="shared" si="3"/>
        <v>0</v>
      </c>
      <c r="AA44" s="305">
        <f t="shared" si="4"/>
        <v>0</v>
      </c>
      <c r="AB44" s="305">
        <f t="shared" si="17"/>
        <v>0</v>
      </c>
      <c r="AC44" s="305">
        <f t="shared" si="5"/>
        <v>0</v>
      </c>
      <c r="AD44" s="305">
        <f t="shared" si="6"/>
        <v>0</v>
      </c>
      <c r="AE44" s="305">
        <f t="shared" si="7"/>
        <v>0</v>
      </c>
      <c r="AF44" s="305">
        <f t="shared" si="8"/>
        <v>0</v>
      </c>
      <c r="AG44" s="305">
        <f t="shared" si="9"/>
        <v>0</v>
      </c>
      <c r="AH44" s="305">
        <f t="shared" si="10"/>
        <v>0</v>
      </c>
      <c r="AI44" s="305">
        <f t="shared" si="11"/>
        <v>45000</v>
      </c>
      <c r="AJ44" s="305">
        <f t="shared" si="12"/>
        <v>45000</v>
      </c>
      <c r="AK44" s="305">
        <f t="shared" si="13"/>
        <v>45000</v>
      </c>
      <c r="AL44" s="305">
        <f t="shared" si="14"/>
        <v>45000</v>
      </c>
      <c r="AM44" s="242"/>
      <c r="AN44" s="305">
        <f t="shared" si="170"/>
        <v>0</v>
      </c>
      <c r="AO44" s="305">
        <f t="shared" si="170"/>
        <v>0</v>
      </c>
      <c r="AP44" s="305">
        <f t="shared" si="170"/>
        <v>0</v>
      </c>
      <c r="AQ44" s="305">
        <f t="shared" si="170"/>
        <v>0</v>
      </c>
      <c r="AR44" s="305">
        <f t="shared" si="170"/>
        <v>0</v>
      </c>
      <c r="AS44" s="305">
        <f t="shared" si="170"/>
        <v>0</v>
      </c>
      <c r="AT44" s="305">
        <f t="shared" si="170"/>
        <v>0</v>
      </c>
      <c r="AU44" s="305">
        <f t="shared" si="170"/>
        <v>0</v>
      </c>
      <c r="AV44" s="305">
        <f t="shared" si="170"/>
        <v>0</v>
      </c>
      <c r="AW44" s="305">
        <f t="shared" si="170"/>
        <v>0</v>
      </c>
      <c r="AX44" s="305">
        <f t="shared" si="170"/>
        <v>0</v>
      </c>
      <c r="AY44" s="305">
        <f t="shared" si="170"/>
        <v>0</v>
      </c>
      <c r="AZ44" s="305">
        <f t="shared" si="170"/>
        <v>0</v>
      </c>
      <c r="BA44" s="305">
        <f t="shared" si="170"/>
        <v>0</v>
      </c>
      <c r="BB44" s="305">
        <f t="shared" si="170"/>
        <v>180000</v>
      </c>
      <c r="BD44" s="304">
        <f aca="true" t="shared" si="224" ref="BD44:BD47">SUM(X44:AL44)-SUM(AN44:BB44)</f>
        <v>0</v>
      </c>
    </row>
    <row r="45" spans="1:56" s="300" customFormat="1" ht="15">
      <c r="A45" s="300" t="s">
        <v>166</v>
      </c>
      <c r="B45" s="259"/>
      <c r="C45" s="250"/>
      <c r="D45" s="346">
        <v>1000</v>
      </c>
      <c r="E45" s="250" t="s">
        <v>237</v>
      </c>
      <c r="F45" s="340"/>
      <c r="G45" s="340"/>
      <c r="H45" s="340"/>
      <c r="I45" s="338"/>
      <c r="J45" s="338"/>
      <c r="K45" s="353"/>
      <c r="L45" s="338"/>
      <c r="M45" s="338"/>
      <c r="N45" s="338"/>
      <c r="O45" s="338"/>
      <c r="P45" s="338"/>
      <c r="Q45" s="341">
        <v>0.25</v>
      </c>
      <c r="R45" s="341">
        <v>0.25</v>
      </c>
      <c r="S45" s="341">
        <v>0.25</v>
      </c>
      <c r="T45" s="341">
        <v>0.25</v>
      </c>
      <c r="U45" s="377">
        <f t="shared" si="0"/>
        <v>1</v>
      </c>
      <c r="X45" s="305">
        <f t="shared" si="1"/>
        <v>0</v>
      </c>
      <c r="Y45" s="305">
        <f t="shared" si="2"/>
        <v>0</v>
      </c>
      <c r="Z45" s="305">
        <f t="shared" si="3"/>
        <v>0</v>
      </c>
      <c r="AA45" s="305">
        <f t="shared" si="4"/>
        <v>0</v>
      </c>
      <c r="AB45" s="305">
        <f t="shared" si="17"/>
        <v>0</v>
      </c>
      <c r="AC45" s="305">
        <f t="shared" si="5"/>
        <v>0</v>
      </c>
      <c r="AD45" s="305">
        <f t="shared" si="6"/>
        <v>0</v>
      </c>
      <c r="AE45" s="305">
        <f t="shared" si="7"/>
        <v>0</v>
      </c>
      <c r="AF45" s="305">
        <f t="shared" si="8"/>
        <v>0</v>
      </c>
      <c r="AG45" s="305">
        <f t="shared" si="9"/>
        <v>0</v>
      </c>
      <c r="AH45" s="305">
        <f t="shared" si="10"/>
        <v>0</v>
      </c>
      <c r="AI45" s="305">
        <f t="shared" si="11"/>
        <v>250</v>
      </c>
      <c r="AJ45" s="305">
        <f t="shared" si="12"/>
        <v>250</v>
      </c>
      <c r="AK45" s="305">
        <f t="shared" si="13"/>
        <v>250</v>
      </c>
      <c r="AL45" s="305">
        <f t="shared" si="14"/>
        <v>250</v>
      </c>
      <c r="AM45" s="242"/>
      <c r="AN45" s="305">
        <f t="shared" si="170"/>
        <v>0</v>
      </c>
      <c r="AO45" s="305">
        <f t="shared" si="170"/>
        <v>0</v>
      </c>
      <c r="AP45" s="305">
        <f t="shared" si="170"/>
        <v>0</v>
      </c>
      <c r="AQ45" s="305">
        <f t="shared" si="170"/>
        <v>0</v>
      </c>
      <c r="AR45" s="305">
        <f t="shared" si="170"/>
        <v>0</v>
      </c>
      <c r="AS45" s="305">
        <f t="shared" si="170"/>
        <v>0</v>
      </c>
      <c r="AT45" s="305">
        <f t="shared" si="170"/>
        <v>0</v>
      </c>
      <c r="AU45" s="305">
        <f t="shared" si="170"/>
        <v>0</v>
      </c>
      <c r="AV45" s="305">
        <f t="shared" si="170"/>
        <v>0</v>
      </c>
      <c r="AW45" s="305">
        <f t="shared" si="170"/>
        <v>0</v>
      </c>
      <c r="AX45" s="305">
        <f t="shared" si="170"/>
        <v>0</v>
      </c>
      <c r="AY45" s="305">
        <f t="shared" si="170"/>
        <v>0</v>
      </c>
      <c r="AZ45" s="305">
        <f t="shared" si="170"/>
        <v>0</v>
      </c>
      <c r="BA45" s="305">
        <f t="shared" si="170"/>
        <v>0</v>
      </c>
      <c r="BB45" s="305">
        <f t="shared" si="170"/>
        <v>1000</v>
      </c>
      <c r="BD45" s="304">
        <f t="shared" si="224"/>
        <v>0</v>
      </c>
    </row>
    <row r="46" spans="1:56" s="300" customFormat="1" ht="15">
      <c r="A46" s="300" t="s">
        <v>169</v>
      </c>
      <c r="B46" s="259"/>
      <c r="C46" s="250"/>
      <c r="D46" s="326">
        <v>90000</v>
      </c>
      <c r="E46" s="250" t="s">
        <v>193</v>
      </c>
      <c r="F46" s="340"/>
      <c r="G46" s="340"/>
      <c r="H46" s="340"/>
      <c r="I46" s="338"/>
      <c r="J46" s="338"/>
      <c r="K46" s="376">
        <v>0.16666666666666666</v>
      </c>
      <c r="L46" s="342">
        <v>0</v>
      </c>
      <c r="M46" s="342">
        <f>1/6</f>
        <v>0.16666666666666666</v>
      </c>
      <c r="N46" s="338"/>
      <c r="O46" s="338"/>
      <c r="P46" s="342">
        <f>1/6</f>
        <v>0.16666666666666666</v>
      </c>
      <c r="Q46" s="342">
        <f>1/6</f>
        <v>0.16666666666666666</v>
      </c>
      <c r="R46" s="338"/>
      <c r="S46" s="338"/>
      <c r="T46" s="342">
        <f>1/3</f>
        <v>0.3333333333333333</v>
      </c>
      <c r="U46" s="377">
        <f t="shared" si="0"/>
        <v>1</v>
      </c>
      <c r="X46" s="305">
        <f t="shared" si="1"/>
        <v>0</v>
      </c>
      <c r="Y46" s="305">
        <f t="shared" si="2"/>
        <v>0</v>
      </c>
      <c r="Z46" s="305">
        <f t="shared" si="3"/>
        <v>0</v>
      </c>
      <c r="AA46" s="305">
        <f t="shared" si="4"/>
        <v>0</v>
      </c>
      <c r="AB46" s="305">
        <f t="shared" si="17"/>
        <v>0</v>
      </c>
      <c r="AC46" s="305">
        <f t="shared" si="5"/>
        <v>15000</v>
      </c>
      <c r="AD46" s="305">
        <f t="shared" si="6"/>
        <v>0</v>
      </c>
      <c r="AE46" s="305">
        <f t="shared" si="7"/>
        <v>15000</v>
      </c>
      <c r="AF46" s="305">
        <f t="shared" si="8"/>
        <v>0</v>
      </c>
      <c r="AG46" s="305">
        <f t="shared" si="9"/>
        <v>0</v>
      </c>
      <c r="AH46" s="305">
        <f t="shared" si="10"/>
        <v>15000</v>
      </c>
      <c r="AI46" s="305">
        <f t="shared" si="11"/>
        <v>15000</v>
      </c>
      <c r="AJ46" s="305">
        <f t="shared" si="12"/>
        <v>0</v>
      </c>
      <c r="AK46" s="305">
        <f t="shared" si="13"/>
        <v>0</v>
      </c>
      <c r="AL46" s="305">
        <f t="shared" si="14"/>
        <v>30000</v>
      </c>
      <c r="AM46" s="242"/>
      <c r="AN46" s="305">
        <f t="shared" si="170"/>
        <v>0</v>
      </c>
      <c r="AO46" s="305">
        <f t="shared" si="170"/>
        <v>0</v>
      </c>
      <c r="AP46" s="305">
        <f t="shared" si="170"/>
        <v>0</v>
      </c>
      <c r="AQ46" s="305">
        <f t="shared" si="170"/>
        <v>0</v>
      </c>
      <c r="AR46" s="305">
        <f t="shared" si="170"/>
        <v>0</v>
      </c>
      <c r="AS46" s="305">
        <f t="shared" si="170"/>
        <v>90000</v>
      </c>
      <c r="AT46" s="305">
        <f t="shared" si="170"/>
        <v>0</v>
      </c>
      <c r="AU46" s="305">
        <f t="shared" si="170"/>
        <v>0</v>
      </c>
      <c r="AV46" s="305">
        <f t="shared" si="170"/>
        <v>0</v>
      </c>
      <c r="AW46" s="305">
        <f t="shared" si="170"/>
        <v>0</v>
      </c>
      <c r="AX46" s="305">
        <f t="shared" si="170"/>
        <v>0</v>
      </c>
      <c r="AY46" s="305">
        <f t="shared" si="170"/>
        <v>0</v>
      </c>
      <c r="AZ46" s="305">
        <f t="shared" si="170"/>
        <v>0</v>
      </c>
      <c r="BA46" s="305">
        <f t="shared" si="170"/>
        <v>0</v>
      </c>
      <c r="BB46" s="305">
        <f t="shared" si="170"/>
        <v>0</v>
      </c>
      <c r="BD46" s="304">
        <f t="shared" si="224"/>
        <v>0</v>
      </c>
    </row>
    <row r="47" spans="1:56" s="300" customFormat="1" ht="15">
      <c r="A47" s="300" t="s">
        <v>170</v>
      </c>
      <c r="B47" s="259"/>
      <c r="C47" s="250"/>
      <c r="D47" s="382">
        <v>11500</v>
      </c>
      <c r="E47" s="250" t="s">
        <v>219</v>
      </c>
      <c r="F47" s="368"/>
      <c r="G47" s="368">
        <v>0.67</v>
      </c>
      <c r="H47" s="368">
        <v>0.33</v>
      </c>
      <c r="I47" s="338"/>
      <c r="J47" s="338"/>
      <c r="K47" s="353"/>
      <c r="L47" s="338"/>
      <c r="M47" s="338"/>
      <c r="N47" s="338"/>
      <c r="O47" s="338"/>
      <c r="P47" s="338"/>
      <c r="Q47" s="338"/>
      <c r="R47" s="338"/>
      <c r="S47" s="338"/>
      <c r="T47" s="338"/>
      <c r="U47" s="377">
        <f t="shared" si="0"/>
        <v>1</v>
      </c>
      <c r="X47" s="305">
        <f t="shared" si="1"/>
        <v>0</v>
      </c>
      <c r="Y47" s="305">
        <f t="shared" si="2"/>
        <v>7705.000000000001</v>
      </c>
      <c r="Z47" s="305">
        <f t="shared" si="3"/>
        <v>3795</v>
      </c>
      <c r="AA47" s="305">
        <f t="shared" si="4"/>
        <v>0</v>
      </c>
      <c r="AB47" s="305">
        <f t="shared" si="17"/>
        <v>0</v>
      </c>
      <c r="AC47" s="305">
        <f t="shared" si="5"/>
        <v>0</v>
      </c>
      <c r="AD47" s="305">
        <f t="shared" si="6"/>
        <v>0</v>
      </c>
      <c r="AE47" s="305">
        <f t="shared" si="7"/>
        <v>0</v>
      </c>
      <c r="AF47" s="305">
        <f t="shared" si="8"/>
        <v>0</v>
      </c>
      <c r="AG47" s="305">
        <f t="shared" si="9"/>
        <v>0</v>
      </c>
      <c r="AH47" s="305">
        <f t="shared" si="10"/>
        <v>0</v>
      </c>
      <c r="AI47" s="305">
        <f t="shared" si="11"/>
        <v>0</v>
      </c>
      <c r="AJ47" s="305">
        <f t="shared" si="12"/>
        <v>0</v>
      </c>
      <c r="AK47" s="305">
        <f t="shared" si="13"/>
        <v>0</v>
      </c>
      <c r="AL47" s="305">
        <f t="shared" si="14"/>
        <v>0</v>
      </c>
      <c r="AM47" s="242"/>
      <c r="AN47" s="305">
        <f t="shared" si="170"/>
        <v>0</v>
      </c>
      <c r="AO47" s="305">
        <f t="shared" si="170"/>
        <v>11500</v>
      </c>
      <c r="AP47" s="305">
        <f t="shared" si="170"/>
        <v>0</v>
      </c>
      <c r="AQ47" s="305">
        <f t="shared" si="170"/>
        <v>0</v>
      </c>
      <c r="AR47" s="305">
        <f t="shared" si="170"/>
        <v>0</v>
      </c>
      <c r="AS47" s="305">
        <f t="shared" si="170"/>
        <v>0</v>
      </c>
      <c r="AT47" s="305">
        <f t="shared" si="170"/>
        <v>0</v>
      </c>
      <c r="AU47" s="305">
        <f t="shared" si="170"/>
        <v>0</v>
      </c>
      <c r="AV47" s="305">
        <f t="shared" si="170"/>
        <v>0</v>
      </c>
      <c r="AW47" s="305">
        <f t="shared" si="170"/>
        <v>0</v>
      </c>
      <c r="AX47" s="305">
        <f t="shared" si="170"/>
        <v>0</v>
      </c>
      <c r="AY47" s="305">
        <f t="shared" si="170"/>
        <v>0</v>
      </c>
      <c r="AZ47" s="305">
        <f t="shared" si="170"/>
        <v>0</v>
      </c>
      <c r="BA47" s="305">
        <f t="shared" si="170"/>
        <v>0</v>
      </c>
      <c r="BB47" s="305">
        <f t="shared" si="170"/>
        <v>0</v>
      </c>
      <c r="BD47" s="304">
        <f t="shared" si="224"/>
        <v>0</v>
      </c>
    </row>
    <row r="48" spans="2:56" s="300" customFormat="1" ht="15">
      <c r="B48" s="259"/>
      <c r="C48" s="250"/>
      <c r="D48" s="346"/>
      <c r="E48" s="250"/>
      <c r="F48" s="250"/>
      <c r="G48" s="250"/>
      <c r="H48" s="323"/>
      <c r="I48" s="250"/>
      <c r="J48" s="250"/>
      <c r="K48" s="352"/>
      <c r="L48" s="250"/>
      <c r="M48" s="250"/>
      <c r="N48" s="250"/>
      <c r="O48" s="250"/>
      <c r="P48" s="250"/>
      <c r="Q48" s="377"/>
      <c r="R48" s="377"/>
      <c r="S48" s="377"/>
      <c r="T48" s="377"/>
      <c r="U48" s="377"/>
      <c r="X48" s="305"/>
      <c r="Y48" s="305"/>
      <c r="Z48" s="305"/>
      <c r="AA48" s="305"/>
      <c r="AB48" s="305"/>
      <c r="AC48" s="305"/>
      <c r="AD48" s="305"/>
      <c r="AE48" s="305"/>
      <c r="AF48" s="305"/>
      <c r="AG48" s="305"/>
      <c r="AH48" s="305"/>
      <c r="AI48" s="305"/>
      <c r="AJ48" s="305"/>
      <c r="AK48" s="305"/>
      <c r="AL48" s="305"/>
      <c r="AM48" s="242"/>
      <c r="AN48" s="305"/>
      <c r="AO48" s="305"/>
      <c r="AP48" s="305"/>
      <c r="AQ48" s="305"/>
      <c r="AR48" s="305"/>
      <c r="AS48" s="305"/>
      <c r="AT48" s="305"/>
      <c r="AU48" s="305"/>
      <c r="AV48" s="305"/>
      <c r="AW48" s="305"/>
      <c r="AX48" s="305"/>
      <c r="AY48" s="305"/>
      <c r="AZ48" s="305"/>
      <c r="BA48" s="305"/>
      <c r="BB48" s="305"/>
      <c r="BD48" s="304"/>
    </row>
    <row r="49" spans="2:56" ht="15">
      <c r="B49" s="239"/>
      <c r="D49" s="346"/>
      <c r="E49" s="250"/>
      <c r="F49" s="250"/>
      <c r="G49" s="250"/>
      <c r="H49" s="323"/>
      <c r="I49" s="250"/>
      <c r="J49" s="250"/>
      <c r="K49" s="352"/>
      <c r="L49" s="250"/>
      <c r="M49" s="250"/>
      <c r="N49" s="250"/>
      <c r="O49" s="250"/>
      <c r="P49" s="250"/>
      <c r="Q49" s="250"/>
      <c r="R49" s="250"/>
      <c r="S49" s="250"/>
      <c r="T49" s="250"/>
      <c r="U49" s="250"/>
      <c r="V49" s="300"/>
      <c r="W49" s="300"/>
      <c r="X49" s="244">
        <f aca="true" t="shared" si="225" ref="X49">F49*$D49</f>
        <v>0</v>
      </c>
      <c r="Y49" s="244">
        <f aca="true" t="shared" si="226" ref="Y49">G49*$D49</f>
        <v>0</v>
      </c>
      <c r="Z49" s="244">
        <f aca="true" t="shared" si="227" ref="Z49">H49*$D49</f>
        <v>0</v>
      </c>
      <c r="AA49" s="244">
        <f aca="true" t="shared" si="228" ref="AA49">I49*$D49</f>
        <v>0</v>
      </c>
      <c r="AB49" s="244">
        <f aca="true" t="shared" si="229" ref="AB49">J49*$D49</f>
        <v>0</v>
      </c>
      <c r="AC49" s="244">
        <f aca="true" t="shared" si="230" ref="AC49">K49*$D49</f>
        <v>0</v>
      </c>
      <c r="AD49" s="244">
        <f aca="true" t="shared" si="231" ref="AD49">L49*$D49</f>
        <v>0</v>
      </c>
      <c r="AE49" s="244">
        <f aca="true" t="shared" si="232" ref="AE49">M49*$D49</f>
        <v>0</v>
      </c>
      <c r="AF49" s="244">
        <f aca="true" t="shared" si="233" ref="AF49">N49*$D49</f>
        <v>0</v>
      </c>
      <c r="AG49" s="244">
        <f aca="true" t="shared" si="234" ref="AG49">O49*$D49</f>
        <v>0</v>
      </c>
      <c r="AH49" s="244">
        <f aca="true" t="shared" si="235" ref="AH49">P49*$D49</f>
        <v>0</v>
      </c>
      <c r="AI49" s="244">
        <f aca="true" t="shared" si="236" ref="AI49">Q49*$D49</f>
        <v>0</v>
      </c>
      <c r="AJ49" s="244">
        <f aca="true" t="shared" si="237" ref="AJ49">R49*$D49</f>
        <v>0</v>
      </c>
      <c r="AK49" s="244">
        <f aca="true" t="shared" si="238" ref="AK49">S49*$D49</f>
        <v>0</v>
      </c>
      <c r="AL49" s="244">
        <f aca="true" t="shared" si="239" ref="AL49">T49*$D49</f>
        <v>0</v>
      </c>
      <c r="AM49" s="242"/>
      <c r="AN49" s="244">
        <f aca="true" t="shared" si="240" ref="AN49:BB49">IF(AN$3=$E49,$D49,0)</f>
        <v>0</v>
      </c>
      <c r="AO49" s="244">
        <f t="shared" si="240"/>
        <v>0</v>
      </c>
      <c r="AP49" s="244">
        <f t="shared" si="240"/>
        <v>0</v>
      </c>
      <c r="AQ49" s="244">
        <f t="shared" si="240"/>
        <v>0</v>
      </c>
      <c r="AR49" s="244">
        <f t="shared" si="240"/>
        <v>0</v>
      </c>
      <c r="AS49" s="244">
        <f t="shared" si="240"/>
        <v>0</v>
      </c>
      <c r="AT49" s="244">
        <f t="shared" si="240"/>
        <v>0</v>
      </c>
      <c r="AU49" s="244">
        <f t="shared" si="240"/>
        <v>0</v>
      </c>
      <c r="AV49" s="244">
        <f t="shared" si="240"/>
        <v>0</v>
      </c>
      <c r="AW49" s="244">
        <f t="shared" si="240"/>
        <v>0</v>
      </c>
      <c r="AX49" s="244">
        <f t="shared" si="240"/>
        <v>0</v>
      </c>
      <c r="AY49" s="244">
        <f t="shared" si="240"/>
        <v>0</v>
      </c>
      <c r="AZ49" s="244">
        <f t="shared" si="240"/>
        <v>0</v>
      </c>
      <c r="BA49" s="244">
        <f t="shared" si="240"/>
        <v>0</v>
      </c>
      <c r="BB49" s="244">
        <f t="shared" si="240"/>
        <v>0</v>
      </c>
      <c r="BD49" s="237">
        <f aca="true" t="shared" si="241" ref="BD49:BD66">SUM(X49:AL49)-SUM(AN49:BB49)</f>
        <v>0</v>
      </c>
    </row>
    <row r="50" spans="4:56" ht="15">
      <c r="D50" s="250" t="s">
        <v>189</v>
      </c>
      <c r="E50" s="250"/>
      <c r="F50" s="250" t="s">
        <v>172</v>
      </c>
      <c r="G50" s="250" t="s">
        <v>176</v>
      </c>
      <c r="H50" s="323" t="s">
        <v>177</v>
      </c>
      <c r="I50" s="250" t="s">
        <v>178</v>
      </c>
      <c r="J50" s="250" t="s">
        <v>179</v>
      </c>
      <c r="K50" s="352" t="s">
        <v>180</v>
      </c>
      <c r="L50" s="250" t="s">
        <v>181</v>
      </c>
      <c r="M50" s="250" t="s">
        <v>182</v>
      </c>
      <c r="N50" s="250" t="s">
        <v>183</v>
      </c>
      <c r="O50" s="250" t="s">
        <v>184</v>
      </c>
      <c r="P50" s="250" t="s">
        <v>185</v>
      </c>
      <c r="Q50" s="250" t="s">
        <v>186</v>
      </c>
      <c r="R50" s="250" t="s">
        <v>187</v>
      </c>
      <c r="S50" s="250" t="s">
        <v>188</v>
      </c>
      <c r="T50" s="250" t="s">
        <v>190</v>
      </c>
      <c r="U50" s="250" t="s">
        <v>189</v>
      </c>
      <c r="V50" s="300"/>
      <c r="W50" s="300"/>
      <c r="X50" s="244"/>
      <c r="Y50" s="244"/>
      <c r="Z50" s="244"/>
      <c r="AA50" s="244"/>
      <c r="AB50" s="244"/>
      <c r="AC50" s="244"/>
      <c r="AD50" s="244"/>
      <c r="AE50" s="244"/>
      <c r="AF50" s="244"/>
      <c r="AG50" s="244"/>
      <c r="AH50" s="244"/>
      <c r="AI50" s="244"/>
      <c r="AJ50" s="244"/>
      <c r="AK50" s="244"/>
      <c r="AL50" s="244"/>
      <c r="AM50" s="242"/>
      <c r="AN50" s="242"/>
      <c r="AO50" s="242"/>
      <c r="AP50" s="242"/>
      <c r="AQ50" s="242"/>
      <c r="AR50" s="242"/>
      <c r="AS50" s="242"/>
      <c r="AT50" s="242"/>
      <c r="AU50" s="242"/>
      <c r="AV50" s="242"/>
      <c r="AW50" s="242"/>
      <c r="AX50" s="242"/>
      <c r="AY50" s="242"/>
      <c r="AZ50" s="242"/>
      <c r="BA50" s="242"/>
      <c r="BB50" s="242"/>
      <c r="BD50" s="237">
        <f t="shared" si="241"/>
        <v>0</v>
      </c>
    </row>
    <row r="51" spans="1:56" ht="15">
      <c r="A51" s="238" t="s">
        <v>216</v>
      </c>
      <c r="B51" s="238"/>
      <c r="D51" s="346"/>
      <c r="E51" s="250"/>
      <c r="F51" s="250"/>
      <c r="G51" s="250"/>
      <c r="H51" s="323"/>
      <c r="I51" s="250"/>
      <c r="J51" s="250"/>
      <c r="K51" s="352"/>
      <c r="L51" s="250"/>
      <c r="M51" s="250"/>
      <c r="N51" s="250"/>
      <c r="O51" s="250"/>
      <c r="P51" s="250"/>
      <c r="Q51" s="250"/>
      <c r="R51" s="250"/>
      <c r="S51" s="250"/>
      <c r="T51" s="250"/>
      <c r="U51" s="250"/>
      <c r="V51" s="300"/>
      <c r="W51" s="300"/>
      <c r="X51" s="254"/>
      <c r="Y51" s="244"/>
      <c r="Z51" s="244"/>
      <c r="AA51" s="244"/>
      <c r="AB51" s="244"/>
      <c r="AC51" s="244"/>
      <c r="AD51" s="244"/>
      <c r="AE51" s="244"/>
      <c r="AF51" s="244"/>
      <c r="AG51" s="244"/>
      <c r="AH51" s="244"/>
      <c r="AI51" s="244"/>
      <c r="AJ51" s="244"/>
      <c r="AK51" s="244"/>
      <c r="AL51" s="244"/>
      <c r="AM51" s="242"/>
      <c r="AN51" s="241" t="s">
        <v>172</v>
      </c>
      <c r="AO51" s="241" t="s">
        <v>176</v>
      </c>
      <c r="AP51" s="241" t="s">
        <v>177</v>
      </c>
      <c r="AQ51" s="241" t="s">
        <v>178</v>
      </c>
      <c r="AR51" s="241" t="s">
        <v>172</v>
      </c>
      <c r="AS51" s="241" t="s">
        <v>176</v>
      </c>
      <c r="AT51" s="241" t="s">
        <v>177</v>
      </c>
      <c r="AU51" s="241" t="s">
        <v>178</v>
      </c>
      <c r="AV51" s="241" t="s">
        <v>172</v>
      </c>
      <c r="AW51" s="241" t="s">
        <v>176</v>
      </c>
      <c r="AX51" s="241" t="s">
        <v>177</v>
      </c>
      <c r="AY51" s="241" t="s">
        <v>178</v>
      </c>
      <c r="AZ51" s="241" t="s">
        <v>172</v>
      </c>
      <c r="BA51" s="241" t="s">
        <v>176</v>
      </c>
      <c r="BB51" s="241" t="s">
        <v>177</v>
      </c>
      <c r="BD51" s="237">
        <f t="shared" si="241"/>
        <v>0</v>
      </c>
    </row>
    <row r="52" spans="1:56" ht="15">
      <c r="A52" t="s">
        <v>157</v>
      </c>
      <c r="B52" s="248"/>
      <c r="D52" s="346">
        <f aca="true" t="shared" si="242" ref="D52:D59">SUM(F52:T52)</f>
        <v>138981.2</v>
      </c>
      <c r="E52" s="338" t="s">
        <v>219</v>
      </c>
      <c r="F52" s="338"/>
      <c r="G52" s="344">
        <v>4400</v>
      </c>
      <c r="H52" s="345">
        <v>9000</v>
      </c>
      <c r="I52" s="344">
        <v>9000</v>
      </c>
      <c r="J52" s="344">
        <v>11310</v>
      </c>
      <c r="K52" s="354">
        <v>10771.2</v>
      </c>
      <c r="L52" s="344">
        <v>10500</v>
      </c>
      <c r="M52" s="344">
        <v>10500</v>
      </c>
      <c r="N52" s="344">
        <v>10500</v>
      </c>
      <c r="O52" s="344">
        <v>10500</v>
      </c>
      <c r="P52" s="344">
        <v>10500</v>
      </c>
      <c r="Q52" s="344">
        <v>10500</v>
      </c>
      <c r="R52" s="344">
        <v>10500</v>
      </c>
      <c r="S52" s="344">
        <v>10500</v>
      </c>
      <c r="T52" s="344">
        <v>10500</v>
      </c>
      <c r="U52" s="369">
        <f>SUM(F52:T52)</f>
        <v>138981.2</v>
      </c>
      <c r="V52" s="300"/>
      <c r="W52" s="300"/>
      <c r="X52" s="254">
        <f aca="true" t="shared" si="243" ref="X52:X62">F52</f>
        <v>0</v>
      </c>
      <c r="Y52" s="244">
        <f aca="true" t="shared" si="244" ref="Y52:AL62">G52</f>
        <v>4400</v>
      </c>
      <c r="Z52" s="244">
        <f t="shared" si="244"/>
        <v>9000</v>
      </c>
      <c r="AA52" s="244">
        <f t="shared" si="244"/>
        <v>9000</v>
      </c>
      <c r="AB52" s="244">
        <f t="shared" si="244"/>
        <v>11310</v>
      </c>
      <c r="AC52" s="244">
        <f t="shared" si="244"/>
        <v>10771.2</v>
      </c>
      <c r="AD52" s="244">
        <f t="shared" si="244"/>
        <v>10500</v>
      </c>
      <c r="AE52" s="244">
        <f t="shared" si="244"/>
        <v>10500</v>
      </c>
      <c r="AF52" s="244">
        <f t="shared" si="244"/>
        <v>10500</v>
      </c>
      <c r="AG52" s="244">
        <f t="shared" si="244"/>
        <v>10500</v>
      </c>
      <c r="AH52" s="244">
        <f t="shared" si="244"/>
        <v>10500</v>
      </c>
      <c r="AI52" s="244">
        <f t="shared" si="244"/>
        <v>10500</v>
      </c>
      <c r="AJ52" s="244">
        <f t="shared" si="244"/>
        <v>10500</v>
      </c>
      <c r="AK52" s="244">
        <f t="shared" si="244"/>
        <v>10500</v>
      </c>
      <c r="AL52" s="244">
        <f t="shared" si="244"/>
        <v>10500</v>
      </c>
      <c r="AM52" s="242"/>
      <c r="AN52" s="244">
        <f>IF(AN$51=$E52,SUM(X52:AA52),0)</f>
        <v>0</v>
      </c>
      <c r="AO52" s="244">
        <f>IF(AO$51=$E52,SUM(Y52:AB52),0)</f>
        <v>33710</v>
      </c>
      <c r="AP52" s="244">
        <f>IF(AP$51=$E52,SUM(Z52:AC52),0)</f>
        <v>0</v>
      </c>
      <c r="AQ52" s="244">
        <f>IF(AQ$51=$E52,SUM(AA52:AD52),0)</f>
        <v>0</v>
      </c>
      <c r="AR52" s="244">
        <f>IF(AR$51=$E52,SUM(AB52:AE52),0)</f>
        <v>0</v>
      </c>
      <c r="AS52" s="244">
        <v>43758</v>
      </c>
      <c r="AT52" s="305">
        <f aca="true" t="shared" si="245" ref="AT52:AY55">IF(AT$51=$E52,SUM(AD52:AG52),0)</f>
        <v>0</v>
      </c>
      <c r="AU52" s="244">
        <f t="shared" si="245"/>
        <v>0</v>
      </c>
      <c r="AV52" s="244">
        <f t="shared" si="245"/>
        <v>0</v>
      </c>
      <c r="AW52" s="244">
        <f t="shared" si="245"/>
        <v>42000</v>
      </c>
      <c r="AX52" s="244">
        <f t="shared" si="245"/>
        <v>0</v>
      </c>
      <c r="AY52" s="244">
        <f t="shared" si="245"/>
        <v>0</v>
      </c>
      <c r="AZ52" s="244">
        <f>IF(AZ$51=$E52,SUM(AJ52:$AL52),0)</f>
        <v>0</v>
      </c>
      <c r="BA52" s="244">
        <f>IF(BA$51=$E52,SUM(AK52:$AL52),0)</f>
        <v>21000</v>
      </c>
      <c r="BB52" s="244">
        <f>IF(BB$51=$E52,SUM(AL52:$AL52),0)</f>
        <v>0</v>
      </c>
      <c r="BD52" s="304">
        <f t="shared" si="241"/>
        <v>-1486.7999999999884</v>
      </c>
    </row>
    <row r="53" spans="1:56" ht="15">
      <c r="A53" t="s">
        <v>157</v>
      </c>
      <c r="B53" s="248"/>
      <c r="D53" s="346">
        <f t="shared" si="242"/>
        <v>42000</v>
      </c>
      <c r="E53" s="338" t="s">
        <v>193</v>
      </c>
      <c r="F53" s="338"/>
      <c r="G53" s="338"/>
      <c r="H53" s="345"/>
      <c r="I53" s="344" t="s">
        <v>128</v>
      </c>
      <c r="J53" s="344">
        <v>0</v>
      </c>
      <c r="K53" s="354">
        <v>4200</v>
      </c>
      <c r="L53" s="344">
        <v>4200</v>
      </c>
      <c r="M53" s="344">
        <v>4200</v>
      </c>
      <c r="N53" s="344">
        <v>4200</v>
      </c>
      <c r="O53" s="344">
        <v>4200</v>
      </c>
      <c r="P53" s="344">
        <v>4200</v>
      </c>
      <c r="Q53" s="344">
        <v>4200</v>
      </c>
      <c r="R53" s="344">
        <v>4200</v>
      </c>
      <c r="S53" s="344">
        <v>4200</v>
      </c>
      <c r="T53" s="344">
        <v>4200</v>
      </c>
      <c r="U53" s="369">
        <f aca="true" t="shared" si="246" ref="U53:U66">SUM(F53:T53)</f>
        <v>42000</v>
      </c>
      <c r="V53" s="300"/>
      <c r="W53" s="300"/>
      <c r="X53" s="254">
        <f t="shared" si="243"/>
        <v>0</v>
      </c>
      <c r="Y53" s="244">
        <f t="shared" si="244"/>
        <v>0</v>
      </c>
      <c r="Z53" s="244">
        <f t="shared" si="244"/>
        <v>0</v>
      </c>
      <c r="AA53" s="244" t="str">
        <f t="shared" si="244"/>
        <v xml:space="preserve"> </v>
      </c>
      <c r="AB53" s="244">
        <f t="shared" si="244"/>
        <v>0</v>
      </c>
      <c r="AC53" s="244">
        <f t="shared" si="244"/>
        <v>4200</v>
      </c>
      <c r="AD53" s="244">
        <f t="shared" si="244"/>
        <v>4200</v>
      </c>
      <c r="AE53" s="244">
        <f t="shared" si="244"/>
        <v>4200</v>
      </c>
      <c r="AF53" s="244">
        <f t="shared" si="244"/>
        <v>4200</v>
      </c>
      <c r="AG53" s="244">
        <f t="shared" si="244"/>
        <v>4200</v>
      </c>
      <c r="AH53" s="244">
        <f t="shared" si="244"/>
        <v>4200</v>
      </c>
      <c r="AI53" s="244">
        <f t="shared" si="244"/>
        <v>4200</v>
      </c>
      <c r="AJ53" s="244">
        <f t="shared" si="244"/>
        <v>4200</v>
      </c>
      <c r="AK53" s="244">
        <f t="shared" si="244"/>
        <v>4200</v>
      </c>
      <c r="AL53" s="244">
        <f t="shared" si="244"/>
        <v>4200</v>
      </c>
      <c r="AM53" s="242"/>
      <c r="AN53" s="244">
        <f aca="true" t="shared" si="247" ref="AN53:AN62">IF(AN$51=$E53,SUM(X53:AA53),0)</f>
        <v>0</v>
      </c>
      <c r="AO53" s="244">
        <f aca="true" t="shared" si="248" ref="AO53:AQ59">IF(AO$51=$E53,SUM(Y53:AB53),0)</f>
        <v>0</v>
      </c>
      <c r="AP53" s="244">
        <f t="shared" si="248"/>
        <v>0</v>
      </c>
      <c r="AQ53" s="305">
        <f t="shared" si="248"/>
        <v>0</v>
      </c>
      <c r="AR53" s="336">
        <f aca="true" t="shared" si="249" ref="AR53">IF(AR$3=$E53,$D53,0)</f>
        <v>0</v>
      </c>
      <c r="AS53" s="305">
        <v>16800</v>
      </c>
      <c r="AT53" s="244">
        <f t="shared" si="245"/>
        <v>0</v>
      </c>
      <c r="AU53" s="244">
        <f t="shared" si="245"/>
        <v>0</v>
      </c>
      <c r="AV53" s="244">
        <f t="shared" si="245"/>
        <v>0</v>
      </c>
      <c r="AW53" s="244">
        <f t="shared" si="245"/>
        <v>0</v>
      </c>
      <c r="AX53" s="244">
        <f t="shared" si="245"/>
        <v>0</v>
      </c>
      <c r="AY53" s="244">
        <f t="shared" si="245"/>
        <v>0</v>
      </c>
      <c r="AZ53" s="244">
        <f>IF(AZ$51=$E53,SUM(AJ53:$AL53),0)</f>
        <v>0</v>
      </c>
      <c r="BA53" s="244">
        <f>IF(BA$51=$E53,SUM(AK53:$AL53),0)</f>
        <v>0</v>
      </c>
      <c r="BB53" s="244">
        <f>IF(BB$51=$E53,SUM(AL53:$AL53),0)</f>
        <v>0</v>
      </c>
      <c r="BD53" s="237">
        <f>SUM(X53:AL53)-SUM(AN53:BB53)</f>
        <v>25200</v>
      </c>
    </row>
    <row r="54" spans="1:56" ht="15">
      <c r="A54" t="s">
        <v>167</v>
      </c>
      <c r="B54" s="259"/>
      <c r="D54" s="346">
        <f t="shared" si="242"/>
        <v>49000</v>
      </c>
      <c r="E54" s="338" t="s">
        <v>221</v>
      </c>
      <c r="F54" s="344">
        <v>10000</v>
      </c>
      <c r="G54" s="344">
        <f>15000</f>
        <v>15000</v>
      </c>
      <c r="H54" s="345">
        <v>12000</v>
      </c>
      <c r="I54" s="344">
        <v>12000</v>
      </c>
      <c r="J54" s="344">
        <v>0</v>
      </c>
      <c r="K54" s="354">
        <v>0</v>
      </c>
      <c r="L54" s="344">
        <v>0</v>
      </c>
      <c r="M54" s="344">
        <v>0</v>
      </c>
      <c r="N54" s="344">
        <v>0</v>
      </c>
      <c r="O54" s="344">
        <v>0</v>
      </c>
      <c r="P54" s="344">
        <v>0</v>
      </c>
      <c r="Q54" s="344">
        <v>0</v>
      </c>
      <c r="R54" s="344">
        <v>0</v>
      </c>
      <c r="S54" s="344">
        <v>0</v>
      </c>
      <c r="T54" s="344">
        <v>0</v>
      </c>
      <c r="U54" s="369">
        <f t="shared" si="246"/>
        <v>49000</v>
      </c>
      <c r="V54" s="300"/>
      <c r="W54" s="300"/>
      <c r="X54" s="357">
        <f t="shared" si="243"/>
        <v>10000</v>
      </c>
      <c r="Y54" s="244">
        <f t="shared" si="244"/>
        <v>15000</v>
      </c>
      <c r="Z54" s="244">
        <f t="shared" si="244"/>
        <v>12000</v>
      </c>
      <c r="AA54" s="244">
        <f t="shared" si="244"/>
        <v>12000</v>
      </c>
      <c r="AB54" s="244">
        <f t="shared" si="244"/>
        <v>0</v>
      </c>
      <c r="AC54" s="244">
        <f t="shared" si="244"/>
        <v>0</v>
      </c>
      <c r="AD54" s="244">
        <f t="shared" si="244"/>
        <v>0</v>
      </c>
      <c r="AE54" s="244">
        <f t="shared" si="244"/>
        <v>0</v>
      </c>
      <c r="AF54" s="244">
        <f t="shared" si="244"/>
        <v>0</v>
      </c>
      <c r="AG54" s="244">
        <f t="shared" si="244"/>
        <v>0</v>
      </c>
      <c r="AH54" s="244">
        <f t="shared" si="244"/>
        <v>0</v>
      </c>
      <c r="AI54" s="244">
        <f t="shared" si="244"/>
        <v>0</v>
      </c>
      <c r="AJ54" s="244">
        <f t="shared" si="244"/>
        <v>0</v>
      </c>
      <c r="AK54" s="244">
        <f t="shared" si="244"/>
        <v>0</v>
      </c>
      <c r="AL54" s="244">
        <f t="shared" si="244"/>
        <v>0</v>
      </c>
      <c r="AM54" s="242"/>
      <c r="AN54" s="244">
        <f t="shared" si="247"/>
        <v>49000</v>
      </c>
      <c r="AO54" s="244">
        <f t="shared" si="248"/>
        <v>0</v>
      </c>
      <c r="AP54" s="244">
        <f t="shared" si="248"/>
        <v>0</v>
      </c>
      <c r="AQ54" s="244">
        <f t="shared" si="248"/>
        <v>0</v>
      </c>
      <c r="AR54" s="305">
        <f>IF(AR$51=$E54,SUM(AB54:AE54),0)</f>
        <v>0</v>
      </c>
      <c r="AS54" s="244">
        <f>IF(AS$51=$E54,SUM(AC54:AF54),0)</f>
        <v>0</v>
      </c>
      <c r="AT54" s="244">
        <f t="shared" si="245"/>
        <v>0</v>
      </c>
      <c r="AU54" s="244">
        <f t="shared" si="245"/>
        <v>0</v>
      </c>
      <c r="AV54" s="244">
        <f t="shared" si="245"/>
        <v>0</v>
      </c>
      <c r="AW54" s="244">
        <f t="shared" si="245"/>
        <v>0</v>
      </c>
      <c r="AX54" s="244">
        <f t="shared" si="245"/>
        <v>0</v>
      </c>
      <c r="AY54" s="244">
        <f t="shared" si="245"/>
        <v>0</v>
      </c>
      <c r="AZ54" s="244">
        <f>IF(AZ$51=$E54,SUM(AJ54:$AL54),0)</f>
        <v>0</v>
      </c>
      <c r="BA54" s="244">
        <f>IF(BA$51=$E54,SUM(AK54:$AL54),0)</f>
        <v>0</v>
      </c>
      <c r="BB54" s="244">
        <f>IF(BB$51=$E54,SUM(AL54:$AL54),0)</f>
        <v>0</v>
      </c>
      <c r="BD54" s="237">
        <f t="shared" si="241"/>
        <v>0</v>
      </c>
    </row>
    <row r="55" spans="1:56" s="300" customFormat="1" ht="15">
      <c r="A55" s="300" t="s">
        <v>167</v>
      </c>
      <c r="B55" s="259"/>
      <c r="D55" s="346">
        <f aca="true" t="shared" si="250" ref="D55">SUM(F55:T55)</f>
        <v>75231.6</v>
      </c>
      <c r="E55" s="338" t="s">
        <v>193</v>
      </c>
      <c r="F55" s="344">
        <v>0</v>
      </c>
      <c r="G55" s="344">
        <v>0</v>
      </c>
      <c r="H55" s="345">
        <v>0</v>
      </c>
      <c r="I55" s="344">
        <v>0</v>
      </c>
      <c r="J55" s="344">
        <v>0</v>
      </c>
      <c r="K55" s="354">
        <v>7382</v>
      </c>
      <c r="L55" s="344">
        <v>7017.6</v>
      </c>
      <c r="M55" s="344">
        <v>7604</v>
      </c>
      <c r="N55" s="344">
        <v>7604</v>
      </c>
      <c r="O55" s="344">
        <v>7604</v>
      </c>
      <c r="P55" s="344">
        <v>7604</v>
      </c>
      <c r="Q55" s="344">
        <v>7604</v>
      </c>
      <c r="R55" s="344">
        <v>7604</v>
      </c>
      <c r="S55" s="344">
        <v>7604</v>
      </c>
      <c r="T55" s="344">
        <v>7604</v>
      </c>
      <c r="U55" s="369">
        <f aca="true" t="shared" si="251" ref="U55">SUM(F55:T55)</f>
        <v>75231.6</v>
      </c>
      <c r="X55" s="357">
        <f aca="true" t="shared" si="252" ref="X55">F55</f>
        <v>0</v>
      </c>
      <c r="Y55" s="305">
        <f aca="true" t="shared" si="253" ref="Y55">G55</f>
        <v>0</v>
      </c>
      <c r="Z55" s="305">
        <f aca="true" t="shared" si="254" ref="Z55">H55</f>
        <v>0</v>
      </c>
      <c r="AA55" s="305">
        <f aca="true" t="shared" si="255" ref="AA55">I55</f>
        <v>0</v>
      </c>
      <c r="AB55" s="305">
        <f aca="true" t="shared" si="256" ref="AB55">J55</f>
        <v>0</v>
      </c>
      <c r="AC55" s="305">
        <f aca="true" t="shared" si="257" ref="AC55">K55</f>
        <v>7382</v>
      </c>
      <c r="AD55" s="305">
        <f aca="true" t="shared" si="258" ref="AD55">L55</f>
        <v>7017.6</v>
      </c>
      <c r="AE55" s="305">
        <f aca="true" t="shared" si="259" ref="AE55">M55</f>
        <v>7604</v>
      </c>
      <c r="AF55" s="305">
        <f aca="true" t="shared" si="260" ref="AF55">N55</f>
        <v>7604</v>
      </c>
      <c r="AG55" s="305">
        <f aca="true" t="shared" si="261" ref="AG55">O55</f>
        <v>7604</v>
      </c>
      <c r="AH55" s="305">
        <f aca="true" t="shared" si="262" ref="AH55">P55</f>
        <v>7604</v>
      </c>
      <c r="AI55" s="305">
        <f aca="true" t="shared" si="263" ref="AI55">Q55</f>
        <v>7604</v>
      </c>
      <c r="AJ55" s="305">
        <f aca="true" t="shared" si="264" ref="AJ55">R55</f>
        <v>7604</v>
      </c>
      <c r="AK55" s="305">
        <f aca="true" t="shared" si="265" ref="AK55">S55</f>
        <v>7604</v>
      </c>
      <c r="AL55" s="305">
        <f aca="true" t="shared" si="266" ref="AL55">T55</f>
        <v>7604</v>
      </c>
      <c r="AM55" s="242"/>
      <c r="AN55" s="305">
        <f aca="true" t="shared" si="267" ref="AN55">IF(AN$51=$E55,SUM(X55:AA55),0)</f>
        <v>0</v>
      </c>
      <c r="AO55" s="305">
        <f t="shared" si="248"/>
        <v>0</v>
      </c>
      <c r="AP55" s="305">
        <f t="shared" si="248"/>
        <v>0</v>
      </c>
      <c r="AQ55" s="305">
        <f t="shared" si="248"/>
        <v>0</v>
      </c>
      <c r="AR55" s="305">
        <f>IF(AR$51=$E55,SUM(AB55:AE55),0)</f>
        <v>0</v>
      </c>
      <c r="AS55" s="305">
        <v>29991</v>
      </c>
      <c r="AT55" s="305">
        <f t="shared" si="245"/>
        <v>0</v>
      </c>
      <c r="AU55" s="305">
        <f t="shared" si="245"/>
        <v>0</v>
      </c>
      <c r="AV55" s="305">
        <f t="shared" si="245"/>
        <v>0</v>
      </c>
      <c r="AW55" s="305">
        <f t="shared" si="245"/>
        <v>0</v>
      </c>
      <c r="AX55" s="305">
        <f t="shared" si="245"/>
        <v>0</v>
      </c>
      <c r="AY55" s="305">
        <f t="shared" si="245"/>
        <v>0</v>
      </c>
      <c r="AZ55" s="305">
        <f>IF(AZ$51=$E55,SUM(AJ55:$AL55),0)</f>
        <v>0</v>
      </c>
      <c r="BA55" s="305">
        <f>IF(BA$51=$E55,SUM(AK55:$AL55),0)</f>
        <v>0</v>
      </c>
      <c r="BB55" s="305">
        <f>IF(BB$51=$E55,SUM(AL55:$AL55),0)</f>
        <v>0</v>
      </c>
      <c r="BD55" s="304">
        <f t="shared" si="241"/>
        <v>45240.600000000006</v>
      </c>
    </row>
    <row r="56" spans="1:56" ht="15">
      <c r="A56" t="s">
        <v>167</v>
      </c>
      <c r="B56" s="259"/>
      <c r="D56" s="346">
        <v>15375</v>
      </c>
      <c r="E56" s="338" t="s">
        <v>191</v>
      </c>
      <c r="F56" s="338"/>
      <c r="G56" s="344">
        <v>0</v>
      </c>
      <c r="H56" s="345">
        <v>375</v>
      </c>
      <c r="I56" s="344">
        <v>6039.2</v>
      </c>
      <c r="J56" s="344">
        <v>4848</v>
      </c>
      <c r="K56" s="354">
        <v>4113</v>
      </c>
      <c r="L56" s="344">
        <v>0</v>
      </c>
      <c r="M56" s="344">
        <v>0</v>
      </c>
      <c r="N56" s="344">
        <v>0</v>
      </c>
      <c r="O56" s="344">
        <v>0</v>
      </c>
      <c r="P56" s="344">
        <v>0</v>
      </c>
      <c r="Q56" s="344">
        <v>0</v>
      </c>
      <c r="R56" s="344">
        <v>0</v>
      </c>
      <c r="S56" s="344">
        <v>0</v>
      </c>
      <c r="T56" s="344">
        <v>0</v>
      </c>
      <c r="U56" s="369">
        <f t="shared" si="246"/>
        <v>15375.2</v>
      </c>
      <c r="V56" s="300"/>
      <c r="W56" s="300"/>
      <c r="X56" s="254">
        <f t="shared" si="243"/>
        <v>0</v>
      </c>
      <c r="Y56" s="244">
        <f t="shared" si="244"/>
        <v>0</v>
      </c>
      <c r="Z56" s="244">
        <f t="shared" si="244"/>
        <v>375</v>
      </c>
      <c r="AA56" s="244">
        <f t="shared" si="244"/>
        <v>6039.2</v>
      </c>
      <c r="AB56" s="244">
        <f t="shared" si="244"/>
        <v>4848</v>
      </c>
      <c r="AC56" s="244">
        <f t="shared" si="244"/>
        <v>4113</v>
      </c>
      <c r="AD56" s="244">
        <f t="shared" si="244"/>
        <v>0</v>
      </c>
      <c r="AE56" s="244">
        <f t="shared" si="244"/>
        <v>0</v>
      </c>
      <c r="AF56" s="244">
        <f t="shared" si="244"/>
        <v>0</v>
      </c>
      <c r="AG56" s="244">
        <f t="shared" si="244"/>
        <v>0</v>
      </c>
      <c r="AH56" s="244">
        <f t="shared" si="244"/>
        <v>0</v>
      </c>
      <c r="AI56" s="244">
        <f t="shared" si="244"/>
        <v>0</v>
      </c>
      <c r="AJ56" s="244">
        <f t="shared" si="244"/>
        <v>0</v>
      </c>
      <c r="AK56" s="244">
        <f t="shared" si="244"/>
        <v>0</v>
      </c>
      <c r="AL56" s="244">
        <f t="shared" si="244"/>
        <v>0</v>
      </c>
      <c r="AM56" s="242"/>
      <c r="AN56" s="244">
        <f t="shared" si="247"/>
        <v>0</v>
      </c>
      <c r="AO56" s="244">
        <f t="shared" si="248"/>
        <v>0</v>
      </c>
      <c r="AP56" s="244">
        <f t="shared" si="248"/>
        <v>15375.2</v>
      </c>
      <c r="AQ56" s="244">
        <f t="shared" si="248"/>
        <v>0</v>
      </c>
      <c r="AR56" s="244">
        <f>IF(AR$51=$E56,SUM(AB56:AE56),0)</f>
        <v>0</v>
      </c>
      <c r="AS56" s="244">
        <f>IF(AS$51=$E56,SUM(AC56:AF56),0)</f>
        <v>0</v>
      </c>
      <c r="AT56" s="244">
        <v>0</v>
      </c>
      <c r="AU56" s="244">
        <f aca="true" t="shared" si="268" ref="AU56:AW59">IF(AU$51=$E56,SUM(AE56:AH56),0)</f>
        <v>0</v>
      </c>
      <c r="AV56" s="244">
        <f t="shared" si="268"/>
        <v>0</v>
      </c>
      <c r="AW56" s="244">
        <f t="shared" si="268"/>
        <v>0</v>
      </c>
      <c r="AX56" s="244">
        <v>0</v>
      </c>
      <c r="AY56" s="244">
        <f>IF(AY$51=$E56,SUM(AI56:AL56),0)</f>
        <v>0</v>
      </c>
      <c r="AZ56" s="244">
        <f>IF(AZ$51=$E56,SUM(AJ56:$AL56),0)</f>
        <v>0</v>
      </c>
      <c r="BA56" s="244">
        <f>IF(BA$51=$E56,SUM(AK56:$AL56),0)</f>
        <v>0</v>
      </c>
      <c r="BB56" s="244">
        <v>0</v>
      </c>
      <c r="BD56" s="237">
        <f t="shared" si="241"/>
        <v>0</v>
      </c>
    </row>
    <row r="57" spans="1:56" ht="15">
      <c r="A57" t="s">
        <v>167</v>
      </c>
      <c r="B57" s="259"/>
      <c r="D57" s="346">
        <f t="shared" si="242"/>
        <v>146999.8</v>
      </c>
      <c r="E57" s="338" t="s">
        <v>219</v>
      </c>
      <c r="F57" s="338"/>
      <c r="G57" s="344">
        <v>10500</v>
      </c>
      <c r="H57" s="345">
        <f>3500*3</f>
        <v>10500</v>
      </c>
      <c r="I57" s="344">
        <v>10500</v>
      </c>
      <c r="J57" s="344">
        <v>10500</v>
      </c>
      <c r="K57" s="354">
        <v>10771</v>
      </c>
      <c r="L57" s="344">
        <v>10228.8</v>
      </c>
      <c r="M57" s="344">
        <v>10500</v>
      </c>
      <c r="N57" s="344">
        <v>10500</v>
      </c>
      <c r="O57" s="344">
        <v>10500</v>
      </c>
      <c r="P57" s="344">
        <v>10500</v>
      </c>
      <c r="Q57" s="344">
        <v>10500</v>
      </c>
      <c r="R57" s="344">
        <v>10500</v>
      </c>
      <c r="S57" s="344">
        <v>10500</v>
      </c>
      <c r="T57" s="344">
        <v>10500</v>
      </c>
      <c r="U57" s="369">
        <f t="shared" si="246"/>
        <v>146999.8</v>
      </c>
      <c r="V57" s="300"/>
      <c r="W57" s="300"/>
      <c r="X57" s="254">
        <f t="shared" si="243"/>
        <v>0</v>
      </c>
      <c r="Y57" s="244">
        <f t="shared" si="244"/>
        <v>10500</v>
      </c>
      <c r="Z57" s="244">
        <f t="shared" si="244"/>
        <v>10500</v>
      </c>
      <c r="AA57" s="244">
        <f t="shared" si="244"/>
        <v>10500</v>
      </c>
      <c r="AB57" s="244">
        <f t="shared" si="244"/>
        <v>10500</v>
      </c>
      <c r="AC57" s="244">
        <f t="shared" si="244"/>
        <v>10771</v>
      </c>
      <c r="AD57" s="244">
        <f t="shared" si="244"/>
        <v>10228.8</v>
      </c>
      <c r="AE57" s="244">
        <f t="shared" si="244"/>
        <v>10500</v>
      </c>
      <c r="AF57" s="244">
        <f t="shared" si="244"/>
        <v>10500</v>
      </c>
      <c r="AG57" s="244">
        <f t="shared" si="244"/>
        <v>10500</v>
      </c>
      <c r="AH57" s="244">
        <f t="shared" si="244"/>
        <v>10500</v>
      </c>
      <c r="AI57" s="244">
        <f t="shared" si="244"/>
        <v>10500</v>
      </c>
      <c r="AJ57" s="244">
        <f t="shared" si="244"/>
        <v>10500</v>
      </c>
      <c r="AK57" s="244">
        <f t="shared" si="244"/>
        <v>10500</v>
      </c>
      <c r="AL57" s="244">
        <f t="shared" si="244"/>
        <v>10500</v>
      </c>
      <c r="AM57" s="242"/>
      <c r="AN57" s="244">
        <f t="shared" si="247"/>
        <v>0</v>
      </c>
      <c r="AO57" s="244">
        <f t="shared" si="248"/>
        <v>42000</v>
      </c>
      <c r="AP57" s="244">
        <f t="shared" si="248"/>
        <v>0</v>
      </c>
      <c r="AQ57" s="244">
        <f t="shared" si="248"/>
        <v>0</v>
      </c>
      <c r="AR57" s="244">
        <f>IF(AR$51=$E57,SUM(AB57:AE57),0)</f>
        <v>0</v>
      </c>
      <c r="AS57" s="244">
        <v>43758</v>
      </c>
      <c r="AT57" s="244">
        <f>IF(AT$51=$E57,SUM(AD57:AG57),0)</f>
        <v>0</v>
      </c>
      <c r="AU57" s="244">
        <f t="shared" si="268"/>
        <v>0</v>
      </c>
      <c r="AV57" s="244">
        <f t="shared" si="268"/>
        <v>0</v>
      </c>
      <c r="AW57" s="244">
        <f t="shared" si="268"/>
        <v>42000</v>
      </c>
      <c r="AX57" s="244">
        <f>IF(AX$51=$E57,SUM(AH57:AK57),0)</f>
        <v>0</v>
      </c>
      <c r="AY57" s="244">
        <f>IF(AY$51=$E57,SUM(AI57:AL57),0)</f>
        <v>0</v>
      </c>
      <c r="AZ57" s="244">
        <f>IF(AZ$51=$E57,SUM(AJ57:$AL57),0)</f>
        <v>0</v>
      </c>
      <c r="BA57" s="244">
        <f>IF(BA$51=$E57,SUM(AK57:$AL57),0)</f>
        <v>21000</v>
      </c>
      <c r="BB57" s="244">
        <f>IF(BB$51=$E57,SUM(AL57:$AL57),0)</f>
        <v>0</v>
      </c>
      <c r="BD57" s="237">
        <f t="shared" si="241"/>
        <v>-1758.2000000000116</v>
      </c>
    </row>
    <row r="58" spans="1:56" ht="15">
      <c r="A58" t="s">
        <v>167</v>
      </c>
      <c r="B58" s="259"/>
      <c r="D58" s="346">
        <f t="shared" si="242"/>
        <v>90634.72</v>
      </c>
      <c r="E58" s="338" t="s">
        <v>219</v>
      </c>
      <c r="F58" s="338"/>
      <c r="G58" s="344">
        <v>3960</v>
      </c>
      <c r="H58" s="345" t="s">
        <v>128</v>
      </c>
      <c r="I58" s="344">
        <v>3691.2</v>
      </c>
      <c r="J58" s="344">
        <v>7751.52</v>
      </c>
      <c r="K58" s="354">
        <v>7382.4</v>
      </c>
      <c r="L58" s="344">
        <v>7017.6</v>
      </c>
      <c r="M58" s="344">
        <v>7604</v>
      </c>
      <c r="N58" s="344">
        <v>7604</v>
      </c>
      <c r="O58" s="344">
        <v>7604</v>
      </c>
      <c r="P58" s="344">
        <v>7604</v>
      </c>
      <c r="Q58" s="344">
        <v>7604</v>
      </c>
      <c r="R58" s="344">
        <v>7604</v>
      </c>
      <c r="S58" s="344">
        <v>7604</v>
      </c>
      <c r="T58" s="344">
        <v>7604</v>
      </c>
      <c r="U58" s="369">
        <f t="shared" si="246"/>
        <v>90634.72</v>
      </c>
      <c r="V58" s="300"/>
      <c r="W58" s="300"/>
      <c r="X58" s="254">
        <f t="shared" si="243"/>
        <v>0</v>
      </c>
      <c r="Y58" s="244">
        <f t="shared" si="244"/>
        <v>3960</v>
      </c>
      <c r="Z58" s="244" t="str">
        <f t="shared" si="244"/>
        <v xml:space="preserve"> </v>
      </c>
      <c r="AA58" s="244">
        <f t="shared" si="244"/>
        <v>3691.2</v>
      </c>
      <c r="AB58" s="244">
        <f t="shared" si="244"/>
        <v>7751.52</v>
      </c>
      <c r="AC58" s="244">
        <f t="shared" si="244"/>
        <v>7382.4</v>
      </c>
      <c r="AD58" s="244">
        <f t="shared" si="244"/>
        <v>7017.6</v>
      </c>
      <c r="AE58" s="244">
        <f t="shared" si="244"/>
        <v>7604</v>
      </c>
      <c r="AF58" s="244">
        <f t="shared" si="244"/>
        <v>7604</v>
      </c>
      <c r="AG58" s="244">
        <f t="shared" si="244"/>
        <v>7604</v>
      </c>
      <c r="AH58" s="244">
        <f t="shared" si="244"/>
        <v>7604</v>
      </c>
      <c r="AI58" s="244">
        <f t="shared" si="244"/>
        <v>7604</v>
      </c>
      <c r="AJ58" s="244">
        <f t="shared" si="244"/>
        <v>7604</v>
      </c>
      <c r="AK58" s="244">
        <f t="shared" si="244"/>
        <v>7604</v>
      </c>
      <c r="AL58" s="244">
        <f t="shared" si="244"/>
        <v>7604</v>
      </c>
      <c r="AM58" s="242"/>
      <c r="AN58" s="244">
        <f t="shared" si="247"/>
        <v>0</v>
      </c>
      <c r="AO58" s="244">
        <f t="shared" si="248"/>
        <v>15402.720000000001</v>
      </c>
      <c r="AP58" s="244">
        <f t="shared" si="248"/>
        <v>0</v>
      </c>
      <c r="AQ58" s="244">
        <f t="shared" si="248"/>
        <v>0</v>
      </c>
      <c r="AR58" s="244">
        <f>IF(AR$51=$E58,SUM(AB58:AE58),0)</f>
        <v>0</v>
      </c>
      <c r="AS58" s="244">
        <f>IF(AS$51=$E58,SUM(AC58:AF58),0)</f>
        <v>29608</v>
      </c>
      <c r="AT58" s="244">
        <f>IF(AT$51=$E58,SUM(AD58:AG58),0)</f>
        <v>0</v>
      </c>
      <c r="AU58" s="244">
        <f t="shared" si="268"/>
        <v>0</v>
      </c>
      <c r="AV58" s="244">
        <f t="shared" si="268"/>
        <v>0</v>
      </c>
      <c r="AW58" s="244">
        <f t="shared" si="268"/>
        <v>30416</v>
      </c>
      <c r="AX58" s="244">
        <f>IF(AX$51=$E58,SUM(AH58:AK58),0)</f>
        <v>0</v>
      </c>
      <c r="AY58" s="244">
        <f>IF(AY$51=$E58,SUM(AI58:AL58),0)</f>
        <v>0</v>
      </c>
      <c r="AZ58" s="244">
        <f>IF(AZ$51=$E58,SUM(AJ58:$AL58),0)</f>
        <v>0</v>
      </c>
      <c r="BA58" s="244">
        <f>IF(BA$51=$E58,SUM(AK58:$AL58),0)</f>
        <v>15208</v>
      </c>
      <c r="BB58" s="244">
        <f>IF(BB$51=$E58,SUM(AL58:$AL58),0)</f>
        <v>0</v>
      </c>
      <c r="BD58" s="237">
        <f t="shared" si="241"/>
        <v>0</v>
      </c>
    </row>
    <row r="59" spans="1:56" ht="15">
      <c r="A59" t="s">
        <v>167</v>
      </c>
      <c r="B59" s="259"/>
      <c r="D59" s="346">
        <f t="shared" si="242"/>
        <v>96360</v>
      </c>
      <c r="E59" s="338" t="s">
        <v>219</v>
      </c>
      <c r="F59" s="338"/>
      <c r="G59" s="344">
        <v>3960</v>
      </c>
      <c r="H59" s="345">
        <f>2200*3</f>
        <v>6600</v>
      </c>
      <c r="I59" s="344">
        <f aca="true" t="shared" si="269" ref="I59">2200*3</f>
        <v>6600</v>
      </c>
      <c r="J59" s="344">
        <v>7752</v>
      </c>
      <c r="K59" s="354">
        <v>7382.4</v>
      </c>
      <c r="L59" s="344">
        <v>7017.6</v>
      </c>
      <c r="M59" s="344">
        <f aca="true" t="shared" si="270" ref="M59:S59">2400*3</f>
        <v>7200</v>
      </c>
      <c r="N59" s="344">
        <f t="shared" si="270"/>
        <v>7200</v>
      </c>
      <c r="O59" s="344">
        <f t="shared" si="270"/>
        <v>7200</v>
      </c>
      <c r="P59" s="344">
        <f t="shared" si="270"/>
        <v>7200</v>
      </c>
      <c r="Q59" s="344">
        <f t="shared" si="270"/>
        <v>7200</v>
      </c>
      <c r="R59" s="344">
        <f t="shared" si="270"/>
        <v>7200</v>
      </c>
      <c r="S59" s="344">
        <f t="shared" si="270"/>
        <v>7200</v>
      </c>
      <c r="T59" s="344">
        <v>6648</v>
      </c>
      <c r="U59" s="369">
        <f t="shared" si="246"/>
        <v>96360</v>
      </c>
      <c r="V59" s="300"/>
      <c r="W59" s="300"/>
      <c r="X59" s="254">
        <f t="shared" si="243"/>
        <v>0</v>
      </c>
      <c r="Y59" s="244">
        <f t="shared" si="244"/>
        <v>3960</v>
      </c>
      <c r="Z59" s="244">
        <f t="shared" si="244"/>
        <v>6600</v>
      </c>
      <c r="AA59" s="244">
        <f t="shared" si="244"/>
        <v>6600</v>
      </c>
      <c r="AB59" s="244">
        <f t="shared" si="244"/>
        <v>7752</v>
      </c>
      <c r="AC59" s="244">
        <f t="shared" si="244"/>
        <v>7382.4</v>
      </c>
      <c r="AD59" s="244">
        <f t="shared" si="244"/>
        <v>7017.6</v>
      </c>
      <c r="AE59" s="244">
        <f t="shared" si="244"/>
        <v>7200</v>
      </c>
      <c r="AF59" s="244">
        <f t="shared" si="244"/>
        <v>7200</v>
      </c>
      <c r="AG59" s="244">
        <f t="shared" si="244"/>
        <v>7200</v>
      </c>
      <c r="AH59" s="244">
        <f t="shared" si="244"/>
        <v>7200</v>
      </c>
      <c r="AI59" s="244">
        <f t="shared" si="244"/>
        <v>7200</v>
      </c>
      <c r="AJ59" s="244">
        <f t="shared" si="244"/>
        <v>7200</v>
      </c>
      <c r="AK59" s="244">
        <f t="shared" si="244"/>
        <v>7200</v>
      </c>
      <c r="AL59" s="244">
        <f t="shared" si="244"/>
        <v>6648</v>
      </c>
      <c r="AM59" s="242"/>
      <c r="AN59" s="244">
        <f t="shared" si="247"/>
        <v>0</v>
      </c>
      <c r="AO59" s="244">
        <f t="shared" si="248"/>
        <v>24912</v>
      </c>
      <c r="AP59" s="244">
        <f t="shared" si="248"/>
        <v>0</v>
      </c>
      <c r="AQ59" s="244">
        <f t="shared" si="248"/>
        <v>0</v>
      </c>
      <c r="AR59" s="244">
        <f>IF(AR$51=$E59,SUM(AB59:AE59),0)</f>
        <v>0</v>
      </c>
      <c r="AS59" s="244">
        <v>29991</v>
      </c>
      <c r="AT59" s="244">
        <f>IF(AT$51=$E59,SUM(AD59:AG59),0)</f>
        <v>0</v>
      </c>
      <c r="AU59" s="244">
        <f t="shared" si="268"/>
        <v>0</v>
      </c>
      <c r="AV59" s="244">
        <f t="shared" si="268"/>
        <v>0</v>
      </c>
      <c r="AW59" s="244">
        <f t="shared" si="268"/>
        <v>28800</v>
      </c>
      <c r="AX59" s="244">
        <f>IF(AX$51=$E59,SUM(AH59:AK59),0)</f>
        <v>0</v>
      </c>
      <c r="AY59" s="244">
        <f>IF(AY$51=$E59,SUM(AI59:AL59),0)</f>
        <v>0</v>
      </c>
      <c r="AZ59" s="244">
        <f>IF(AZ$51=$E59,SUM(AJ59:$AL59),0)</f>
        <v>0</v>
      </c>
      <c r="BA59" s="244">
        <f>IF(BA$51=$E59,SUM(AK59:$AL59),0)</f>
        <v>13848</v>
      </c>
      <c r="BB59" s="244">
        <f>IF(BB$51=$E59,SUM(AL59:$AL59),0)</f>
        <v>0</v>
      </c>
      <c r="BD59" s="237">
        <f t="shared" si="241"/>
        <v>-1191</v>
      </c>
    </row>
    <row r="60" spans="1:56" s="300" customFormat="1" ht="15">
      <c r="A60" s="300" t="s">
        <v>167</v>
      </c>
      <c r="B60" s="259"/>
      <c r="D60" s="346">
        <f>2200*12</f>
        <v>26400</v>
      </c>
      <c r="E60" s="338" t="s">
        <v>223</v>
      </c>
      <c r="F60" s="338"/>
      <c r="G60" s="344"/>
      <c r="H60" s="345"/>
      <c r="I60" s="344">
        <v>4922.88</v>
      </c>
      <c r="J60" s="344">
        <v>3897.28</v>
      </c>
      <c r="K60" s="354">
        <v>6153.6</v>
      </c>
      <c r="L60" s="344">
        <v>9016</v>
      </c>
      <c r="M60" s="344"/>
      <c r="N60" s="344"/>
      <c r="O60" s="344"/>
      <c r="P60" s="344"/>
      <c r="Q60" s="344"/>
      <c r="R60" s="344"/>
      <c r="S60" s="344"/>
      <c r="T60" s="344"/>
      <c r="U60" s="369">
        <f t="shared" si="246"/>
        <v>23989.760000000002</v>
      </c>
      <c r="X60" s="254">
        <f aca="true" t="shared" si="271" ref="X60:X61">F60</f>
        <v>0</v>
      </c>
      <c r="Y60" s="305">
        <f aca="true" t="shared" si="272" ref="Y60:Y61">G60</f>
        <v>0</v>
      </c>
      <c r="Z60" s="305">
        <f aca="true" t="shared" si="273" ref="Z60:Z61">H60</f>
        <v>0</v>
      </c>
      <c r="AA60" s="305">
        <f aca="true" t="shared" si="274" ref="AA60:AA61">I60</f>
        <v>4922.88</v>
      </c>
      <c r="AB60" s="305">
        <f aca="true" t="shared" si="275" ref="AB60:AB61">J60</f>
        <v>3897.28</v>
      </c>
      <c r="AC60" s="305">
        <f aca="true" t="shared" si="276" ref="AC60:AC61">K60</f>
        <v>6153.6</v>
      </c>
      <c r="AD60" s="305">
        <f aca="true" t="shared" si="277" ref="AD60:AD61">L60</f>
        <v>9016</v>
      </c>
      <c r="AE60" s="305">
        <f aca="true" t="shared" si="278" ref="AE60:AE61">M60</f>
        <v>0</v>
      </c>
      <c r="AF60" s="305">
        <f aca="true" t="shared" si="279" ref="AF60:AF61">N60</f>
        <v>0</v>
      </c>
      <c r="AG60" s="305">
        <f aca="true" t="shared" si="280" ref="AG60:AG61">O60</f>
        <v>0</v>
      </c>
      <c r="AH60" s="305">
        <f aca="true" t="shared" si="281" ref="AH60:AH61">P60</f>
        <v>0</v>
      </c>
      <c r="AI60" s="305">
        <f aca="true" t="shared" si="282" ref="AI60:AI61">Q60</f>
        <v>0</v>
      </c>
      <c r="AJ60" s="305">
        <f aca="true" t="shared" si="283" ref="AJ60:AJ61">R60</f>
        <v>0</v>
      </c>
      <c r="AK60" s="305">
        <f aca="true" t="shared" si="284" ref="AK60:AK61">S60</f>
        <v>0</v>
      </c>
      <c r="AL60" s="305">
        <f aca="true" t="shared" si="285" ref="AL60:AL61">T60</f>
        <v>0</v>
      </c>
      <c r="AM60" s="242"/>
      <c r="AN60" s="305">
        <f aca="true" t="shared" si="286" ref="AN60:AN61">IF(AN$51=$E60,SUM(X60:AA60),0)</f>
        <v>0</v>
      </c>
      <c r="AO60" s="305">
        <f aca="true" t="shared" si="287" ref="AO60:AO61">IF(AO$51=$E60,SUM(Y60:AB60),0)</f>
        <v>0</v>
      </c>
      <c r="AP60" s="305">
        <f aca="true" t="shared" si="288" ref="AP60:AP61">IF(AP$51=$E60,SUM(Z60:AC60),0)</f>
        <v>0</v>
      </c>
      <c r="AQ60" s="305">
        <v>26400</v>
      </c>
      <c r="AR60" s="305">
        <f aca="true" t="shared" si="289" ref="AR60:AR61">IF(AR$51=$E60,SUM(AB60:AE60),0)</f>
        <v>0</v>
      </c>
      <c r="AS60" s="305">
        <f aca="true" t="shared" si="290" ref="AS60:AS61">IF(AS$51=$E60,SUM(AC60:AF60),0)</f>
        <v>0</v>
      </c>
      <c r="AT60" s="305">
        <f aca="true" t="shared" si="291" ref="AT60:AT61">IF(AT$51=$E60,SUM(AD60:AG60),0)</f>
        <v>0</v>
      </c>
      <c r="AU60" s="305">
        <f aca="true" t="shared" si="292" ref="AU60:AU61">IF(AU$51=$E60,SUM(AE60:AH60),0)</f>
        <v>0</v>
      </c>
      <c r="AV60" s="305">
        <f aca="true" t="shared" si="293" ref="AV60:AV61">IF(AV$51=$E60,SUM(AF60:AI60),0)</f>
        <v>0</v>
      </c>
      <c r="AW60" s="305">
        <f aca="true" t="shared" si="294" ref="AW60:AW61">IF(AW$51=$E60,SUM(AG60:AJ60),0)</f>
        <v>0</v>
      </c>
      <c r="AX60" s="305">
        <f aca="true" t="shared" si="295" ref="AX60:AX61">IF(AX$51=$E60,SUM(AH60:AK60),0)</f>
        <v>0</v>
      </c>
      <c r="AY60" s="305">
        <f aca="true" t="shared" si="296" ref="AY60:AY61">IF(AY$51=$E60,SUM(AI60:AL60),0)</f>
        <v>0</v>
      </c>
      <c r="AZ60" s="305">
        <f>IF(AZ$51=$E60,SUM(AJ60:$AL60),0)</f>
        <v>0</v>
      </c>
      <c r="BA60" s="305">
        <f>IF(BA$51=$E60,SUM(AK60:$AL60),0)</f>
        <v>0</v>
      </c>
      <c r="BB60" s="305">
        <f>IF(BB$51=$E60,SUM(AL60:$AL60),0)</f>
        <v>0</v>
      </c>
      <c r="BD60" s="304"/>
    </row>
    <row r="61" spans="1:56" s="300" customFormat="1" ht="15">
      <c r="A61" s="300" t="s">
        <v>170</v>
      </c>
      <c r="B61" s="259"/>
      <c r="D61" s="346">
        <v>9999</v>
      </c>
      <c r="E61" s="338" t="s">
        <v>191</v>
      </c>
      <c r="F61" s="338"/>
      <c r="G61" s="344"/>
      <c r="H61" s="345"/>
      <c r="I61" s="344" t="s">
        <v>128</v>
      </c>
      <c r="J61" s="344"/>
      <c r="K61" s="354">
        <v>9999</v>
      </c>
      <c r="L61" s="344"/>
      <c r="M61" s="344"/>
      <c r="N61" s="344"/>
      <c r="O61" s="344"/>
      <c r="P61" s="344"/>
      <c r="Q61" s="344"/>
      <c r="R61" s="344"/>
      <c r="S61" s="344"/>
      <c r="T61" s="344"/>
      <c r="U61" s="369">
        <f aca="true" t="shared" si="297" ref="U61">SUM(F61:T61)</f>
        <v>9999</v>
      </c>
      <c r="X61" s="254">
        <f t="shared" si="271"/>
        <v>0</v>
      </c>
      <c r="Y61" s="305">
        <f t="shared" si="272"/>
        <v>0</v>
      </c>
      <c r="Z61" s="305">
        <f t="shared" si="273"/>
        <v>0</v>
      </c>
      <c r="AA61" s="305" t="str">
        <f t="shared" si="274"/>
        <v xml:space="preserve"> </v>
      </c>
      <c r="AB61" s="305">
        <f t="shared" si="275"/>
        <v>0</v>
      </c>
      <c r="AC61" s="305">
        <f t="shared" si="276"/>
        <v>9999</v>
      </c>
      <c r="AD61" s="305">
        <f t="shared" si="277"/>
        <v>0</v>
      </c>
      <c r="AE61" s="305">
        <f t="shared" si="278"/>
        <v>0</v>
      </c>
      <c r="AF61" s="305">
        <f t="shared" si="279"/>
        <v>0</v>
      </c>
      <c r="AG61" s="305">
        <f t="shared" si="280"/>
        <v>0</v>
      </c>
      <c r="AH61" s="305">
        <f t="shared" si="281"/>
        <v>0</v>
      </c>
      <c r="AI61" s="305">
        <f t="shared" si="282"/>
        <v>0</v>
      </c>
      <c r="AJ61" s="305">
        <f t="shared" si="283"/>
        <v>0</v>
      </c>
      <c r="AK61" s="305">
        <f t="shared" si="284"/>
        <v>0</v>
      </c>
      <c r="AL61" s="305">
        <f t="shared" si="285"/>
        <v>0</v>
      </c>
      <c r="AM61" s="242"/>
      <c r="AN61" s="305">
        <f t="shared" si="286"/>
        <v>0</v>
      </c>
      <c r="AO61" s="305">
        <f t="shared" si="287"/>
        <v>0</v>
      </c>
      <c r="AP61" s="305">
        <f t="shared" si="288"/>
        <v>9999</v>
      </c>
      <c r="AQ61" s="305">
        <f aca="true" t="shared" si="298" ref="AQ61">IF(AQ$51=$E61,SUM(AA61:AD61),0)</f>
        <v>0</v>
      </c>
      <c r="AR61" s="305">
        <f t="shared" si="289"/>
        <v>0</v>
      </c>
      <c r="AS61" s="305">
        <f t="shared" si="290"/>
        <v>0</v>
      </c>
      <c r="AT61" s="305">
        <f t="shared" si="291"/>
        <v>0</v>
      </c>
      <c r="AU61" s="305">
        <f t="shared" si="292"/>
        <v>0</v>
      </c>
      <c r="AV61" s="305">
        <f t="shared" si="293"/>
        <v>0</v>
      </c>
      <c r="AW61" s="305">
        <f t="shared" si="294"/>
        <v>0</v>
      </c>
      <c r="AX61" s="305">
        <f t="shared" si="295"/>
        <v>0</v>
      </c>
      <c r="AY61" s="305">
        <f t="shared" si="296"/>
        <v>0</v>
      </c>
      <c r="AZ61" s="305">
        <f>IF(AZ$51=$E61,SUM(AJ61:$AL61),0)</f>
        <v>0</v>
      </c>
      <c r="BA61" s="305">
        <f>IF(BA$51=$E61,SUM(AK61:$AL61),0)</f>
        <v>0</v>
      </c>
      <c r="BB61" s="305">
        <f>IF(BB$51=$E61,SUM(AL61:$AL61),0)</f>
        <v>0</v>
      </c>
      <c r="BD61" s="304"/>
    </row>
    <row r="62" spans="1:56" ht="15">
      <c r="A62" t="s">
        <v>155</v>
      </c>
      <c r="B62" s="248"/>
      <c r="D62" s="346">
        <v>35002.5</v>
      </c>
      <c r="E62" s="338" t="s">
        <v>223</v>
      </c>
      <c r="F62" s="250"/>
      <c r="G62" s="369"/>
      <c r="H62" s="370"/>
      <c r="I62" s="369">
        <v>2010.4</v>
      </c>
      <c r="J62" s="369">
        <v>9046.8</v>
      </c>
      <c r="K62" s="355">
        <v>8616</v>
      </c>
      <c r="L62" s="369">
        <v>8400</v>
      </c>
      <c r="M62" s="369">
        <f>7936-1006.5</f>
        <v>6929.5</v>
      </c>
      <c r="N62" s="369"/>
      <c r="O62" s="369"/>
      <c r="P62" s="369"/>
      <c r="Q62" s="369"/>
      <c r="R62" s="369"/>
      <c r="S62" s="369"/>
      <c r="T62" s="369"/>
      <c r="U62" s="369">
        <f>SUM(F62:T62)</f>
        <v>35002.7</v>
      </c>
      <c r="V62" s="300"/>
      <c r="W62" s="300"/>
      <c r="X62" s="254">
        <f t="shared" si="243"/>
        <v>0</v>
      </c>
      <c r="Y62" s="244">
        <f t="shared" si="244"/>
        <v>0</v>
      </c>
      <c r="Z62" s="244">
        <f t="shared" si="244"/>
        <v>0</v>
      </c>
      <c r="AA62" s="244">
        <f t="shared" si="244"/>
        <v>2010.4</v>
      </c>
      <c r="AB62" s="244">
        <f t="shared" si="244"/>
        <v>9046.8</v>
      </c>
      <c r="AC62" s="244">
        <f t="shared" si="244"/>
        <v>8616</v>
      </c>
      <c r="AD62" s="244">
        <f t="shared" si="244"/>
        <v>8400</v>
      </c>
      <c r="AE62" s="244">
        <f t="shared" si="244"/>
        <v>6929.5</v>
      </c>
      <c r="AF62" s="244">
        <f t="shared" si="244"/>
        <v>0</v>
      </c>
      <c r="AG62" s="244">
        <f t="shared" si="244"/>
        <v>0</v>
      </c>
      <c r="AH62" s="244">
        <f t="shared" si="244"/>
        <v>0</v>
      </c>
      <c r="AI62" s="244">
        <f t="shared" si="244"/>
        <v>0</v>
      </c>
      <c r="AJ62" s="244">
        <f t="shared" si="244"/>
        <v>0</v>
      </c>
      <c r="AK62" s="244">
        <f t="shared" si="244"/>
        <v>0</v>
      </c>
      <c r="AL62" s="244">
        <f t="shared" si="244"/>
        <v>0</v>
      </c>
      <c r="AM62" s="242"/>
      <c r="AN62" s="244">
        <f t="shared" si="247"/>
        <v>0</v>
      </c>
      <c r="AO62" s="244">
        <f>IF(AO$51=$E62,SUM(Y62:AB62),0)</f>
        <v>0</v>
      </c>
      <c r="AP62" s="244">
        <f>IF(AP$51=$E62,SUM(Z62:AC62),0)</f>
        <v>0</v>
      </c>
      <c r="AQ62" s="244">
        <v>35002.5</v>
      </c>
      <c r="AR62" s="244">
        <f aca="true" t="shared" si="299" ref="AR62:AY62">IF(AR$51=$E62,SUM(AB62:AE62),0)</f>
        <v>0</v>
      </c>
      <c r="AS62" s="244">
        <f t="shared" si="299"/>
        <v>0</v>
      </c>
      <c r="AT62" s="244">
        <f t="shared" si="299"/>
        <v>0</v>
      </c>
      <c r="AU62" s="244">
        <f t="shared" si="299"/>
        <v>6929.5</v>
      </c>
      <c r="AV62" s="244">
        <f t="shared" si="299"/>
        <v>0</v>
      </c>
      <c r="AW62" s="244">
        <f t="shared" si="299"/>
        <v>0</v>
      </c>
      <c r="AX62" s="244">
        <f t="shared" si="299"/>
        <v>0</v>
      </c>
      <c r="AY62" s="244">
        <f t="shared" si="299"/>
        <v>0</v>
      </c>
      <c r="AZ62" s="244">
        <f>IF(AZ$51=$E62,SUM(AJ62:$AL62),0)</f>
        <v>0</v>
      </c>
      <c r="BA62" s="244">
        <f>IF(BA$51=$E62,SUM(AK62:$AL62),0)</f>
        <v>0</v>
      </c>
      <c r="BB62" s="244">
        <f>IF(BB$51=$E62,SUM(AL62:$AL62),0)</f>
        <v>0</v>
      </c>
      <c r="BD62" s="237">
        <f t="shared" si="241"/>
        <v>-6929.300000000003</v>
      </c>
    </row>
    <row r="63" spans="5:56" ht="15">
      <c r="E63" s="250"/>
      <c r="F63" s="250"/>
      <c r="G63" s="369"/>
      <c r="H63" s="370"/>
      <c r="I63" s="369"/>
      <c r="J63" s="369"/>
      <c r="K63" s="355"/>
      <c r="L63" s="369"/>
      <c r="M63" s="369"/>
      <c r="N63" s="369"/>
      <c r="O63" s="369"/>
      <c r="P63" s="369"/>
      <c r="Q63" s="369"/>
      <c r="R63" s="369"/>
      <c r="S63" s="369"/>
      <c r="T63" s="369"/>
      <c r="U63" s="369"/>
      <c r="V63" s="300"/>
      <c r="W63" s="300"/>
      <c r="X63" s="241"/>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D63" s="237">
        <f t="shared" si="241"/>
        <v>0</v>
      </c>
    </row>
    <row r="64" spans="1:56" ht="15">
      <c r="A64" s="238" t="s">
        <v>215</v>
      </c>
      <c r="B64" s="238"/>
      <c r="C64" s="238"/>
      <c r="D64" s="238"/>
      <c r="E64" s="250"/>
      <c r="F64" s="250"/>
      <c r="G64" s="369"/>
      <c r="H64" s="370"/>
      <c r="I64" s="369"/>
      <c r="J64" s="369"/>
      <c r="K64" s="355"/>
      <c r="L64" s="369"/>
      <c r="M64" s="369"/>
      <c r="N64" s="369"/>
      <c r="O64" s="369"/>
      <c r="P64" s="369"/>
      <c r="Q64" s="369"/>
      <c r="R64" s="369"/>
      <c r="S64" s="369"/>
      <c r="T64" s="369"/>
      <c r="U64" s="369"/>
      <c r="V64" s="300"/>
      <c r="W64" s="300"/>
      <c r="X64" s="241"/>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D64" s="237">
        <f t="shared" si="241"/>
        <v>0</v>
      </c>
    </row>
    <row r="65" spans="1:56" ht="15">
      <c r="A65" t="s">
        <v>170</v>
      </c>
      <c r="B65" s="259"/>
      <c r="D65" s="236">
        <v>20000</v>
      </c>
      <c r="E65" s="250"/>
      <c r="F65" s="250"/>
      <c r="G65" s="369">
        <v>1267.82</v>
      </c>
      <c r="H65" s="370">
        <v>2800</v>
      </c>
      <c r="I65" s="369">
        <v>4800</v>
      </c>
      <c r="J65" s="369">
        <v>1400</v>
      </c>
      <c r="K65" s="355">
        <v>1400</v>
      </c>
      <c r="L65" s="369">
        <v>1400</v>
      </c>
      <c r="M65" s="369">
        <v>1400</v>
      </c>
      <c r="N65" s="369">
        <v>1400</v>
      </c>
      <c r="O65" s="369">
        <v>1400</v>
      </c>
      <c r="P65" s="369">
        <v>1400</v>
      </c>
      <c r="Q65" s="369">
        <v>1400</v>
      </c>
      <c r="R65" s="369">
        <v>1400</v>
      </c>
      <c r="S65" s="369">
        <v>1400</v>
      </c>
      <c r="T65" s="369">
        <f>1400-68</f>
        <v>1332</v>
      </c>
      <c r="U65" s="369">
        <f t="shared" si="246"/>
        <v>24199.82</v>
      </c>
      <c r="V65" s="300"/>
      <c r="W65" s="300"/>
      <c r="X65" s="254">
        <f aca="true" t="shared" si="300" ref="X65:X66">F65</f>
        <v>0</v>
      </c>
      <c r="Y65" s="244">
        <f aca="true" t="shared" si="301" ref="Y65:Y66">G65</f>
        <v>1267.82</v>
      </c>
      <c r="Z65" s="244">
        <f aca="true" t="shared" si="302" ref="Z65:Z66">H65</f>
        <v>2800</v>
      </c>
      <c r="AA65" s="244">
        <f aca="true" t="shared" si="303" ref="AA65:AA66">I65</f>
        <v>4800</v>
      </c>
      <c r="AB65" s="244">
        <f aca="true" t="shared" si="304" ref="AB65:AB66">J65</f>
        <v>1400</v>
      </c>
      <c r="AC65" s="244">
        <f aca="true" t="shared" si="305" ref="AC65:AC66">K65</f>
        <v>1400</v>
      </c>
      <c r="AD65" s="244">
        <f aca="true" t="shared" si="306" ref="AD65:AD66">L65</f>
        <v>1400</v>
      </c>
      <c r="AE65" s="244">
        <f aca="true" t="shared" si="307" ref="AE65:AE66">M65</f>
        <v>1400</v>
      </c>
      <c r="AF65" s="244">
        <f aca="true" t="shared" si="308" ref="AF65:AF66">N65</f>
        <v>1400</v>
      </c>
      <c r="AG65" s="244">
        <f aca="true" t="shared" si="309" ref="AG65:AG66">O65</f>
        <v>1400</v>
      </c>
      <c r="AH65" s="244">
        <f aca="true" t="shared" si="310" ref="AH65:AH66">P65</f>
        <v>1400</v>
      </c>
      <c r="AI65" s="244">
        <f aca="true" t="shared" si="311" ref="AI65:AI66">Q65</f>
        <v>1400</v>
      </c>
      <c r="AJ65" s="244">
        <f aca="true" t="shared" si="312" ref="AJ65:AJ66">R65</f>
        <v>1400</v>
      </c>
      <c r="AK65" s="244">
        <f aca="true" t="shared" si="313" ref="AK65:AK66">S65</f>
        <v>1400</v>
      </c>
      <c r="AL65" s="244">
        <f aca="true" t="shared" si="314" ref="AL65:AL66">T65</f>
        <v>1332</v>
      </c>
      <c r="AM65" s="242"/>
      <c r="AN65" s="244">
        <f>X65</f>
        <v>0</v>
      </c>
      <c r="AO65" s="244">
        <f aca="true" t="shared" si="315" ref="AO65:BB66">Y65</f>
        <v>1267.82</v>
      </c>
      <c r="AP65" s="244">
        <f t="shared" si="315"/>
        <v>2800</v>
      </c>
      <c r="AQ65" s="244">
        <f t="shared" si="315"/>
        <v>4800</v>
      </c>
      <c r="AR65" s="244">
        <f t="shared" si="315"/>
        <v>1400</v>
      </c>
      <c r="AS65" s="244">
        <f t="shared" si="315"/>
        <v>1400</v>
      </c>
      <c r="AT65" s="244">
        <f t="shared" si="315"/>
        <v>1400</v>
      </c>
      <c r="AU65" s="244">
        <f t="shared" si="315"/>
        <v>1400</v>
      </c>
      <c r="AV65" s="244">
        <f t="shared" si="315"/>
        <v>1400</v>
      </c>
      <c r="AW65" s="244">
        <f t="shared" si="315"/>
        <v>1400</v>
      </c>
      <c r="AX65" s="244">
        <f t="shared" si="315"/>
        <v>1400</v>
      </c>
      <c r="AY65" s="244">
        <f t="shared" si="315"/>
        <v>1400</v>
      </c>
      <c r="AZ65" s="244">
        <f t="shared" si="315"/>
        <v>1400</v>
      </c>
      <c r="BA65" s="244">
        <f t="shared" si="315"/>
        <v>1400</v>
      </c>
      <c r="BB65" s="244">
        <f t="shared" si="315"/>
        <v>1332</v>
      </c>
      <c r="BD65" s="237">
        <f t="shared" si="241"/>
        <v>0</v>
      </c>
    </row>
    <row r="66" spans="1:56" ht="15">
      <c r="A66" t="s">
        <v>168</v>
      </c>
      <c r="B66" s="259"/>
      <c r="D66" s="236">
        <v>35000</v>
      </c>
      <c r="E66" s="250"/>
      <c r="F66" s="250"/>
      <c r="G66" s="369">
        <v>0</v>
      </c>
      <c r="H66" s="369">
        <v>573.21</v>
      </c>
      <c r="I66" s="369">
        <v>2945.3</v>
      </c>
      <c r="J66" s="369">
        <v>3000</v>
      </c>
      <c r="K66" s="355">
        <v>7500</v>
      </c>
      <c r="L66" s="369">
        <v>2500</v>
      </c>
      <c r="M66" s="369">
        <v>2500</v>
      </c>
      <c r="N66" s="369">
        <v>2500</v>
      </c>
      <c r="O66" s="369">
        <v>2500</v>
      </c>
      <c r="P66" s="369">
        <v>2500</v>
      </c>
      <c r="Q66" s="369">
        <v>2500</v>
      </c>
      <c r="R66" s="369">
        <v>2500</v>
      </c>
      <c r="S66" s="369">
        <v>2500</v>
      </c>
      <c r="T66" s="369">
        <f>2500+5481-500</f>
        <v>7481</v>
      </c>
      <c r="U66" s="369">
        <f t="shared" si="246"/>
        <v>41499.51</v>
      </c>
      <c r="V66" s="300"/>
      <c r="W66" s="300"/>
      <c r="X66" s="254">
        <f t="shared" si="300"/>
        <v>0</v>
      </c>
      <c r="Y66" s="244">
        <f t="shared" si="301"/>
        <v>0</v>
      </c>
      <c r="Z66" s="244">
        <f t="shared" si="302"/>
        <v>573.21</v>
      </c>
      <c r="AA66" s="244">
        <f t="shared" si="303"/>
        <v>2945.3</v>
      </c>
      <c r="AB66" s="244">
        <f t="shared" si="304"/>
        <v>3000</v>
      </c>
      <c r="AC66" s="244">
        <f t="shared" si="305"/>
        <v>7500</v>
      </c>
      <c r="AD66" s="244">
        <f t="shared" si="306"/>
        <v>2500</v>
      </c>
      <c r="AE66" s="244">
        <f t="shared" si="307"/>
        <v>2500</v>
      </c>
      <c r="AF66" s="244">
        <f t="shared" si="308"/>
        <v>2500</v>
      </c>
      <c r="AG66" s="244">
        <f t="shared" si="309"/>
        <v>2500</v>
      </c>
      <c r="AH66" s="244">
        <f t="shared" si="310"/>
        <v>2500</v>
      </c>
      <c r="AI66" s="244">
        <f t="shared" si="311"/>
        <v>2500</v>
      </c>
      <c r="AJ66" s="244">
        <f t="shared" si="312"/>
        <v>2500</v>
      </c>
      <c r="AK66" s="244">
        <f t="shared" si="313"/>
        <v>2500</v>
      </c>
      <c r="AL66" s="244">
        <f t="shared" si="314"/>
        <v>7481</v>
      </c>
      <c r="AM66" s="242"/>
      <c r="AN66" s="244">
        <f>X66</f>
        <v>0</v>
      </c>
      <c r="AO66" s="244">
        <f t="shared" si="315"/>
        <v>0</v>
      </c>
      <c r="AP66" s="244">
        <f t="shared" si="315"/>
        <v>573.21</v>
      </c>
      <c r="AQ66" s="244">
        <f t="shared" si="315"/>
        <v>2945.3</v>
      </c>
      <c r="AR66" s="244">
        <f t="shared" si="315"/>
        <v>3000</v>
      </c>
      <c r="AS66" s="244">
        <f t="shared" si="315"/>
        <v>7500</v>
      </c>
      <c r="AT66" s="244">
        <f t="shared" si="315"/>
        <v>2500</v>
      </c>
      <c r="AU66" s="244">
        <f t="shared" si="315"/>
        <v>2500</v>
      </c>
      <c r="AV66" s="244">
        <f t="shared" si="315"/>
        <v>2500</v>
      </c>
      <c r="AW66" s="244">
        <f t="shared" si="315"/>
        <v>2500</v>
      </c>
      <c r="AX66" s="244">
        <f t="shared" si="315"/>
        <v>2500</v>
      </c>
      <c r="AY66" s="244">
        <f t="shared" si="315"/>
        <v>2500</v>
      </c>
      <c r="AZ66" s="244">
        <f t="shared" si="315"/>
        <v>2500</v>
      </c>
      <c r="BA66" s="244">
        <f t="shared" si="315"/>
        <v>2500</v>
      </c>
      <c r="BB66" s="244">
        <f t="shared" si="315"/>
        <v>7481</v>
      </c>
      <c r="BD66" s="237">
        <f t="shared" si="241"/>
        <v>0</v>
      </c>
    </row>
    <row r="67" spans="1:38" s="250" customFormat="1" ht="15">
      <c r="A67" s="251"/>
      <c r="D67" s="252"/>
      <c r="H67" s="323"/>
      <c r="K67" s="352"/>
      <c r="U67" s="253"/>
      <c r="V67" s="300"/>
      <c r="W67" s="300"/>
      <c r="X67" s="247"/>
      <c r="Y67" s="247"/>
      <c r="Z67" s="247"/>
      <c r="AA67" s="247"/>
      <c r="AB67" s="247"/>
      <c r="AC67" s="247"/>
      <c r="AD67" s="247"/>
      <c r="AE67" s="247"/>
      <c r="AF67" s="247"/>
      <c r="AG67" s="247"/>
      <c r="AH67" s="247"/>
      <c r="AI67" s="247"/>
      <c r="AJ67" s="247"/>
      <c r="AK67" s="247"/>
      <c r="AL67" s="247"/>
    </row>
    <row r="68" spans="2:24" ht="15">
      <c r="B68" s="241"/>
      <c r="D68" s="254">
        <f>SUM(D4:D66)</f>
        <v>22880235.08</v>
      </c>
      <c r="E68" s="258"/>
      <c r="F68" s="258"/>
      <c r="G68" s="258"/>
      <c r="H68" s="323"/>
      <c r="I68" s="258"/>
      <c r="J68" s="258"/>
      <c r="K68" s="356"/>
      <c r="L68" s="258"/>
      <c r="M68" s="258"/>
      <c r="N68" s="258"/>
      <c r="O68" s="258"/>
      <c r="P68" s="258"/>
      <c r="Q68" s="258"/>
      <c r="R68" s="258"/>
      <c r="S68" s="250"/>
      <c r="T68" s="258"/>
      <c r="U68" s="258"/>
      <c r="V68" s="300"/>
      <c r="W68" s="300"/>
      <c r="X68" s="237" t="s">
        <v>128</v>
      </c>
    </row>
    <row r="69" spans="4:24" ht="15">
      <c r="D69" s="257"/>
      <c r="E69" s="258"/>
      <c r="F69" s="258"/>
      <c r="G69" s="258"/>
      <c r="H69" s="323"/>
      <c r="I69" s="258"/>
      <c r="J69" s="258"/>
      <c r="K69" s="258"/>
      <c r="L69" s="258"/>
      <c r="M69" s="258"/>
      <c r="N69" s="258"/>
      <c r="O69" s="258"/>
      <c r="P69" s="258"/>
      <c r="Q69" s="258"/>
      <c r="R69" s="258"/>
      <c r="S69" s="258"/>
      <c r="T69" s="258"/>
      <c r="U69" s="258"/>
      <c r="V69" s="300"/>
      <c r="W69" s="300"/>
      <c r="X69" s="237"/>
    </row>
    <row r="70" spans="1:12" ht="15">
      <c r="A70" s="300" t="s">
        <v>152</v>
      </c>
      <c r="B70" s="417"/>
      <c r="C70" s="417"/>
      <c r="D70" s="236">
        <f>SUMIF($A$4:$A$67,"="&amp;A70,$D$4:$D$67)</f>
        <v>8900031.6614</v>
      </c>
      <c r="E70" s="250"/>
      <c r="F70" s="250"/>
      <c r="G70" s="250"/>
      <c r="H70" s="323"/>
      <c r="I70" s="250"/>
      <c r="J70" s="250"/>
      <c r="K70" s="250"/>
      <c r="L70" s="250"/>
    </row>
    <row r="71" spans="1:12" ht="15">
      <c r="A71" s="300" t="s">
        <v>153</v>
      </c>
      <c r="B71" s="417"/>
      <c r="C71" s="417"/>
      <c r="D71" s="236">
        <f>SUMIF($A$4:$A$67,"="&amp;A71,$D$4:$D$67)</f>
        <v>3000000</v>
      </c>
      <c r="E71" s="250"/>
      <c r="F71" s="250"/>
      <c r="G71" s="250"/>
      <c r="H71" s="323"/>
      <c r="I71" s="250"/>
      <c r="J71" s="250"/>
      <c r="K71" s="250"/>
      <c r="L71" s="250"/>
    </row>
    <row r="72" spans="1:12" ht="15">
      <c r="A72" s="300" t="s">
        <v>155</v>
      </c>
      <c r="B72" s="417"/>
      <c r="C72" s="417"/>
      <c r="D72" s="236">
        <f>SUMIF($A$4:$A$67,"="&amp;A72,$D$4:$D$67)</f>
        <v>4235002.5</v>
      </c>
      <c r="E72" s="250"/>
      <c r="F72" s="250"/>
      <c r="G72" s="250"/>
      <c r="H72" s="323"/>
      <c r="I72" s="250"/>
      <c r="J72" s="250"/>
      <c r="K72" s="250"/>
      <c r="L72" s="250"/>
    </row>
    <row r="73" spans="1:12" ht="15">
      <c r="A73" s="300" t="s">
        <v>156</v>
      </c>
      <c r="B73" s="417"/>
      <c r="C73" s="417"/>
      <c r="D73" s="236">
        <f>SUMIF($A$4:$A$67,"="&amp;A73,$D$4:$D$67)</f>
        <v>1865860.6086</v>
      </c>
      <c r="E73" s="250"/>
      <c r="F73" s="250"/>
      <c r="G73" s="250"/>
      <c r="H73" s="323"/>
      <c r="I73" s="250"/>
      <c r="J73" s="250"/>
      <c r="K73" s="250"/>
      <c r="L73" s="250"/>
    </row>
    <row r="74" spans="1:12" ht="15">
      <c r="A74" s="300" t="s">
        <v>157</v>
      </c>
      <c r="B74" s="417"/>
      <c r="C74" s="417"/>
      <c r="D74" s="236">
        <f>SUMIF($A$4:$A$67,"="&amp;A74,$D$4:$D$67)</f>
        <v>180981.2</v>
      </c>
      <c r="E74" s="250"/>
      <c r="F74" s="250"/>
      <c r="G74" s="250"/>
      <c r="H74" s="323"/>
      <c r="I74" s="250"/>
      <c r="J74" s="250"/>
      <c r="K74" s="250"/>
      <c r="L74" s="250"/>
    </row>
    <row r="75" spans="2:12" s="300" customFormat="1" ht="15">
      <c r="B75" s="309"/>
      <c r="C75" s="309"/>
      <c r="D75" s="310">
        <f>SUM(D70:D74)</f>
        <v>18181875.97</v>
      </c>
      <c r="E75" s="371">
        <f>'QFR - B'!G14</f>
        <v>19300000</v>
      </c>
      <c r="F75" s="247">
        <f>E75-D75</f>
        <v>1118124.0300000012</v>
      </c>
      <c r="G75" s="250"/>
      <c r="H75" s="323"/>
      <c r="I75" s="250"/>
      <c r="J75" s="250"/>
      <c r="K75" s="250"/>
      <c r="L75" s="250"/>
    </row>
    <row r="76" spans="1:12" ht="15">
      <c r="A76" s="300" t="s">
        <v>159</v>
      </c>
      <c r="B76" s="417"/>
      <c r="C76" s="417"/>
      <c r="D76" s="236">
        <f>SUMIF($A$4:$A$67,"="&amp;A76,$D$4:$D$67)</f>
        <v>666500</v>
      </c>
      <c r="E76" s="250"/>
      <c r="F76" s="250"/>
      <c r="G76" s="250"/>
      <c r="H76" s="323"/>
      <c r="I76" s="250"/>
      <c r="J76" s="250"/>
      <c r="K76" s="250"/>
      <c r="L76" s="250"/>
    </row>
    <row r="77" spans="2:12" s="300" customFormat="1" ht="15">
      <c r="B77" s="309"/>
      <c r="C77" s="309"/>
      <c r="D77" s="311">
        <f>D76</f>
        <v>666500</v>
      </c>
      <c r="E77" s="371">
        <f>'QFR - B'!G20</f>
        <v>800000</v>
      </c>
      <c r="F77" s="247">
        <f>E77-D77</f>
        <v>133500</v>
      </c>
      <c r="G77" s="250"/>
      <c r="H77" s="323"/>
      <c r="I77" s="250"/>
      <c r="J77" s="250"/>
      <c r="K77" s="250"/>
      <c r="L77" s="250"/>
    </row>
    <row r="78" spans="1:12" ht="15">
      <c r="A78" s="300" t="s">
        <v>160</v>
      </c>
      <c r="B78" s="417"/>
      <c r="C78" s="417"/>
      <c r="D78" s="236">
        <f>SUMIF($A$4:$A$67,"="&amp;A78,$D$4:$D$67)</f>
        <v>748668.35</v>
      </c>
      <c r="E78" s="250"/>
      <c r="F78" s="250"/>
      <c r="G78" s="250"/>
      <c r="H78" s="323"/>
      <c r="I78" s="250"/>
      <c r="J78" s="250"/>
      <c r="K78" s="250"/>
      <c r="L78" s="250"/>
    </row>
    <row r="79" spans="1:12" ht="15">
      <c r="A79" s="300" t="s">
        <v>161</v>
      </c>
      <c r="B79" s="417"/>
      <c r="C79" s="417"/>
      <c r="D79" s="236">
        <f>SUMIF($A$4:$A$67,"="&amp;A79,$D$4:$D$67)</f>
        <v>1930229</v>
      </c>
      <c r="E79" s="250"/>
      <c r="F79" s="250"/>
      <c r="G79" s="250"/>
      <c r="H79" s="323"/>
      <c r="I79" s="250"/>
      <c r="J79" s="250"/>
      <c r="K79" s="250"/>
      <c r="L79" s="250"/>
    </row>
    <row r="80" spans="2:12" s="300" customFormat="1" ht="15">
      <c r="B80" s="309"/>
      <c r="C80" s="309"/>
      <c r="D80" s="311">
        <f>SUM(D78:D79)</f>
        <v>2678897.35</v>
      </c>
      <c r="E80" s="371">
        <f>'QFR - B'!G21</f>
        <v>3600000</v>
      </c>
      <c r="F80" s="247">
        <f>E80-D80</f>
        <v>921102.6499999999</v>
      </c>
      <c r="G80" s="250"/>
      <c r="H80" s="323"/>
      <c r="I80" s="250"/>
      <c r="J80" s="250"/>
      <c r="K80" s="250"/>
      <c r="L80" s="250"/>
    </row>
    <row r="81" spans="1:12" ht="15">
      <c r="A81" s="300" t="s">
        <v>163</v>
      </c>
      <c r="B81" s="417"/>
      <c r="C81" s="417"/>
      <c r="D81" s="236">
        <f>SUMIF($A$4:$A$67,"="&amp;A81,$D$4:$D$67)</f>
        <v>493500</v>
      </c>
      <c r="E81" s="250"/>
      <c r="F81" s="250"/>
      <c r="G81" s="250"/>
      <c r="H81" s="323"/>
      <c r="I81" s="250"/>
      <c r="J81" s="250"/>
      <c r="K81" s="250"/>
      <c r="L81" s="250"/>
    </row>
    <row r="82" spans="1:12" ht="15">
      <c r="A82" s="300" t="s">
        <v>164</v>
      </c>
      <c r="B82" s="417"/>
      <c r="C82" s="417"/>
      <c r="D82" s="236">
        <f>SUMIF($A$4:$A$67,"="&amp;A82,$D$4:$D$67)</f>
        <v>0</v>
      </c>
      <c r="E82" s="250"/>
      <c r="F82" s="250"/>
      <c r="G82" s="250"/>
      <c r="H82" s="323"/>
      <c r="I82" s="250"/>
      <c r="J82" s="250"/>
      <c r="K82" s="250"/>
      <c r="L82" s="250"/>
    </row>
    <row r="83" spans="1:12" ht="15">
      <c r="A83" s="300" t="s">
        <v>165</v>
      </c>
      <c r="B83" s="417"/>
      <c r="C83" s="417"/>
      <c r="D83" s="236">
        <f>SUMIF($A$4:$A$67,"="&amp;A83,$D$4:$D$67)</f>
        <v>180000</v>
      </c>
      <c r="E83" s="250"/>
      <c r="F83" s="250"/>
      <c r="G83" s="250"/>
      <c r="H83" s="323"/>
      <c r="I83" s="250"/>
      <c r="J83" s="250"/>
      <c r="K83" s="250"/>
      <c r="L83" s="250"/>
    </row>
    <row r="84" spans="1:12" ht="15">
      <c r="A84" s="300" t="s">
        <v>166</v>
      </c>
      <c r="B84" s="417"/>
      <c r="C84" s="417"/>
      <c r="D84" s="236">
        <f>SUMIF($A$4:$A$67,"="&amp;A84,$D$4:$D$67)</f>
        <v>1000</v>
      </c>
      <c r="E84" s="250"/>
      <c r="F84" s="250"/>
      <c r="G84" s="250"/>
      <c r="H84" s="323"/>
      <c r="I84" s="250"/>
      <c r="J84" s="250"/>
      <c r="K84" s="250"/>
      <c r="L84" s="250"/>
    </row>
    <row r="85" spans="2:12" s="300" customFormat="1" ht="15">
      <c r="B85" s="309"/>
      <c r="C85" s="309"/>
      <c r="D85" s="311">
        <f>SUM(D81:D84)</f>
        <v>674500</v>
      </c>
      <c r="E85" s="371">
        <f>'QFR - B'!G24</f>
        <v>1700000</v>
      </c>
      <c r="F85" s="247">
        <f>E85-D85</f>
        <v>1025500</v>
      </c>
      <c r="G85" s="250"/>
      <c r="H85" s="323"/>
      <c r="I85" s="250"/>
      <c r="J85" s="250"/>
      <c r="K85" s="250"/>
      <c r="L85" s="250"/>
    </row>
    <row r="86" spans="1:12" ht="15">
      <c r="A86" s="300" t="s">
        <v>167</v>
      </c>
      <c r="B86" s="417"/>
      <c r="C86" s="417"/>
      <c r="D86" s="236">
        <f>SUMIF($A$4:$A$67,"="&amp;A86,$D$4:$D$67)</f>
        <v>500001.12</v>
      </c>
      <c r="E86" s="250"/>
      <c r="F86" s="250"/>
      <c r="G86" s="250"/>
      <c r="H86" s="323"/>
      <c r="I86" s="250"/>
      <c r="J86" s="250"/>
      <c r="K86" s="250"/>
      <c r="L86" s="250"/>
    </row>
    <row r="87" spans="1:12" ht="15">
      <c r="A87" s="300" t="s">
        <v>168</v>
      </c>
      <c r="B87" s="417"/>
      <c r="C87" s="417"/>
      <c r="D87" s="236">
        <f>SUMIF($A$4:$A$67,"="&amp;A87,$D$4:$D$67)</f>
        <v>35000</v>
      </c>
      <c r="E87" s="250"/>
      <c r="F87" s="250"/>
      <c r="G87" s="250"/>
      <c r="H87" s="323"/>
      <c r="I87" s="250"/>
      <c r="J87" s="250"/>
      <c r="K87" s="250"/>
      <c r="L87" s="250"/>
    </row>
    <row r="88" spans="1:12" ht="15">
      <c r="A88" s="300" t="s">
        <v>169</v>
      </c>
      <c r="B88" s="417"/>
      <c r="C88" s="417"/>
      <c r="D88" s="236">
        <f>SUMIF($A$4:$A$67,"="&amp;A88,$D$4:$D$67)</f>
        <v>90000</v>
      </c>
      <c r="E88" s="250"/>
      <c r="F88" s="250"/>
      <c r="G88" s="250"/>
      <c r="H88" s="323"/>
      <c r="I88" s="250"/>
      <c r="J88" s="250"/>
      <c r="K88" s="250"/>
      <c r="L88" s="250"/>
    </row>
    <row r="89" spans="1:12" ht="15">
      <c r="A89" s="300" t="s">
        <v>170</v>
      </c>
      <c r="B89" s="417"/>
      <c r="C89" s="417"/>
      <c r="D89" s="236">
        <f>SUMIF($A$4:$A$67,"="&amp;A89,$D$4:$D$67)</f>
        <v>41499</v>
      </c>
      <c r="E89" s="250"/>
      <c r="F89" s="250"/>
      <c r="G89" s="250"/>
      <c r="H89" s="323"/>
      <c r="I89" s="250"/>
      <c r="J89" s="250"/>
      <c r="K89" s="250"/>
      <c r="L89" s="250"/>
    </row>
    <row r="90" spans="2:12" s="300" customFormat="1" ht="15">
      <c r="B90" s="309"/>
      <c r="C90" s="309"/>
      <c r="D90" s="311">
        <f>SUM(D86:D89)</f>
        <v>666500.12</v>
      </c>
      <c r="E90" s="371">
        <f>'QFR - B'!G27</f>
        <v>800000</v>
      </c>
      <c r="F90" s="247">
        <f>E90-D90</f>
        <v>133499.88</v>
      </c>
      <c r="G90" s="250"/>
      <c r="H90" s="323"/>
      <c r="I90" s="250"/>
      <c r="J90" s="250"/>
      <c r="K90" s="250"/>
      <c r="L90" s="250"/>
    </row>
    <row r="91" ht="15">
      <c r="A91" s="300"/>
    </row>
    <row r="92" ht="15">
      <c r="A92" s="300"/>
    </row>
  </sheetData>
  <autoFilter ref="A3:BD90"/>
  <mergeCells count="16">
    <mergeCell ref="B89:C89"/>
    <mergeCell ref="B82:C82"/>
    <mergeCell ref="B83:C83"/>
    <mergeCell ref="B84:C84"/>
    <mergeCell ref="B86:C86"/>
    <mergeCell ref="B87:C87"/>
    <mergeCell ref="B76:C76"/>
    <mergeCell ref="B78:C78"/>
    <mergeCell ref="B79:C79"/>
    <mergeCell ref="B81:C81"/>
    <mergeCell ref="B88:C88"/>
    <mergeCell ref="B70:C70"/>
    <mergeCell ref="B71:C71"/>
    <mergeCell ref="B72:C72"/>
    <mergeCell ref="B73:C73"/>
    <mergeCell ref="B74:C74"/>
  </mergeCells>
  <printOptions/>
  <pageMargins left="0.7" right="0.7" top="0.75" bottom="0.75" header="0.3" footer="0.3"/>
  <pageSetup horizontalDpi="600" verticalDpi="600" orientation="landscape"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topLeftCell="A1">
      <selection activeCell="B5" sqref="B5"/>
    </sheetView>
  </sheetViews>
  <sheetFormatPr defaultColWidth="8.8515625" defaultRowHeight="15"/>
  <cols>
    <col min="1" max="1" width="47.00390625" style="0" customWidth="1"/>
    <col min="2" max="2" width="11.140625" style="0" customWidth="1"/>
    <col min="3" max="10" width="4.8515625" style="0" customWidth="1"/>
    <col min="11" max="19" width="4.8515625" style="300" customWidth="1"/>
  </cols>
  <sheetData>
    <row r="1" ht="15">
      <c r="A1" s="300"/>
    </row>
    <row r="2" spans="1:2" ht="15">
      <c r="A2" s="189" t="s">
        <v>102</v>
      </c>
      <c r="B2" t="s">
        <v>259</v>
      </c>
    </row>
    <row r="3" spans="1:12" ht="15">
      <c r="A3" s="43"/>
      <c r="B3" t="s">
        <v>258</v>
      </c>
      <c r="D3" t="s">
        <v>257</v>
      </c>
      <c r="L3" s="300" t="s">
        <v>257</v>
      </c>
    </row>
    <row r="4" ht="15">
      <c r="A4" s="45" t="s">
        <v>83</v>
      </c>
    </row>
    <row r="5" spans="1:19" ht="15">
      <c r="A5" s="50" t="s">
        <v>84</v>
      </c>
      <c r="B5" s="255" t="str">
        <f>IF('DFP-Com'!S15-'DFP-CASH'!S17=0,"ok","error")</f>
        <v>error</v>
      </c>
      <c r="C5" t="str">
        <f>IF(SUM('DFP-CASH'!$C17:C17)&gt;SUM('DFP-Com'!$C15:D15),"error","ok")</f>
        <v>ok</v>
      </c>
      <c r="D5" s="300" t="str">
        <f>IF(SUM('DFP-CASH'!$C17:E17)&gt;SUM('DFP-Com'!$C15:E15),"error","ok")</f>
        <v>ok</v>
      </c>
      <c r="E5" s="300" t="str">
        <f>IF(SUM('DFP-CASH'!$C17:F17)&gt;SUM('DFP-Com'!$C15:F15),"error","ok")</f>
        <v>ok</v>
      </c>
      <c r="F5" s="300" t="str">
        <f>IF(SUM('DFP-CASH'!$C17:G17)&gt;SUM('DFP-Com'!$C15:G15),"error","ok")</f>
        <v>ok</v>
      </c>
      <c r="G5" s="300" t="str">
        <f>IF(SUM('DFP-CASH'!$C17:G17)&gt;SUM('DFP-Com'!$C15:G15),"error","ok")</f>
        <v>ok</v>
      </c>
      <c r="H5" s="300" t="str">
        <f>IF(SUM('DFP-CASH'!$C17:G17)&gt;SUM('DFP-Com'!$C15:G15),"error","ok")</f>
        <v>ok</v>
      </c>
      <c r="I5" s="300" t="str">
        <f>IF(SUM('DFP-CASH'!$C17:G17)&gt;SUM('DFP-Com'!$C15:G15),"error","ok")</f>
        <v>ok</v>
      </c>
      <c r="J5" s="300" t="str">
        <f>IF(SUM('DFP-CASH'!$C17:G17)&gt;SUM('DFP-Com'!$C15:G15),"error","ok")</f>
        <v>ok</v>
      </c>
      <c r="K5" s="300" t="str">
        <f>IF(SUM('DFP-CASH'!$C17:H17)&gt;SUM('DFP-Com'!$C15:H15),"error","ok")</f>
        <v>ok</v>
      </c>
      <c r="L5" s="300" t="str">
        <f>IF(SUM('DFP-CASH'!$C17:I17)&gt;SUM('DFP-Com'!$C15:I15),"error","ok")</f>
        <v>ok</v>
      </c>
      <c r="M5" s="300" t="str">
        <f>IF(SUM('DFP-CASH'!$C17:J17)&gt;SUM('DFP-Com'!$C15:J15),"error","ok")</f>
        <v>ok</v>
      </c>
      <c r="N5" s="300" t="str">
        <f>IF(SUM('DFP-CASH'!$C17:K17)&gt;SUM('DFP-Com'!$C15:K15),"error","ok")</f>
        <v>ok</v>
      </c>
      <c r="O5" s="300" t="str">
        <f>IF(SUM('DFP-CASH'!$C17:L17)&gt;SUM('DFP-Com'!$C15:L15),"error","ok")</f>
        <v>ok</v>
      </c>
      <c r="P5" s="300" t="str">
        <f>IF(SUM('DFP-CASH'!$C17:M17)&gt;SUM('DFP-Com'!$C15:M15),"error","ok")</f>
        <v>ok</v>
      </c>
      <c r="Q5" s="300" t="str">
        <f>IF(SUM('DFP-CASH'!$C17:N17)&gt;SUM('DFP-Com'!$C15:N15),"error","ok")</f>
        <v>ok</v>
      </c>
      <c r="R5" s="300" t="str">
        <f>IF(SUM('DFP-CASH'!$C17:O17)&gt;SUM('DFP-Com'!$C15:O15),"error","ok")</f>
        <v>ok</v>
      </c>
      <c r="S5" s="300" t="str">
        <f>IF(SUM('DFP-CASH'!$C17:P17)&gt;SUM('DFP-Com'!$C15:P15),"error","ok")</f>
        <v>ok</v>
      </c>
    </row>
    <row r="6" spans="1:19" ht="15">
      <c r="A6" s="202" t="s">
        <v>122</v>
      </c>
      <c r="B6" s="255" t="str">
        <f>IF('DFP-Com'!S16-'DFP-CASH'!S18=0,"ok","error")</f>
        <v>error</v>
      </c>
      <c r="C6" s="300" t="str">
        <f>IF(SUM('DFP-CASH'!$C18:C18)&gt;SUM('DFP-Com'!$C16:D16),"error","ok")</f>
        <v>ok</v>
      </c>
      <c r="D6" s="300" t="str">
        <f>IF(SUM('DFP-CASH'!$C18:E18)&gt;SUM('DFP-Com'!$C16:E16),"error","ok")</f>
        <v>ok</v>
      </c>
      <c r="E6" s="300" t="str">
        <f>IF(SUM('DFP-CASH'!$C18:F18)&gt;SUM('DFP-Com'!$C16:F16),"error","ok")</f>
        <v>ok</v>
      </c>
      <c r="F6" s="300" t="str">
        <f>IF(SUM('DFP-CASH'!$C18:G18)&gt;SUM('DFP-Com'!$C16:G16),"error","ok")</f>
        <v>ok</v>
      </c>
      <c r="G6" s="300" t="str">
        <f>IF(SUM('DFP-CASH'!$C18:G18)&gt;SUM('DFP-Com'!$C16:G16),"error","ok")</f>
        <v>ok</v>
      </c>
      <c r="H6" s="300" t="str">
        <f>IF(SUM('DFP-CASH'!$C18:G18)&gt;SUM('DFP-Com'!$C16:G16),"error","ok")</f>
        <v>ok</v>
      </c>
      <c r="I6" s="300" t="str">
        <f>IF(SUM('DFP-CASH'!$C18:G18)&gt;SUM('DFP-Com'!$C16:G16),"error","ok")</f>
        <v>ok</v>
      </c>
      <c r="J6" s="300" t="str">
        <f>IF(SUM('DFP-CASH'!$C18:G18)&gt;SUM('DFP-Com'!$C16:G16),"error","ok")</f>
        <v>ok</v>
      </c>
      <c r="K6" s="300" t="str">
        <f>IF(SUM('DFP-CASH'!$C18:H18)&gt;SUM('DFP-Com'!$C16:H16),"error","ok")</f>
        <v>ok</v>
      </c>
      <c r="L6" s="300" t="str">
        <f>IF(SUM('DFP-CASH'!$C18:I18)&gt;SUM('DFP-Com'!$C16:I16),"error","ok")</f>
        <v>ok</v>
      </c>
      <c r="M6" s="300" t="str">
        <f>IF(SUM('DFP-CASH'!$C18:J18)&gt;SUM('DFP-Com'!$C16:J16),"error","ok")</f>
        <v>ok</v>
      </c>
      <c r="N6" s="300" t="str">
        <f>IF(SUM('DFP-CASH'!$C18:K18)&gt;SUM('DFP-Com'!$C16:K16),"error","ok")</f>
        <v>ok</v>
      </c>
      <c r="O6" s="300" t="str">
        <f>IF(SUM('DFP-CASH'!$C18:L18)&gt;SUM('DFP-Com'!$C16:L16),"error","ok")</f>
        <v>ok</v>
      </c>
      <c r="P6" s="300" t="str">
        <f>IF(SUM('DFP-CASH'!$C18:M18)&gt;SUM('DFP-Com'!$C16:M16),"error","ok")</f>
        <v>ok</v>
      </c>
      <c r="Q6" s="300" t="str">
        <f>IF(SUM('DFP-CASH'!$C18:N18)&gt;SUM('DFP-Com'!$C16:N16),"error","ok")</f>
        <v>ok</v>
      </c>
      <c r="R6" s="300" t="str">
        <f>IF(SUM('DFP-CASH'!$C18:O18)&gt;SUM('DFP-Com'!$C16:O16),"error","ok")</f>
        <v>ok</v>
      </c>
      <c r="S6" s="300" t="str">
        <f>IF(SUM('DFP-CASH'!$C18:P18)&gt;SUM('DFP-Com'!$C16:P16),"error","ok")</f>
        <v>ok</v>
      </c>
    </row>
    <row r="7" spans="1:19" ht="15">
      <c r="A7" s="202" t="s">
        <v>123</v>
      </c>
      <c r="B7" s="255" t="str">
        <f>IF('DFP-Com'!S17-'DFP-CASH'!S19=0,"ok","error")</f>
        <v>ok</v>
      </c>
      <c r="C7" s="300" t="str">
        <f>IF(SUM('DFP-CASH'!$C19:C19)&gt;SUM('DFP-Com'!$C17:D17),"error","ok")</f>
        <v>ok</v>
      </c>
      <c r="D7" s="300" t="str">
        <f>IF(SUM('DFP-CASH'!$C19:E19)&gt;SUM('DFP-Com'!$C17:E17),"error","ok")</f>
        <v>ok</v>
      </c>
      <c r="E7" s="300" t="str">
        <f>IF(SUM('DFP-CASH'!$C19:F19)&gt;SUM('DFP-Com'!$C17:F17),"error","ok")</f>
        <v>ok</v>
      </c>
      <c r="F7" s="300" t="str">
        <f>IF(SUM('DFP-CASH'!$C19:G19)&gt;SUM('DFP-Com'!$C17:G17),"error","ok")</f>
        <v>ok</v>
      </c>
      <c r="G7" s="300" t="str">
        <f>IF(SUM('DFP-CASH'!$C19:G19)&gt;SUM('DFP-Com'!$C17:G17),"error","ok")</f>
        <v>ok</v>
      </c>
      <c r="H7" s="300" t="str">
        <f>IF(SUM('DFP-CASH'!$C19:G19)&gt;SUM('DFP-Com'!$C17:G17),"error","ok")</f>
        <v>ok</v>
      </c>
      <c r="I7" s="300" t="str">
        <f>IF(SUM('DFP-CASH'!$C19:G19)&gt;SUM('DFP-Com'!$C17:G17),"error","ok")</f>
        <v>ok</v>
      </c>
      <c r="J7" s="300" t="str">
        <f>IF(SUM('DFP-CASH'!$C19:G19)&gt;SUM('DFP-Com'!$C17:G17),"error","ok")</f>
        <v>ok</v>
      </c>
      <c r="K7" s="300" t="str">
        <f>IF(SUM('DFP-CASH'!$C19:H19)&gt;SUM('DFP-Com'!$C17:H17),"error","ok")</f>
        <v>ok</v>
      </c>
      <c r="L7" s="300" t="str">
        <f>IF(SUM('DFP-CASH'!$C19:I19)&gt;SUM('DFP-Com'!$C17:I17),"error","ok")</f>
        <v>ok</v>
      </c>
      <c r="M7" s="300" t="str">
        <f>IF(SUM('DFP-CASH'!$C19:J19)&gt;SUM('DFP-Com'!$C17:J17),"error","ok")</f>
        <v>ok</v>
      </c>
      <c r="N7" s="300" t="str">
        <f>IF(SUM('DFP-CASH'!$C19:K19)&gt;SUM('DFP-Com'!$C17:K17),"error","ok")</f>
        <v>ok</v>
      </c>
      <c r="O7" s="300" t="str">
        <f>IF(SUM('DFP-CASH'!$C19:L19)&gt;SUM('DFP-Com'!$C17:L17),"error","ok")</f>
        <v>ok</v>
      </c>
      <c r="P7" s="300" t="str">
        <f>IF(SUM('DFP-CASH'!$C19:M19)&gt;SUM('DFP-Com'!$C17:M17),"error","ok")</f>
        <v>ok</v>
      </c>
      <c r="Q7" s="300" t="str">
        <f>IF(SUM('DFP-CASH'!$C19:N19)&gt;SUM('DFP-Com'!$C17:N17),"error","ok")</f>
        <v>ok</v>
      </c>
      <c r="R7" s="300" t="str">
        <f>IF(SUM('DFP-CASH'!$C19:O19)&gt;SUM('DFP-Com'!$C17:O17),"error","ok")</f>
        <v>ok</v>
      </c>
      <c r="S7" s="300" t="str">
        <f>IF(SUM('DFP-CASH'!$C19:P19)&gt;SUM('DFP-Com'!$C17:P17),"error","ok")</f>
        <v>ok</v>
      </c>
    </row>
    <row r="8" spans="1:19" ht="15">
      <c r="A8" s="202" t="s">
        <v>130</v>
      </c>
      <c r="B8" s="255" t="str">
        <f>IF('DFP-Com'!S18-'DFP-CASH'!S20=0,"ok","error")</f>
        <v>ok</v>
      </c>
      <c r="C8" s="300" t="str">
        <f>IF(SUM('DFP-CASH'!$C20:C20)&gt;SUM('DFP-Com'!$C18:D18),"error","ok")</f>
        <v>ok</v>
      </c>
      <c r="D8" s="300" t="str">
        <f>IF(SUM('DFP-CASH'!$C20:E20)&gt;SUM('DFP-Com'!$C18:E18),"error","ok")</f>
        <v>ok</v>
      </c>
      <c r="E8" s="300" t="str">
        <f>IF(SUM('DFP-CASH'!$C20:F20)&gt;SUM('DFP-Com'!$C18:F18),"error","ok")</f>
        <v>ok</v>
      </c>
      <c r="F8" s="300" t="str">
        <f>IF(SUM('DFP-CASH'!$C20:G20)&gt;SUM('DFP-Com'!$C18:G18),"error","ok")</f>
        <v>ok</v>
      </c>
      <c r="G8" s="300" t="str">
        <f>IF(SUM('DFP-CASH'!$C20:G20)&gt;SUM('DFP-Com'!$C18:G18),"error","ok")</f>
        <v>ok</v>
      </c>
      <c r="H8" s="300" t="str">
        <f>IF(SUM('DFP-CASH'!$C20:G20)&gt;SUM('DFP-Com'!$C18:G18),"error","ok")</f>
        <v>ok</v>
      </c>
      <c r="I8" s="300" t="str">
        <f>IF(SUM('DFP-CASH'!$C20:G20)&gt;SUM('DFP-Com'!$C18:G18),"error","ok")</f>
        <v>ok</v>
      </c>
      <c r="J8" s="300" t="str">
        <f>IF(SUM('DFP-CASH'!$C20:G20)&gt;SUM('DFP-Com'!$C18:G18),"error","ok")</f>
        <v>ok</v>
      </c>
      <c r="K8" s="300" t="str">
        <f>IF(SUM('DFP-CASH'!$C20:H20)&gt;SUM('DFP-Com'!$C18:H18),"error","ok")</f>
        <v>ok</v>
      </c>
      <c r="L8" s="300" t="str">
        <f>IF(SUM('DFP-CASH'!$C20:I20)&gt;SUM('DFP-Com'!$C18:I18),"error","ok")</f>
        <v>ok</v>
      </c>
      <c r="M8" s="300" t="str">
        <f>IF(SUM('DFP-CASH'!$C20:J20)&gt;SUM('DFP-Com'!$C18:J18),"error","ok")</f>
        <v>ok</v>
      </c>
      <c r="N8" s="300" t="str">
        <f>IF(SUM('DFP-CASH'!$C20:K20)&gt;SUM('DFP-Com'!$C18:K18),"error","ok")</f>
        <v>ok</v>
      </c>
      <c r="O8" s="300" t="str">
        <f>IF(SUM('DFP-CASH'!$C20:L20)&gt;SUM('DFP-Com'!$C18:L18),"error","ok")</f>
        <v>ok</v>
      </c>
      <c r="P8" s="300" t="str">
        <f>IF(SUM('DFP-CASH'!$C20:M20)&gt;SUM('DFP-Com'!$C18:M18),"error","ok")</f>
        <v>ok</v>
      </c>
      <c r="Q8" s="300" t="str">
        <f>IF(SUM('DFP-CASH'!$C20:N20)&gt;SUM('DFP-Com'!$C18:N18),"error","ok")</f>
        <v>ok</v>
      </c>
      <c r="R8" s="300" t="str">
        <f>IF(SUM('DFP-CASH'!$C20:O20)&gt;SUM('DFP-Com'!$C18:O18),"error","ok")</f>
        <v>ok</v>
      </c>
      <c r="S8" s="300" t="str">
        <f>IF(SUM('DFP-CASH'!$C20:P20)&gt;SUM('DFP-Com'!$C18:P18),"error","ok")</f>
        <v>ok</v>
      </c>
    </row>
    <row r="9" spans="1:19" ht="25.5">
      <c r="A9" s="50" t="s">
        <v>85</v>
      </c>
      <c r="B9" s="255" t="str">
        <f>IF('DFP-Com'!S19-'DFP-CASH'!S21=0,"ok","error")</f>
        <v>error</v>
      </c>
      <c r="C9" s="300" t="str">
        <f>IF(SUM('DFP-CASH'!$C21:C21)&gt;SUM('DFP-Com'!$C19:D19),"error","ok")</f>
        <v>ok</v>
      </c>
      <c r="D9" s="300" t="str">
        <f>IF(SUM('DFP-CASH'!$C21:E21)&gt;SUM('DFP-Com'!$C19:E19),"error","ok")</f>
        <v>ok</v>
      </c>
      <c r="E9" s="300" t="str">
        <f>IF(SUM('DFP-CASH'!$C21:F21)&gt;SUM('DFP-Com'!$C19:F19),"error","ok")</f>
        <v>ok</v>
      </c>
      <c r="F9" s="300" t="str">
        <f>IF(SUM('DFP-CASH'!$C21:G21)&gt;SUM('DFP-Com'!$C19:G19),"error","ok")</f>
        <v>ok</v>
      </c>
      <c r="G9" s="300" t="str">
        <f>IF(SUM('DFP-CASH'!$C21:G21)&gt;SUM('DFP-Com'!$C19:G19),"error","ok")</f>
        <v>ok</v>
      </c>
      <c r="H9" s="300" t="str">
        <f>IF(SUM('DFP-CASH'!$C21:G21)&gt;SUM('DFP-Com'!$C19:G19),"error","ok")</f>
        <v>ok</v>
      </c>
      <c r="I9" s="300" t="str">
        <f>IF(SUM('DFP-CASH'!$C21:G21)&gt;SUM('DFP-Com'!$C19:G19),"error","ok")</f>
        <v>ok</v>
      </c>
      <c r="J9" s="300" t="str">
        <f>IF(SUM('DFP-CASH'!$C21:G21)&gt;SUM('DFP-Com'!$C19:G19),"error","ok")</f>
        <v>ok</v>
      </c>
      <c r="K9" s="300" t="str">
        <f>IF(SUM('DFP-CASH'!$C21:H21)&gt;SUM('DFP-Com'!$C19:H19),"error","ok")</f>
        <v>ok</v>
      </c>
      <c r="L9" s="300" t="str">
        <f>IF(SUM('DFP-CASH'!$C21:I21)&gt;SUM('DFP-Com'!$C19:I19),"error","ok")</f>
        <v>ok</v>
      </c>
      <c r="M9" s="300" t="str">
        <f>IF(SUM('DFP-CASH'!$C21:J21)&gt;SUM('DFP-Com'!$C19:J19),"error","ok")</f>
        <v>ok</v>
      </c>
      <c r="N9" s="300" t="str">
        <f>IF(SUM('DFP-CASH'!$C21:K21)&gt;SUM('DFP-Com'!$C19:K19),"error","ok")</f>
        <v>ok</v>
      </c>
      <c r="O9" s="300" t="str">
        <f>IF(SUM('DFP-CASH'!$C21:L21)&gt;SUM('DFP-Com'!$C19:L19),"error","ok")</f>
        <v>ok</v>
      </c>
      <c r="P9" s="300" t="str">
        <f>IF(SUM('DFP-CASH'!$C21:M21)&gt;SUM('DFP-Com'!$C19:M19),"error","ok")</f>
        <v>ok</v>
      </c>
      <c r="Q9" s="300" t="str">
        <f>IF(SUM('DFP-CASH'!$C21:N21)&gt;SUM('DFP-Com'!$C19:N19),"error","ok")</f>
        <v>ok</v>
      </c>
      <c r="R9" s="300" t="str">
        <f>IF(SUM('DFP-CASH'!$C21:O21)&gt;SUM('DFP-Com'!$C19:O19),"error","ok")</f>
        <v>ok</v>
      </c>
      <c r="S9" s="300" t="str">
        <f>IF(SUM('DFP-CASH'!$C21:P21)&gt;SUM('DFP-Com'!$C19:P19),"error","ok")</f>
        <v>ok</v>
      </c>
    </row>
    <row r="10" spans="1:19" ht="15">
      <c r="A10" s="202" t="s">
        <v>131</v>
      </c>
      <c r="B10" s="255" t="str">
        <f>IF('DFP-Com'!S20-'DFP-CASH'!S22=0,"ok","error")</f>
        <v>error</v>
      </c>
      <c r="C10" s="300" t="str">
        <f>IF(SUM('DFP-CASH'!$C22:C22)&gt;SUM('DFP-Com'!$C20:D20),"error","ok")</f>
        <v>ok</v>
      </c>
      <c r="D10" s="300" t="str">
        <f>IF(SUM('DFP-CASH'!$C22:E22)&gt;SUM('DFP-Com'!$C20:E20),"error","ok")</f>
        <v>ok</v>
      </c>
      <c r="E10" s="300" t="str">
        <f>IF(SUM('DFP-CASH'!$C22:F22)&gt;SUM('DFP-Com'!$C20:F20),"error","ok")</f>
        <v>ok</v>
      </c>
      <c r="F10" s="300" t="str">
        <f>IF(SUM('DFP-CASH'!$C22:G22)&gt;SUM('DFP-Com'!$C20:G20),"error","ok")</f>
        <v>ok</v>
      </c>
      <c r="G10" s="300" t="str">
        <f>IF(SUM('DFP-CASH'!$C22:G22)&gt;SUM('DFP-Com'!$C20:G20),"error","ok")</f>
        <v>ok</v>
      </c>
      <c r="H10" s="300" t="str">
        <f>IF(SUM('DFP-CASH'!$C22:G22)&gt;SUM('DFP-Com'!$C20:G20),"error","ok")</f>
        <v>ok</v>
      </c>
      <c r="I10" s="300" t="str">
        <f>IF(SUM('DFP-CASH'!$C22:G22)&gt;SUM('DFP-Com'!$C20:G20),"error","ok")</f>
        <v>ok</v>
      </c>
      <c r="J10" s="300" t="str">
        <f>IF(SUM('DFP-CASH'!$C22:G22)&gt;SUM('DFP-Com'!$C20:G20),"error","ok")</f>
        <v>ok</v>
      </c>
      <c r="K10" s="300" t="str">
        <f>IF(SUM('DFP-CASH'!$C22:H22)&gt;SUM('DFP-Com'!$C20:H20),"error","ok")</f>
        <v>ok</v>
      </c>
      <c r="L10" s="300" t="str">
        <f>IF(SUM('DFP-CASH'!$C22:I22)&gt;SUM('DFP-Com'!$C20:I20),"error","ok")</f>
        <v>ok</v>
      </c>
      <c r="M10" s="300" t="str">
        <f>IF(SUM('DFP-CASH'!$C22:J22)&gt;SUM('DFP-Com'!$C20:J20),"error","ok")</f>
        <v>ok</v>
      </c>
      <c r="N10" s="300" t="str">
        <f>IF(SUM('DFP-CASH'!$C22:K22)&gt;SUM('DFP-Com'!$C20:K20),"error","ok")</f>
        <v>ok</v>
      </c>
      <c r="O10" s="300" t="str">
        <f>IF(SUM('DFP-CASH'!$C22:L22)&gt;SUM('DFP-Com'!$C20:L20),"error","ok")</f>
        <v>ok</v>
      </c>
      <c r="P10" s="300" t="str">
        <f>IF(SUM('DFP-CASH'!$C22:M22)&gt;SUM('DFP-Com'!$C20:M20),"error","ok")</f>
        <v>ok</v>
      </c>
      <c r="Q10" s="300" t="str">
        <f>IF(SUM('DFP-CASH'!$C22:N22)&gt;SUM('DFP-Com'!$C20:N20),"error","ok")</f>
        <v>ok</v>
      </c>
      <c r="R10" s="300" t="str">
        <f>IF(SUM('DFP-CASH'!$C22:O22)&gt;SUM('DFP-Com'!$C20:O20),"error","ok")</f>
        <v>ok</v>
      </c>
      <c r="S10" s="300" t="str">
        <f>IF(SUM('DFP-CASH'!$C22:P22)&gt;SUM('DFP-Com'!$C20:P20),"error","ok")</f>
        <v>ok</v>
      </c>
    </row>
    <row r="11" spans="1:19" ht="25.5">
      <c r="A11" s="50" t="s">
        <v>86</v>
      </c>
      <c r="B11" s="255" t="str">
        <f>IF('DFP-Com'!S21-'DFP-CASH'!S23=0,"ok","error")</f>
        <v>error</v>
      </c>
      <c r="C11" s="300" t="str">
        <f>IF(SUM('DFP-CASH'!$C23:C23)&gt;SUM('DFP-Com'!$C21:D21),"error","ok")</f>
        <v>ok</v>
      </c>
      <c r="D11" s="300" t="str">
        <f>IF(SUM('DFP-CASH'!$C23:E23)&gt;SUM('DFP-Com'!$C21:E21),"error","ok")</f>
        <v>ok</v>
      </c>
      <c r="E11" s="300" t="str">
        <f>IF(SUM('DFP-CASH'!$C23:F23)&gt;SUM('DFP-Com'!$C21:F21),"error","ok")</f>
        <v>ok</v>
      </c>
      <c r="F11" s="300" t="str">
        <f>IF(SUM('DFP-CASH'!$C23:G23)&gt;SUM('DFP-Com'!$C21:G21),"error","ok")</f>
        <v>ok</v>
      </c>
      <c r="G11" s="300" t="str">
        <f>IF(SUM('DFP-CASH'!$C23:G23)&gt;SUM('DFP-Com'!$C21:G21),"error","ok")</f>
        <v>ok</v>
      </c>
      <c r="H11" s="300" t="str">
        <f>IF(SUM('DFP-CASH'!$C23:G23)&gt;SUM('DFP-Com'!$C21:G21),"error","ok")</f>
        <v>ok</v>
      </c>
      <c r="I11" s="300" t="str">
        <f>IF(SUM('DFP-CASH'!$C23:G23)&gt;SUM('DFP-Com'!$C21:G21),"error","ok")</f>
        <v>ok</v>
      </c>
      <c r="J11" s="300" t="str">
        <f>IF(SUM('DFP-CASH'!$C23:G23)&gt;SUM('DFP-Com'!$C21:G21),"error","ok")</f>
        <v>ok</v>
      </c>
      <c r="K11" s="300" t="str">
        <f>IF(SUM('DFP-CASH'!$C23:H23)&gt;SUM('DFP-Com'!$C21:H21),"error","ok")</f>
        <v>ok</v>
      </c>
      <c r="L11" s="300" t="str">
        <f>IF(SUM('DFP-CASH'!$C23:I23)&gt;SUM('DFP-Com'!$C21:I21),"error","ok")</f>
        <v>ok</v>
      </c>
      <c r="M11" s="300" t="str">
        <f>IF(SUM('DFP-CASH'!$C23:J23)&gt;SUM('DFP-Com'!$C21:J21),"error","ok")</f>
        <v>ok</v>
      </c>
      <c r="N11" s="300" t="str">
        <f>IF(SUM('DFP-CASH'!$C23:K23)&gt;SUM('DFP-Com'!$C21:K21),"error","ok")</f>
        <v>ok</v>
      </c>
      <c r="O11" s="300" t="str">
        <f>IF(SUM('DFP-CASH'!$C23:L23)&gt;SUM('DFP-Com'!$C21:L21),"error","ok")</f>
        <v>ok</v>
      </c>
      <c r="P11" s="300" t="str">
        <f>IF(SUM('DFP-CASH'!$C23:M23)&gt;SUM('DFP-Com'!$C21:M21),"error","ok")</f>
        <v>ok</v>
      </c>
      <c r="Q11" s="300" t="str">
        <f>IF(SUM('DFP-CASH'!$C23:N23)&gt;SUM('DFP-Com'!$C21:N21),"error","ok")</f>
        <v>ok</v>
      </c>
      <c r="R11" s="300" t="str">
        <f>IF(SUM('DFP-CASH'!$C23:O23)&gt;SUM('DFP-Com'!$C21:O21),"error","ok")</f>
        <v>ok</v>
      </c>
      <c r="S11" s="300" t="str">
        <f>IF(SUM('DFP-CASH'!$C23:P23)&gt;SUM('DFP-Com'!$C21:P21),"error","ok")</f>
        <v>ok</v>
      </c>
    </row>
    <row r="12" spans="1:19" ht="15">
      <c r="A12" s="202" t="s">
        <v>124</v>
      </c>
      <c r="B12" s="255" t="str">
        <f>IF('DFP-Com'!S22-'DFP-CASH'!S24=0,"ok","error")</f>
        <v>error</v>
      </c>
      <c r="C12" s="300" t="str">
        <f>IF(SUM('DFP-CASH'!$C24:C24)&gt;SUM('DFP-Com'!$C22:D22),"error","ok")</f>
        <v>ok</v>
      </c>
      <c r="D12" s="300" t="str">
        <f>IF(SUM('DFP-CASH'!$C24:E24)&gt;SUM('DFP-Com'!$C22:E22),"error","ok")</f>
        <v>ok</v>
      </c>
      <c r="E12" s="300" t="str">
        <f>IF(SUM('DFP-CASH'!$C24:F24)&gt;SUM('DFP-Com'!$C22:F22),"error","ok")</f>
        <v>ok</v>
      </c>
      <c r="F12" s="300" t="str">
        <f>IF(SUM('DFP-CASH'!$C24:G24)&gt;SUM('DFP-Com'!$C22:G22),"error","ok")</f>
        <v>ok</v>
      </c>
      <c r="G12" s="300" t="str">
        <f>IF(SUM('DFP-CASH'!$C24:G24)&gt;SUM('DFP-Com'!$C22:G22),"error","ok")</f>
        <v>ok</v>
      </c>
      <c r="H12" s="300" t="str">
        <f>IF(SUM('DFP-CASH'!$C24:G24)&gt;SUM('DFP-Com'!$C22:G22),"error","ok")</f>
        <v>ok</v>
      </c>
      <c r="I12" s="300" t="str">
        <f>IF(SUM('DFP-CASH'!$C24:G24)&gt;SUM('DFP-Com'!$C22:G22),"error","ok")</f>
        <v>ok</v>
      </c>
      <c r="J12" s="300" t="str">
        <f>IF(SUM('DFP-CASH'!$C24:G24)&gt;SUM('DFP-Com'!$C22:G22),"error","ok")</f>
        <v>ok</v>
      </c>
      <c r="K12" s="300" t="str">
        <f>IF(SUM('DFP-CASH'!$C24:H24)&gt;SUM('DFP-Com'!$C22:H22),"error","ok")</f>
        <v>ok</v>
      </c>
      <c r="L12" s="300" t="str">
        <f>IF(SUM('DFP-CASH'!$C24:I24)&gt;SUM('DFP-Com'!$C22:I22),"error","ok")</f>
        <v>ok</v>
      </c>
      <c r="M12" s="300" t="str">
        <f>IF(SUM('DFP-CASH'!$C24:J24)&gt;SUM('DFP-Com'!$C22:J22),"error","ok")</f>
        <v>ok</v>
      </c>
      <c r="N12" s="300" t="str">
        <f>IF(SUM('DFP-CASH'!$C24:K24)&gt;SUM('DFP-Com'!$C22:K22),"error","ok")</f>
        <v>ok</v>
      </c>
      <c r="O12" s="300" t="str">
        <f>IF(SUM('DFP-CASH'!$C24:L24)&gt;SUM('DFP-Com'!$C22:L22),"error","ok")</f>
        <v>ok</v>
      </c>
      <c r="P12" s="300" t="str">
        <f>IF(SUM('DFP-CASH'!$C24:M24)&gt;SUM('DFP-Com'!$C22:M22),"error","ok")</f>
        <v>ok</v>
      </c>
      <c r="Q12" s="300" t="str">
        <f>IF(SUM('DFP-CASH'!$C24:N24)&gt;SUM('DFP-Com'!$C22:N22),"error","ok")</f>
        <v>ok</v>
      </c>
      <c r="R12" s="300" t="str">
        <f>IF(SUM('DFP-CASH'!$C24:O24)&gt;SUM('DFP-Com'!$C22:O22),"error","ok")</f>
        <v>ok</v>
      </c>
      <c r="S12" s="300" t="str">
        <f>IF(SUM('DFP-CASH'!$C24:P24)&gt;SUM('DFP-Com'!$C22:P22),"error","ok")</f>
        <v>ok</v>
      </c>
    </row>
    <row r="13" spans="1:19" ht="15">
      <c r="A13" s="202" t="s">
        <v>140</v>
      </c>
      <c r="B13" s="255" t="str">
        <f>IF('DFP-Com'!S23-'DFP-CASH'!S25=0,"ok","error")</f>
        <v>error</v>
      </c>
      <c r="C13" s="300" t="str">
        <f>IF(SUM('DFP-CASH'!$C25:C25)&gt;SUM('DFP-Com'!$C23:D23),"error","ok")</f>
        <v>ok</v>
      </c>
      <c r="D13" s="300" t="str">
        <f>IF(SUM('DFP-CASH'!$C25:E25)&gt;SUM('DFP-Com'!$C23:E23),"error","ok")</f>
        <v>ok</v>
      </c>
      <c r="E13" s="300" t="str">
        <f>IF(SUM('DFP-CASH'!$C25:F25)&gt;SUM('DFP-Com'!$C23:F23),"error","ok")</f>
        <v>ok</v>
      </c>
      <c r="F13" s="300" t="str">
        <f>IF(SUM('DFP-CASH'!$C25:G25)&gt;SUM('DFP-Com'!$C23:G23),"error","ok")</f>
        <v>ok</v>
      </c>
      <c r="G13" s="300" t="str">
        <f>IF(SUM('DFP-CASH'!$C25:G25)&gt;SUM('DFP-Com'!$C23:G23),"error","ok")</f>
        <v>ok</v>
      </c>
      <c r="H13" s="300" t="str">
        <f>IF(SUM('DFP-CASH'!$C25:G25)&gt;SUM('DFP-Com'!$C23:G23),"error","ok")</f>
        <v>ok</v>
      </c>
      <c r="I13" s="300" t="str">
        <f>IF(SUM('DFP-CASH'!$C25:G25)&gt;SUM('DFP-Com'!$C23:G23),"error","ok")</f>
        <v>ok</v>
      </c>
      <c r="J13" s="300" t="str">
        <f>IF(SUM('DFP-CASH'!$C25:G25)&gt;SUM('DFP-Com'!$C23:G23),"error","ok")</f>
        <v>ok</v>
      </c>
      <c r="K13" s="300" t="str">
        <f>IF(SUM('DFP-CASH'!$C25:H25)&gt;SUM('DFP-Com'!$C23:H23),"error","ok")</f>
        <v>ok</v>
      </c>
      <c r="L13" s="300" t="str">
        <f>IF(SUM('DFP-CASH'!$C25:I25)&gt;SUM('DFP-Com'!$C23:I23),"error","ok")</f>
        <v>ok</v>
      </c>
      <c r="M13" s="300" t="str">
        <f>IF(SUM('DFP-CASH'!$C25:J25)&gt;SUM('DFP-Com'!$C23:J23),"error","ok")</f>
        <v>ok</v>
      </c>
      <c r="N13" s="300" t="str">
        <f>IF(SUM('DFP-CASH'!$C25:K25)&gt;SUM('DFP-Com'!$C23:K23),"error","ok")</f>
        <v>ok</v>
      </c>
      <c r="O13" s="300" t="str">
        <f>IF(SUM('DFP-CASH'!$C25:L25)&gt;SUM('DFP-Com'!$C23:L23),"error","ok")</f>
        <v>ok</v>
      </c>
      <c r="P13" s="300" t="str">
        <f>IF(SUM('DFP-CASH'!$C25:M25)&gt;SUM('DFP-Com'!$C23:M23),"error","ok")</f>
        <v>ok</v>
      </c>
      <c r="Q13" s="300" t="str">
        <f>IF(SUM('DFP-CASH'!$C25:N25)&gt;SUM('DFP-Com'!$C23:N23),"error","ok")</f>
        <v>ok</v>
      </c>
      <c r="R13" s="300" t="str">
        <f>IF(SUM('DFP-CASH'!$C25:O25)&gt;SUM('DFP-Com'!$C23:O23),"error","ok")</f>
        <v>ok</v>
      </c>
      <c r="S13" s="300" t="str">
        <f>IF(SUM('DFP-CASH'!$C25:P25)&gt;SUM('DFP-Com'!$C23:P23),"error","ok")</f>
        <v>ok</v>
      </c>
    </row>
    <row r="14" spans="1:19" ht="15">
      <c r="A14" s="202" t="s">
        <v>139</v>
      </c>
      <c r="B14" s="255" t="str">
        <f>IF('DFP-Com'!S24-'DFP-CASH'!S26=0,"ok","error")</f>
        <v>ok</v>
      </c>
      <c r="C14" s="300" t="str">
        <f>IF(SUM('DFP-CASH'!$C26:C26)&gt;SUM('DFP-Com'!$C24:D24),"error","ok")</f>
        <v>ok</v>
      </c>
      <c r="D14" s="300" t="str">
        <f>IF(SUM('DFP-CASH'!$C26:E26)&gt;SUM('DFP-Com'!$C24:E24),"error","ok")</f>
        <v>ok</v>
      </c>
      <c r="E14" s="300" t="str">
        <f>IF(SUM('DFP-CASH'!$C26:F26)&gt;SUM('DFP-Com'!$C24:F24),"error","ok")</f>
        <v>ok</v>
      </c>
      <c r="F14" s="300" t="str">
        <f>IF(SUM('DFP-CASH'!$C26:G26)&gt;SUM('DFP-Com'!$C24:G24),"error","ok")</f>
        <v>ok</v>
      </c>
      <c r="G14" s="300" t="str">
        <f>IF(SUM('DFP-CASH'!$C26:G26)&gt;SUM('DFP-Com'!$C24:G24),"error","ok")</f>
        <v>ok</v>
      </c>
      <c r="H14" s="300" t="str">
        <f>IF(SUM('DFP-CASH'!$C26:G26)&gt;SUM('DFP-Com'!$C24:G24),"error","ok")</f>
        <v>ok</v>
      </c>
      <c r="I14" s="300" t="str">
        <f>IF(SUM('DFP-CASH'!$C26:G26)&gt;SUM('DFP-Com'!$C24:G24),"error","ok")</f>
        <v>ok</v>
      </c>
      <c r="J14" s="300" t="str">
        <f>IF(SUM('DFP-CASH'!$C26:G26)&gt;SUM('DFP-Com'!$C24:G24),"error","ok")</f>
        <v>ok</v>
      </c>
      <c r="K14" s="300" t="str">
        <f>IF(SUM('DFP-CASH'!$C26:H26)&gt;SUM('DFP-Com'!$C24:H24),"error","ok")</f>
        <v>ok</v>
      </c>
      <c r="L14" s="300" t="str">
        <f>IF(SUM('DFP-CASH'!$C26:I26)&gt;SUM('DFP-Com'!$C24:I24),"error","ok")</f>
        <v>ok</v>
      </c>
      <c r="M14" s="300" t="str">
        <f>IF(SUM('DFP-CASH'!$C26:J26)&gt;SUM('DFP-Com'!$C24:J24),"error","ok")</f>
        <v>ok</v>
      </c>
      <c r="N14" s="300" t="str">
        <f>IF(SUM('DFP-CASH'!$C26:K26)&gt;SUM('DFP-Com'!$C24:K24),"error","ok")</f>
        <v>ok</v>
      </c>
      <c r="O14" s="300" t="str">
        <f>IF(SUM('DFP-CASH'!$C26:L26)&gt;SUM('DFP-Com'!$C24:L24),"error","ok")</f>
        <v>ok</v>
      </c>
      <c r="P14" s="300" t="str">
        <f>IF(SUM('DFP-CASH'!$C26:M26)&gt;SUM('DFP-Com'!$C24:M24),"error","ok")</f>
        <v>ok</v>
      </c>
      <c r="Q14" s="300" t="str">
        <f>IF(SUM('DFP-CASH'!$C26:N26)&gt;SUM('DFP-Com'!$C24:N24),"error","ok")</f>
        <v>ok</v>
      </c>
      <c r="R14" s="300" t="str">
        <f>IF(SUM('DFP-CASH'!$C26:O26)&gt;SUM('DFP-Com'!$C24:O24),"error","ok")</f>
        <v>ok</v>
      </c>
      <c r="S14" s="300" t="str">
        <f>IF(SUM('DFP-CASH'!$C26:P26)&gt;SUM('DFP-Com'!$C24:P24),"error","ok")</f>
        <v>ok</v>
      </c>
    </row>
    <row r="15" spans="1:19" ht="15">
      <c r="A15" s="52" t="s">
        <v>63</v>
      </c>
      <c r="B15" s="255" t="str">
        <f>IF('DFP-Com'!S25-'DFP-CASH'!S27=0,"ok","error")</f>
        <v>error</v>
      </c>
      <c r="C15" s="300" t="str">
        <f>IF(SUM('DFP-CASH'!$C27:C27)&gt;SUM('DFP-Com'!$C25:D25),"error","ok")</f>
        <v>ok</v>
      </c>
      <c r="D15" s="300" t="str">
        <f>IF(SUM('DFP-CASH'!$C27:E27)&gt;SUM('DFP-Com'!$C25:E25),"error","ok")</f>
        <v>ok</v>
      </c>
      <c r="E15" s="300" t="str">
        <f>IF(SUM('DFP-CASH'!$C27:F27)&gt;SUM('DFP-Com'!$C25:F25),"error","ok")</f>
        <v>ok</v>
      </c>
      <c r="F15" s="300" t="str">
        <f>IF(SUM('DFP-CASH'!$C27:G27)&gt;SUM('DFP-Com'!$C25:G25),"error","ok")</f>
        <v>ok</v>
      </c>
      <c r="G15" s="300" t="str">
        <f>IF(SUM('DFP-CASH'!$C27:G27)&gt;SUM('DFP-Com'!$C25:G25),"error","ok")</f>
        <v>ok</v>
      </c>
      <c r="H15" s="300" t="str">
        <f>IF(SUM('DFP-CASH'!$C27:G27)&gt;SUM('DFP-Com'!$C25:G25),"error","ok")</f>
        <v>ok</v>
      </c>
      <c r="I15" s="300" t="str">
        <f>IF(SUM('DFP-CASH'!$C27:G27)&gt;SUM('DFP-Com'!$C25:G25),"error","ok")</f>
        <v>ok</v>
      </c>
      <c r="J15" s="300" t="str">
        <f>IF(SUM('DFP-CASH'!$C27:G27)&gt;SUM('DFP-Com'!$C25:G25),"error","ok")</f>
        <v>ok</v>
      </c>
      <c r="K15" s="300" t="str">
        <f>IF(SUM('DFP-CASH'!$C27:H27)&gt;SUM('DFP-Com'!$C25:H25),"error","ok")</f>
        <v>ok</v>
      </c>
      <c r="L15" s="300" t="str">
        <f>IF(SUM('DFP-CASH'!$C27:I27)&gt;SUM('DFP-Com'!$C25:I25),"error","ok")</f>
        <v>ok</v>
      </c>
      <c r="M15" s="300" t="str">
        <f>IF(SUM('DFP-CASH'!$C27:J27)&gt;SUM('DFP-Com'!$C25:J25),"error","ok")</f>
        <v>ok</v>
      </c>
      <c r="N15" s="300" t="str">
        <f>IF(SUM('DFP-CASH'!$C27:K27)&gt;SUM('DFP-Com'!$C25:K25),"error","ok")</f>
        <v>ok</v>
      </c>
      <c r="O15" s="300" t="str">
        <f>IF(SUM('DFP-CASH'!$C27:L27)&gt;SUM('DFP-Com'!$C25:L25),"error","ok")</f>
        <v>ok</v>
      </c>
      <c r="P15" s="300" t="str">
        <f>IF(SUM('DFP-CASH'!$C27:M27)&gt;SUM('DFP-Com'!$C25:M25),"error","ok")</f>
        <v>ok</v>
      </c>
      <c r="Q15" s="300" t="str">
        <f>IF(SUM('DFP-CASH'!$C27:N27)&gt;SUM('DFP-Com'!$C25:N25),"error","ok")</f>
        <v>ok</v>
      </c>
      <c r="R15" s="300" t="str">
        <f>IF(SUM('DFP-CASH'!$C27:O27)&gt;SUM('DFP-Com'!$C25:O25),"error","ok")</f>
        <v>ok</v>
      </c>
      <c r="S15" s="300" t="str">
        <f>IF(SUM('DFP-CASH'!$C27:P27)&gt;SUM('DFP-Com'!$C25:P25),"error","ok")</f>
        <v>ok</v>
      </c>
    </row>
    <row r="16" spans="1:19" ht="15">
      <c r="A16" s="54"/>
      <c r="B16" s="255" t="str">
        <f>IF('DFP-Com'!S26-'DFP-CASH'!S28=0,"ok","error")</f>
        <v>ok</v>
      </c>
      <c r="C16" s="300" t="str">
        <f>IF(SUM('DFP-CASH'!$C28:C28)&gt;SUM('DFP-Com'!$C26:D26),"error","ok")</f>
        <v>ok</v>
      </c>
      <c r="D16" s="300" t="str">
        <f>IF(SUM('DFP-CASH'!$C28:E28)&gt;SUM('DFP-Com'!$C26:E26),"error","ok")</f>
        <v>ok</v>
      </c>
      <c r="E16" s="300" t="str">
        <f>IF(SUM('DFP-CASH'!$C28:F28)&gt;SUM('DFP-Com'!$C26:F26),"error","ok")</f>
        <v>ok</v>
      </c>
      <c r="F16" s="300" t="str">
        <f>IF(SUM('DFP-CASH'!$C28:G28)&gt;SUM('DFP-Com'!$C26:G26),"error","ok")</f>
        <v>ok</v>
      </c>
      <c r="G16" s="300" t="str">
        <f>IF(SUM('DFP-CASH'!$C28:G28)&gt;SUM('DFP-Com'!$C26:G26),"error","ok")</f>
        <v>ok</v>
      </c>
      <c r="H16" s="300" t="str">
        <f>IF(SUM('DFP-CASH'!$C28:G28)&gt;SUM('DFP-Com'!$C26:G26),"error","ok")</f>
        <v>ok</v>
      </c>
      <c r="I16" s="300" t="str">
        <f>IF(SUM('DFP-CASH'!$C28:G28)&gt;SUM('DFP-Com'!$C26:G26),"error","ok")</f>
        <v>ok</v>
      </c>
      <c r="J16" s="300" t="str">
        <f>IF(SUM('DFP-CASH'!$C28:G28)&gt;SUM('DFP-Com'!$C26:G26),"error","ok")</f>
        <v>ok</v>
      </c>
      <c r="K16" s="300" t="str">
        <f>IF(SUM('DFP-CASH'!$C28:H28)&gt;SUM('DFP-Com'!$C26:H26),"error","ok")</f>
        <v>ok</v>
      </c>
      <c r="L16" s="300" t="str">
        <f>IF(SUM('DFP-CASH'!$C28:I28)&gt;SUM('DFP-Com'!$C26:I26),"error","ok")</f>
        <v>ok</v>
      </c>
      <c r="M16" s="300" t="str">
        <f>IF(SUM('DFP-CASH'!$C28:J28)&gt;SUM('DFP-Com'!$C26:J26),"error","ok")</f>
        <v>ok</v>
      </c>
      <c r="N16" s="300" t="str">
        <f>IF(SUM('DFP-CASH'!$C28:K28)&gt;SUM('DFP-Com'!$C26:K26),"error","ok")</f>
        <v>ok</v>
      </c>
      <c r="O16" s="300" t="str">
        <f>IF(SUM('DFP-CASH'!$C28:L28)&gt;SUM('DFP-Com'!$C26:L26),"error","ok")</f>
        <v>ok</v>
      </c>
      <c r="P16" s="300" t="str">
        <f>IF(SUM('DFP-CASH'!$C28:M28)&gt;SUM('DFP-Com'!$C26:M26),"error","ok")</f>
        <v>ok</v>
      </c>
      <c r="Q16" s="300" t="str">
        <f>IF(SUM('DFP-CASH'!$C28:N28)&gt;SUM('DFP-Com'!$C26:N26),"error","ok")</f>
        <v>ok</v>
      </c>
      <c r="R16" s="300" t="str">
        <f>IF(SUM('DFP-CASH'!$C28:O28)&gt;SUM('DFP-Com'!$C26:O26),"error","ok")</f>
        <v>ok</v>
      </c>
      <c r="S16" s="300" t="str">
        <f>IF(SUM('DFP-CASH'!$C28:P28)&gt;SUM('DFP-Com'!$C26:P26),"error","ok")</f>
        <v>ok</v>
      </c>
    </row>
    <row r="17" spans="1:19" ht="15">
      <c r="A17" s="45" t="s">
        <v>89</v>
      </c>
      <c r="B17" s="255" t="str">
        <f>IF('DFP-Com'!S27-'DFP-CASH'!S29=0,"ok","error")</f>
        <v>ok</v>
      </c>
      <c r="C17" s="300" t="str">
        <f>IF(SUM('DFP-CASH'!$C29:C29)&gt;SUM('DFP-Com'!$C27:D27),"error","ok")</f>
        <v>ok</v>
      </c>
      <c r="D17" s="300" t="str">
        <f>IF(SUM('DFP-CASH'!$C29:E29)&gt;SUM('DFP-Com'!$C27:E27),"error","ok")</f>
        <v>ok</v>
      </c>
      <c r="E17" s="300" t="str">
        <f>IF(SUM('DFP-CASH'!$C29:F29)&gt;SUM('DFP-Com'!$C27:F27),"error","ok")</f>
        <v>ok</v>
      </c>
      <c r="F17" s="300" t="str">
        <f>IF(SUM('DFP-CASH'!$C29:G29)&gt;SUM('DFP-Com'!$C27:G27),"error","ok")</f>
        <v>ok</v>
      </c>
      <c r="G17" s="300" t="str">
        <f>IF(SUM('DFP-CASH'!$C29:G29)&gt;SUM('DFP-Com'!$C27:G27),"error","ok")</f>
        <v>ok</v>
      </c>
      <c r="H17" s="300" t="str">
        <f>IF(SUM('DFP-CASH'!$C29:G29)&gt;SUM('DFP-Com'!$C27:G27),"error","ok")</f>
        <v>ok</v>
      </c>
      <c r="I17" s="300" t="str">
        <f>IF(SUM('DFP-CASH'!$C29:G29)&gt;SUM('DFP-Com'!$C27:G27),"error","ok")</f>
        <v>ok</v>
      </c>
      <c r="J17" s="300" t="str">
        <f>IF(SUM('DFP-CASH'!$C29:G29)&gt;SUM('DFP-Com'!$C27:G27),"error","ok")</f>
        <v>ok</v>
      </c>
      <c r="K17" s="300" t="str">
        <f>IF(SUM('DFP-CASH'!$C29:H29)&gt;SUM('DFP-Com'!$C27:H27),"error","ok")</f>
        <v>ok</v>
      </c>
      <c r="L17" s="300" t="str">
        <f>IF(SUM('DFP-CASH'!$C29:I29)&gt;SUM('DFP-Com'!$C27:I27),"error","ok")</f>
        <v>ok</v>
      </c>
      <c r="M17" s="300" t="str">
        <f>IF(SUM('DFP-CASH'!$C29:J29)&gt;SUM('DFP-Com'!$C27:J27),"error","ok")</f>
        <v>ok</v>
      </c>
      <c r="N17" s="300" t="str">
        <f>IF(SUM('DFP-CASH'!$C29:K29)&gt;SUM('DFP-Com'!$C27:K27),"error","ok")</f>
        <v>ok</v>
      </c>
      <c r="O17" s="300" t="str">
        <f>IF(SUM('DFP-CASH'!$C29:L29)&gt;SUM('DFP-Com'!$C27:L27),"error","ok")</f>
        <v>ok</v>
      </c>
      <c r="P17" s="300" t="str">
        <f>IF(SUM('DFP-CASH'!$C29:M29)&gt;SUM('DFP-Com'!$C27:M27),"error","ok")</f>
        <v>ok</v>
      </c>
      <c r="Q17" s="300" t="str">
        <f>IF(SUM('DFP-CASH'!$C29:N29)&gt;SUM('DFP-Com'!$C27:N27),"error","ok")</f>
        <v>ok</v>
      </c>
      <c r="R17" s="300" t="str">
        <f>IF(SUM('DFP-CASH'!$C29:O29)&gt;SUM('DFP-Com'!$C27:O27),"error","ok")</f>
        <v>ok</v>
      </c>
      <c r="S17" s="300" t="str">
        <f>IF(SUM('DFP-CASH'!$C29:P29)&gt;SUM('DFP-Com'!$C27:P27),"error","ok")</f>
        <v>ok</v>
      </c>
    </row>
    <row r="18" spans="1:19" ht="15">
      <c r="A18" s="50" t="s">
        <v>141</v>
      </c>
      <c r="B18" s="255" t="str">
        <f>IF('DFP-Com'!S28-'DFP-CASH'!S30=0,"ok","error")</f>
        <v>error</v>
      </c>
      <c r="C18" s="300" t="str">
        <f>IF(SUM('DFP-CASH'!$C30:C30)&gt;SUM('DFP-Com'!$C28:D28),"error","ok")</f>
        <v>ok</v>
      </c>
      <c r="D18" s="300" t="str">
        <f>IF(SUM('DFP-CASH'!$C30:E30)&gt;SUM('DFP-Com'!$C28:E28),"error","ok")</f>
        <v>ok</v>
      </c>
      <c r="E18" s="300" t="str">
        <f>IF(SUM('DFP-CASH'!$C30:F30)&gt;SUM('DFP-Com'!$C28:F28),"error","ok")</f>
        <v>ok</v>
      </c>
      <c r="F18" s="300" t="str">
        <f>IF(SUM('DFP-CASH'!$C30:G30)&gt;SUM('DFP-Com'!$C28:G28),"error","ok")</f>
        <v>ok</v>
      </c>
      <c r="G18" s="300" t="str">
        <f>IF(SUM('DFP-CASH'!$C30:G30)&gt;SUM('DFP-Com'!$C28:G28),"error","ok")</f>
        <v>ok</v>
      </c>
      <c r="H18" s="300" t="str">
        <f>IF(SUM('DFP-CASH'!$C30:G30)&gt;SUM('DFP-Com'!$C28:G28),"error","ok")</f>
        <v>ok</v>
      </c>
      <c r="I18" s="300" t="str">
        <f>IF(SUM('DFP-CASH'!$C30:G30)&gt;SUM('DFP-Com'!$C28:G28),"error","ok")</f>
        <v>ok</v>
      </c>
      <c r="J18" s="300" t="str">
        <f>IF(SUM('DFP-CASH'!$C30:G30)&gt;SUM('DFP-Com'!$C28:G28),"error","ok")</f>
        <v>ok</v>
      </c>
      <c r="K18" s="300" t="str">
        <f>IF(SUM('DFP-CASH'!$C30:H30)&gt;SUM('DFP-Com'!$C28:H28),"error","ok")</f>
        <v>ok</v>
      </c>
      <c r="L18" s="300" t="str">
        <f>IF(SUM('DFP-CASH'!$C30:I30)&gt;SUM('DFP-Com'!$C28:I28),"error","ok")</f>
        <v>ok</v>
      </c>
      <c r="M18" s="300" t="str">
        <f>IF(SUM('DFP-CASH'!$C30:J30)&gt;SUM('DFP-Com'!$C28:J28),"error","ok")</f>
        <v>ok</v>
      </c>
      <c r="N18" s="300" t="str">
        <f>IF(SUM('DFP-CASH'!$C30:K30)&gt;SUM('DFP-Com'!$C28:K28),"error","ok")</f>
        <v>ok</v>
      </c>
      <c r="O18" s="300" t="str">
        <f>IF(SUM('DFP-CASH'!$C30:L30)&gt;SUM('DFP-Com'!$C28:L28),"error","ok")</f>
        <v>ok</v>
      </c>
      <c r="P18" s="300" t="str">
        <f>IF(SUM('DFP-CASH'!$C30:M30)&gt;SUM('DFP-Com'!$C28:M28),"error","ok")</f>
        <v>ok</v>
      </c>
      <c r="Q18" s="300" t="str">
        <f>IF(SUM('DFP-CASH'!$C30:N30)&gt;SUM('DFP-Com'!$C28:N28),"error","ok")</f>
        <v>ok</v>
      </c>
      <c r="R18" s="300" t="str">
        <f>IF(SUM('DFP-CASH'!$C30:O30)&gt;SUM('DFP-Com'!$C28:O28),"error","ok")</f>
        <v>ok</v>
      </c>
      <c r="S18" s="300" t="str">
        <f>IF(SUM('DFP-CASH'!$C30:P30)&gt;SUM('DFP-Com'!$C28:P28),"error","ok")</f>
        <v>ok</v>
      </c>
    </row>
    <row r="19" spans="1:19" ht="15">
      <c r="A19" s="202" t="s">
        <v>134</v>
      </c>
      <c r="B19" s="255" t="str">
        <f>IF('DFP-Com'!S29-'DFP-CASH'!S31=0,"ok","error")</f>
        <v>error</v>
      </c>
      <c r="C19" s="300" t="str">
        <f>IF(SUM('DFP-CASH'!$C31:C31)&gt;SUM('DFP-Com'!$C29:D29),"error","ok")</f>
        <v>ok</v>
      </c>
      <c r="D19" s="300" t="str">
        <f>IF(SUM('DFP-CASH'!$C31:E31)&gt;SUM('DFP-Com'!$C29:E29),"error","ok")</f>
        <v>ok</v>
      </c>
      <c r="E19" s="300" t="str">
        <f>IF(SUM('DFP-CASH'!$C31:F31)&gt;SUM('DFP-Com'!$C29:F29),"error","ok")</f>
        <v>ok</v>
      </c>
      <c r="F19" s="300" t="str">
        <f>IF(SUM('DFP-CASH'!$C31:G31)&gt;SUM('DFP-Com'!$C29:G29),"error","ok")</f>
        <v>ok</v>
      </c>
      <c r="G19" s="300" t="str">
        <f>IF(SUM('DFP-CASH'!$C31:G31)&gt;SUM('DFP-Com'!$C29:G29),"error","ok")</f>
        <v>ok</v>
      </c>
      <c r="H19" s="300" t="str">
        <f>IF(SUM('DFP-CASH'!$C31:G31)&gt;SUM('DFP-Com'!$C29:G29),"error","ok")</f>
        <v>ok</v>
      </c>
      <c r="I19" s="300" t="str">
        <f>IF(SUM('DFP-CASH'!$C31:G31)&gt;SUM('DFP-Com'!$C29:G29),"error","ok")</f>
        <v>ok</v>
      </c>
      <c r="J19" s="300" t="str">
        <f>IF(SUM('DFP-CASH'!$C31:G31)&gt;SUM('DFP-Com'!$C29:G29),"error","ok")</f>
        <v>ok</v>
      </c>
      <c r="K19" s="300" t="str">
        <f>IF(SUM('DFP-CASH'!$C31:H31)&gt;SUM('DFP-Com'!$C29:H29),"error","ok")</f>
        <v>ok</v>
      </c>
      <c r="L19" s="300" t="str">
        <f>IF(SUM('DFP-CASH'!$C31:I31)&gt;SUM('DFP-Com'!$C29:I29),"error","ok")</f>
        <v>ok</v>
      </c>
      <c r="M19" s="300" t="str">
        <f>IF(SUM('DFP-CASH'!$C31:J31)&gt;SUM('DFP-Com'!$C29:J29),"error","ok")</f>
        <v>ok</v>
      </c>
      <c r="N19" s="300" t="str">
        <f>IF(SUM('DFP-CASH'!$C31:K31)&gt;SUM('DFP-Com'!$C29:K29),"error","ok")</f>
        <v>ok</v>
      </c>
      <c r="O19" s="300" t="str">
        <f>IF(SUM('DFP-CASH'!$C31:L31)&gt;SUM('DFP-Com'!$C29:L29),"error","ok")</f>
        <v>ok</v>
      </c>
      <c r="P19" s="300" t="str">
        <f>IF(SUM('DFP-CASH'!$C31:M31)&gt;SUM('DFP-Com'!$C29:M29),"error","ok")</f>
        <v>ok</v>
      </c>
      <c r="Q19" s="300" t="str">
        <f>IF(SUM('DFP-CASH'!$C31:N31)&gt;SUM('DFP-Com'!$C29:N29),"error","ok")</f>
        <v>ok</v>
      </c>
      <c r="R19" s="300" t="str">
        <f>IF(SUM('DFP-CASH'!$C31:O31)&gt;SUM('DFP-Com'!$C29:O29),"error","ok")</f>
        <v>ok</v>
      </c>
      <c r="S19" s="300" t="str">
        <f>IF(SUM('DFP-CASH'!$C31:P31)&gt;SUM('DFP-Com'!$C29:P29),"error","ok")</f>
        <v>ok</v>
      </c>
    </row>
    <row r="20" spans="1:19" ht="25.5">
      <c r="A20" s="50" t="s">
        <v>93</v>
      </c>
      <c r="B20" s="255" t="str">
        <f>IF('DFP-Com'!S30-'DFP-CASH'!S32=0,"ok","error")</f>
        <v>error</v>
      </c>
      <c r="C20" s="300" t="str">
        <f>IF(SUM('DFP-CASH'!$C32:C32)&gt;SUM('DFP-Com'!$C30:D30),"error","ok")</f>
        <v>ok</v>
      </c>
      <c r="D20" s="300" t="str">
        <f>IF(SUM('DFP-CASH'!$C32:E32)&gt;SUM('DFP-Com'!$C30:E30),"error","ok")</f>
        <v>ok</v>
      </c>
      <c r="E20" s="300" t="str">
        <f>IF(SUM('DFP-CASH'!$C32:F32)&gt;SUM('DFP-Com'!$C30:F30),"error","ok")</f>
        <v>ok</v>
      </c>
      <c r="F20" s="300" t="str">
        <f>IF(SUM('DFP-CASH'!$C32:G32)&gt;SUM('DFP-Com'!$C30:G30),"error","ok")</f>
        <v>ok</v>
      </c>
      <c r="G20" s="300" t="str">
        <f>IF(SUM('DFP-CASH'!$C32:G32)&gt;SUM('DFP-Com'!$C30:G30),"error","ok")</f>
        <v>ok</v>
      </c>
      <c r="H20" s="300" t="str">
        <f>IF(SUM('DFP-CASH'!$C32:G32)&gt;SUM('DFP-Com'!$C30:G30),"error","ok")</f>
        <v>ok</v>
      </c>
      <c r="I20" s="300" t="str">
        <f>IF(SUM('DFP-CASH'!$C32:G32)&gt;SUM('DFP-Com'!$C30:G30),"error","ok")</f>
        <v>ok</v>
      </c>
      <c r="J20" s="300" t="str">
        <f>IF(SUM('DFP-CASH'!$C32:G32)&gt;SUM('DFP-Com'!$C30:G30),"error","ok")</f>
        <v>ok</v>
      </c>
      <c r="K20" s="300" t="str">
        <f>IF(SUM('DFP-CASH'!$C32:H32)&gt;SUM('DFP-Com'!$C30:H30),"error","ok")</f>
        <v>ok</v>
      </c>
      <c r="L20" s="300" t="str">
        <f>IF(SUM('DFP-CASH'!$C32:I32)&gt;SUM('DFP-Com'!$C30:I30),"error","ok")</f>
        <v>ok</v>
      </c>
      <c r="M20" s="300" t="str">
        <f>IF(SUM('DFP-CASH'!$C32:J32)&gt;SUM('DFP-Com'!$C30:J30),"error","ok")</f>
        <v>ok</v>
      </c>
      <c r="N20" s="300" t="str">
        <f>IF(SUM('DFP-CASH'!$C32:K32)&gt;SUM('DFP-Com'!$C30:K30),"error","ok")</f>
        <v>ok</v>
      </c>
      <c r="O20" s="300" t="str">
        <f>IF(SUM('DFP-CASH'!$C32:L32)&gt;SUM('DFP-Com'!$C30:L30),"error","ok")</f>
        <v>error</v>
      </c>
      <c r="P20" s="300" t="str">
        <f>IF(SUM('DFP-CASH'!$C32:M32)&gt;SUM('DFP-Com'!$C30:M30),"error","ok")</f>
        <v>ok</v>
      </c>
      <c r="Q20" s="300" t="str">
        <f>IF(SUM('DFP-CASH'!$C32:N32)&gt;SUM('DFP-Com'!$C30:N30),"error","ok")</f>
        <v>ok</v>
      </c>
      <c r="R20" s="300" t="str">
        <f>IF(SUM('DFP-CASH'!$C32:O32)&gt;SUM('DFP-Com'!$C30:O30),"error","ok")</f>
        <v>ok</v>
      </c>
      <c r="S20" s="300" t="str">
        <f>IF(SUM('DFP-CASH'!$C32:P32)&gt;SUM('DFP-Com'!$C30:P30),"error","ok")</f>
        <v>ok</v>
      </c>
    </row>
    <row r="21" spans="1:19" ht="15">
      <c r="A21" s="202" t="s">
        <v>135</v>
      </c>
      <c r="B21" s="255" t="str">
        <f>IF('DFP-Com'!S31-'DFP-CASH'!S33=0,"ok","error")</f>
        <v>error</v>
      </c>
      <c r="C21" s="300" t="str">
        <f>IF(SUM('DFP-CASH'!$C33:C33)&gt;SUM('DFP-Com'!$C31:D31),"error","ok")</f>
        <v>ok</v>
      </c>
      <c r="D21" s="300" t="str">
        <f>IF(SUM('DFP-CASH'!$C33:E33)&gt;SUM('DFP-Com'!$C31:E31),"error","ok")</f>
        <v>ok</v>
      </c>
      <c r="E21" s="300" t="str">
        <f>IF(SUM('DFP-CASH'!$C33:F33)&gt;SUM('DFP-Com'!$C31:F31),"error","ok")</f>
        <v>ok</v>
      </c>
      <c r="F21" s="300" t="str">
        <f>IF(SUM('DFP-CASH'!$C33:G33)&gt;SUM('DFP-Com'!$C31:G31),"error","ok")</f>
        <v>ok</v>
      </c>
      <c r="G21" s="300" t="str">
        <f>IF(SUM('DFP-CASH'!$C33:G33)&gt;SUM('DFP-Com'!$C31:G31),"error","ok")</f>
        <v>ok</v>
      </c>
      <c r="H21" s="300" t="str">
        <f>IF(SUM('DFP-CASH'!$C33:G33)&gt;SUM('DFP-Com'!$C31:G31),"error","ok")</f>
        <v>ok</v>
      </c>
      <c r="I21" s="300" t="str">
        <f>IF(SUM('DFP-CASH'!$C33:G33)&gt;SUM('DFP-Com'!$C31:G31),"error","ok")</f>
        <v>ok</v>
      </c>
      <c r="J21" s="300" t="str">
        <f>IF(SUM('DFP-CASH'!$C33:G33)&gt;SUM('DFP-Com'!$C31:G31),"error","ok")</f>
        <v>ok</v>
      </c>
      <c r="K21" s="300" t="str">
        <f>IF(SUM('DFP-CASH'!$C33:H33)&gt;SUM('DFP-Com'!$C31:H31),"error","ok")</f>
        <v>ok</v>
      </c>
      <c r="L21" s="300" t="str">
        <f>IF(SUM('DFP-CASH'!$C33:I33)&gt;SUM('DFP-Com'!$C31:I31),"error","ok")</f>
        <v>ok</v>
      </c>
      <c r="M21" s="300" t="str">
        <f>IF(SUM('DFP-CASH'!$C33:J33)&gt;SUM('DFP-Com'!$C31:J31),"error","ok")</f>
        <v>ok</v>
      </c>
      <c r="N21" s="300" t="str">
        <f>IF(SUM('DFP-CASH'!$C33:K33)&gt;SUM('DFP-Com'!$C31:K31),"error","ok")</f>
        <v>ok</v>
      </c>
      <c r="O21" s="300" t="str">
        <f>IF(SUM('DFP-CASH'!$C33:L33)&gt;SUM('DFP-Com'!$C31:L31),"error","ok")</f>
        <v>ok</v>
      </c>
      <c r="P21" s="300" t="str">
        <f>IF(SUM('DFP-CASH'!$C33:M33)&gt;SUM('DFP-Com'!$C31:M31),"error","ok")</f>
        <v>ok</v>
      </c>
      <c r="Q21" s="300" t="str">
        <f>IF(SUM('DFP-CASH'!$C33:N33)&gt;SUM('DFP-Com'!$C31:N31),"error","ok")</f>
        <v>ok</v>
      </c>
      <c r="R21" s="300" t="str">
        <f>IF(SUM('DFP-CASH'!$C33:O33)&gt;SUM('DFP-Com'!$C31:O31),"error","ok")</f>
        <v>error</v>
      </c>
      <c r="S21" s="300" t="str">
        <f>IF(SUM('DFP-CASH'!$C33:P33)&gt;SUM('DFP-Com'!$C31:P31),"error","ok")</f>
        <v>error</v>
      </c>
    </row>
    <row r="22" spans="1:19" ht="15">
      <c r="A22" s="202" t="s">
        <v>136</v>
      </c>
      <c r="B22" s="255" t="str">
        <f>IF('DFP-Com'!S32-'DFP-CASH'!S34=0,"ok","error")</f>
        <v>error</v>
      </c>
      <c r="C22" s="300" t="str">
        <f>IF(SUM('DFP-CASH'!$C34:C34)&gt;SUM('DFP-Com'!$C32:D32),"error","ok")</f>
        <v>ok</v>
      </c>
      <c r="D22" s="300" t="str">
        <f>IF(SUM('DFP-CASH'!$C34:E34)&gt;SUM('DFP-Com'!$C32:E32),"error","ok")</f>
        <v>ok</v>
      </c>
      <c r="E22" s="300" t="str">
        <f>IF(SUM('DFP-CASH'!$C34:F34)&gt;SUM('DFP-Com'!$C32:F32),"error","ok")</f>
        <v>ok</v>
      </c>
      <c r="F22" s="300" t="str">
        <f>IF(SUM('DFP-CASH'!$C34:G34)&gt;SUM('DFP-Com'!$C32:G32),"error","ok")</f>
        <v>ok</v>
      </c>
      <c r="G22" s="300" t="str">
        <f>IF(SUM('DFP-CASH'!$C34:G34)&gt;SUM('DFP-Com'!$C32:G32),"error","ok")</f>
        <v>ok</v>
      </c>
      <c r="H22" s="300" t="str">
        <f>IF(SUM('DFP-CASH'!$C34:G34)&gt;SUM('DFP-Com'!$C32:G32),"error","ok")</f>
        <v>ok</v>
      </c>
      <c r="I22" s="300" t="str">
        <f>IF(SUM('DFP-CASH'!$C34:G34)&gt;SUM('DFP-Com'!$C32:G32),"error","ok")</f>
        <v>ok</v>
      </c>
      <c r="J22" s="300" t="str">
        <f>IF(SUM('DFP-CASH'!$C34:G34)&gt;SUM('DFP-Com'!$C32:G32),"error","ok")</f>
        <v>ok</v>
      </c>
      <c r="K22" s="300" t="str">
        <f>IF(SUM('DFP-CASH'!$C34:H34)&gt;SUM('DFP-Com'!$C32:H32),"error","ok")</f>
        <v>ok</v>
      </c>
      <c r="L22" s="300" t="str">
        <f>IF(SUM('DFP-CASH'!$C34:I34)&gt;SUM('DFP-Com'!$C32:I32),"error","ok")</f>
        <v>ok</v>
      </c>
      <c r="M22" s="300" t="str">
        <f>IF(SUM('DFP-CASH'!$C34:J34)&gt;SUM('DFP-Com'!$C32:J32),"error","ok")</f>
        <v>ok</v>
      </c>
      <c r="N22" s="300" t="str">
        <f>IF(SUM('DFP-CASH'!$C34:K34)&gt;SUM('DFP-Com'!$C32:K32),"error","ok")</f>
        <v>error</v>
      </c>
      <c r="O22" s="300" t="str">
        <f>IF(SUM('DFP-CASH'!$C34:L34)&gt;SUM('DFP-Com'!$C32:L32),"error","ok")</f>
        <v>error</v>
      </c>
      <c r="P22" s="300" t="str">
        <f>IF(SUM('DFP-CASH'!$C34:M34)&gt;SUM('DFP-Com'!$C32:M32),"error","ok")</f>
        <v>ok</v>
      </c>
      <c r="Q22" s="300" t="str">
        <f>IF(SUM('DFP-CASH'!$C34:N34)&gt;SUM('DFP-Com'!$C32:N32),"error","ok")</f>
        <v>ok</v>
      </c>
      <c r="R22" s="300" t="str">
        <f>IF(SUM('DFP-CASH'!$C34:O34)&gt;SUM('DFP-Com'!$C32:O32),"error","ok")</f>
        <v>ok</v>
      </c>
      <c r="S22" s="300" t="str">
        <f>IF(SUM('DFP-CASH'!$C34:P34)&gt;SUM('DFP-Com'!$C32:P32),"error","ok")</f>
        <v>ok</v>
      </c>
    </row>
    <row r="23" spans="1:19" ht="15">
      <c r="A23" s="202" t="s">
        <v>138</v>
      </c>
      <c r="B23" s="255" t="str">
        <f>IF('DFP-Com'!S33-'DFP-CASH'!S35=0,"ok","error")</f>
        <v>error</v>
      </c>
      <c r="C23" s="300" t="str">
        <f>IF(SUM('DFP-CASH'!$C35:C35)&gt;SUM('DFP-Com'!$C33:D33),"error","ok")</f>
        <v>ok</v>
      </c>
      <c r="D23" s="300" t="str">
        <f>IF(SUM('DFP-CASH'!$C35:E35)&gt;SUM('DFP-Com'!$C33:E33),"error","ok")</f>
        <v>ok</v>
      </c>
      <c r="E23" s="300" t="str">
        <f>IF(SUM('DFP-CASH'!$C35:F35)&gt;SUM('DFP-Com'!$C33:F33),"error","ok")</f>
        <v>ok</v>
      </c>
      <c r="F23" s="300" t="str">
        <f>IF(SUM('DFP-CASH'!$C35:G35)&gt;SUM('DFP-Com'!$C33:G33),"error","ok")</f>
        <v>ok</v>
      </c>
      <c r="G23" s="300" t="str">
        <f>IF(SUM('DFP-CASH'!$C35:G35)&gt;SUM('DFP-Com'!$C33:G33),"error","ok")</f>
        <v>ok</v>
      </c>
      <c r="H23" s="300" t="str">
        <f>IF(SUM('DFP-CASH'!$C35:G35)&gt;SUM('DFP-Com'!$C33:G33),"error","ok")</f>
        <v>ok</v>
      </c>
      <c r="I23" s="300" t="str">
        <f>IF(SUM('DFP-CASH'!$C35:G35)&gt;SUM('DFP-Com'!$C33:G33),"error","ok")</f>
        <v>ok</v>
      </c>
      <c r="J23" s="300" t="str">
        <f>IF(SUM('DFP-CASH'!$C35:G35)&gt;SUM('DFP-Com'!$C33:G33),"error","ok")</f>
        <v>ok</v>
      </c>
      <c r="K23" s="300" t="str">
        <f>IF(SUM('DFP-CASH'!$C35:H35)&gt;SUM('DFP-Com'!$C33:H33),"error","ok")</f>
        <v>ok</v>
      </c>
      <c r="L23" s="300" t="str">
        <f>IF(SUM('DFP-CASH'!$C35:I35)&gt;SUM('DFP-Com'!$C33:I33),"error","ok")</f>
        <v>ok</v>
      </c>
      <c r="M23" s="300" t="str">
        <f>IF(SUM('DFP-CASH'!$C35:J35)&gt;SUM('DFP-Com'!$C33:J33),"error","ok")</f>
        <v>ok</v>
      </c>
      <c r="N23" s="300" t="str">
        <f>IF(SUM('DFP-CASH'!$C35:K35)&gt;SUM('DFP-Com'!$C33:K33),"error","ok")</f>
        <v>ok</v>
      </c>
      <c r="O23" s="300" t="str">
        <f>IF(SUM('DFP-CASH'!$C35:L35)&gt;SUM('DFP-Com'!$C33:L33),"error","ok")</f>
        <v>ok</v>
      </c>
      <c r="P23" s="300" t="str">
        <f>IF(SUM('DFP-CASH'!$C35:M35)&gt;SUM('DFP-Com'!$C33:M33),"error","ok")</f>
        <v>ok</v>
      </c>
      <c r="Q23" s="300" t="str">
        <f>IF(SUM('DFP-CASH'!$C35:N35)&gt;SUM('DFP-Com'!$C33:N33),"error","ok")</f>
        <v>ok</v>
      </c>
      <c r="R23" s="300" t="str">
        <f>IF(SUM('DFP-CASH'!$C35:O35)&gt;SUM('DFP-Com'!$C33:O33),"error","ok")</f>
        <v>ok</v>
      </c>
      <c r="S23" s="300" t="str">
        <f>IF(SUM('DFP-CASH'!$C35:P35)&gt;SUM('DFP-Com'!$C33:P33),"error","ok")</f>
        <v>ok</v>
      </c>
    </row>
    <row r="24" spans="1:19" ht="15">
      <c r="A24" s="59" t="s">
        <v>64</v>
      </c>
      <c r="B24" s="255" t="str">
        <f>IF('DFP-Com'!S34-'DFP-CASH'!S36=0,"ok","error")</f>
        <v>error</v>
      </c>
      <c r="C24" s="300" t="str">
        <f>IF(SUM('DFP-CASH'!$C36:C36)&gt;SUM('DFP-Com'!$C34:D34),"error","ok")</f>
        <v>ok</v>
      </c>
      <c r="D24" s="300" t="str">
        <f>IF(SUM('DFP-CASH'!$C36:E36)&gt;SUM('DFP-Com'!$C34:E34),"error","ok")</f>
        <v>ok</v>
      </c>
      <c r="E24" s="300" t="str">
        <f>IF(SUM('DFP-CASH'!$C36:F36)&gt;SUM('DFP-Com'!$C34:F34),"error","ok")</f>
        <v>ok</v>
      </c>
      <c r="F24" s="300" t="str">
        <f>IF(SUM('DFP-CASH'!$C36:G36)&gt;SUM('DFP-Com'!$C34:G34),"error","ok")</f>
        <v>ok</v>
      </c>
      <c r="G24" s="300" t="str">
        <f>IF(SUM('DFP-CASH'!$C36:G36)&gt;SUM('DFP-Com'!$C34:G34),"error","ok")</f>
        <v>ok</v>
      </c>
      <c r="H24" s="300" t="str">
        <f>IF(SUM('DFP-CASH'!$C36:G36)&gt;SUM('DFP-Com'!$C34:G34),"error","ok")</f>
        <v>ok</v>
      </c>
      <c r="I24" s="300" t="str">
        <f>IF(SUM('DFP-CASH'!$C36:G36)&gt;SUM('DFP-Com'!$C34:G34),"error","ok")</f>
        <v>ok</v>
      </c>
      <c r="J24" s="300" t="str">
        <f>IF(SUM('DFP-CASH'!$C36:G36)&gt;SUM('DFP-Com'!$C34:G34),"error","ok")</f>
        <v>ok</v>
      </c>
      <c r="K24" s="300" t="str">
        <f>IF(SUM('DFP-CASH'!$C36:H36)&gt;SUM('DFP-Com'!$C34:H34),"error","ok")</f>
        <v>ok</v>
      </c>
      <c r="L24" s="300" t="str">
        <f>IF(SUM('DFP-CASH'!$C36:I36)&gt;SUM('DFP-Com'!$C34:I34),"error","ok")</f>
        <v>ok</v>
      </c>
      <c r="M24" s="300" t="str">
        <f>IF(SUM('DFP-CASH'!$C36:J36)&gt;SUM('DFP-Com'!$C34:J34),"error","ok")</f>
        <v>ok</v>
      </c>
      <c r="N24" s="300" t="str">
        <f>IF(SUM('DFP-CASH'!$C36:K36)&gt;SUM('DFP-Com'!$C34:K34),"error","ok")</f>
        <v>ok</v>
      </c>
      <c r="O24" s="300" t="str">
        <f>IF(SUM('DFP-CASH'!$C36:L36)&gt;SUM('DFP-Com'!$C34:L34),"error","ok")</f>
        <v>ok</v>
      </c>
      <c r="P24" s="300" t="str">
        <f>IF(SUM('DFP-CASH'!$C36:M36)&gt;SUM('DFP-Com'!$C34:M34),"error","ok")</f>
        <v>ok</v>
      </c>
      <c r="Q24" s="300" t="str">
        <f>IF(SUM('DFP-CASH'!$C36:N36)&gt;SUM('DFP-Com'!$C34:N34),"error","ok")</f>
        <v>ok</v>
      </c>
      <c r="R24" s="300" t="str">
        <f>IF(SUM('DFP-CASH'!$C36:O36)&gt;SUM('DFP-Com'!$C34:O34),"error","ok")</f>
        <v>ok</v>
      </c>
      <c r="S24" s="300" t="str">
        <f>IF(SUM('DFP-CASH'!$C36:P36)&gt;SUM('DFP-Com'!$C34:P34),"error","ok")</f>
        <v>ok</v>
      </c>
    </row>
    <row r="25" spans="1:19" ht="15">
      <c r="A25" s="54"/>
      <c r="B25" s="255" t="str">
        <f>IF('DFP-Com'!S35-'DFP-CASH'!S37=0,"ok","error")</f>
        <v>ok</v>
      </c>
      <c r="C25" s="300" t="str">
        <f>IF(SUM('DFP-CASH'!$C37:C37)&gt;SUM('DFP-Com'!$C35:D35),"error","ok")</f>
        <v>ok</v>
      </c>
      <c r="D25" s="300" t="str">
        <f>IF(SUM('DFP-CASH'!$C37:E37)&gt;SUM('DFP-Com'!$C35:E35),"error","ok")</f>
        <v>ok</v>
      </c>
      <c r="E25" s="300" t="str">
        <f>IF(SUM('DFP-CASH'!$C37:F37)&gt;SUM('DFP-Com'!$C35:F35),"error","ok")</f>
        <v>ok</v>
      </c>
      <c r="F25" s="300" t="str">
        <f>IF(SUM('DFP-CASH'!$C37:G37)&gt;SUM('DFP-Com'!$C35:G35),"error","ok")</f>
        <v>ok</v>
      </c>
      <c r="G25" s="300" t="str">
        <f>IF(SUM('DFP-CASH'!$C37:G37)&gt;SUM('DFP-Com'!$C35:G35),"error","ok")</f>
        <v>ok</v>
      </c>
      <c r="H25" s="300" t="str">
        <f>IF(SUM('DFP-CASH'!$C37:G37)&gt;SUM('DFP-Com'!$C35:G35),"error","ok")</f>
        <v>ok</v>
      </c>
      <c r="I25" s="300" t="str">
        <f>IF(SUM('DFP-CASH'!$C37:G37)&gt;SUM('DFP-Com'!$C35:G35),"error","ok")</f>
        <v>ok</v>
      </c>
      <c r="J25" s="300" t="str">
        <f>IF(SUM('DFP-CASH'!$C37:G37)&gt;SUM('DFP-Com'!$C35:G35),"error","ok")</f>
        <v>ok</v>
      </c>
      <c r="K25" s="300" t="str">
        <f>IF(SUM('DFP-CASH'!$C37:H37)&gt;SUM('DFP-Com'!$C35:H35),"error","ok")</f>
        <v>ok</v>
      </c>
      <c r="L25" s="300" t="str">
        <f>IF(SUM('DFP-CASH'!$C37:I37)&gt;SUM('DFP-Com'!$C35:I35),"error","ok")</f>
        <v>ok</v>
      </c>
      <c r="M25" s="300" t="str">
        <f>IF(SUM('DFP-CASH'!$C37:J37)&gt;SUM('DFP-Com'!$C35:J35),"error","ok")</f>
        <v>ok</v>
      </c>
      <c r="N25" s="300" t="str">
        <f>IF(SUM('DFP-CASH'!$C37:K37)&gt;SUM('DFP-Com'!$C35:K35),"error","ok")</f>
        <v>ok</v>
      </c>
      <c r="O25" s="300" t="str">
        <f>IF(SUM('DFP-CASH'!$C37:L37)&gt;SUM('DFP-Com'!$C35:L35),"error","ok")</f>
        <v>ok</v>
      </c>
      <c r="P25" s="300" t="str">
        <f>IF(SUM('DFP-CASH'!$C37:M37)&gt;SUM('DFP-Com'!$C35:M35),"error","ok")</f>
        <v>ok</v>
      </c>
      <c r="Q25" s="300" t="str">
        <f>IF(SUM('DFP-CASH'!$C37:N37)&gt;SUM('DFP-Com'!$C35:N35),"error","ok")</f>
        <v>ok</v>
      </c>
      <c r="R25" s="300" t="str">
        <f>IF(SUM('DFP-CASH'!$C37:O37)&gt;SUM('DFP-Com'!$C35:O35),"error","ok")</f>
        <v>ok</v>
      </c>
      <c r="S25" s="300" t="str">
        <f>IF(SUM('DFP-CASH'!$C37:P37)&gt;SUM('DFP-Com'!$C35:P35),"error","ok")</f>
        <v>ok</v>
      </c>
    </row>
    <row r="26" spans="1:19" ht="15">
      <c r="A26" s="45" t="s">
        <v>98</v>
      </c>
      <c r="B26" s="255" t="str">
        <f>IF('DFP-Com'!S36-'DFP-CASH'!S38=0,"ok","error")</f>
        <v>ok</v>
      </c>
      <c r="C26" s="300" t="str">
        <f>IF(SUM('DFP-CASH'!$C38:C38)&gt;SUM('DFP-Com'!$C36:D36),"error","ok")</f>
        <v>ok</v>
      </c>
      <c r="D26" s="300" t="str">
        <f>IF(SUM('DFP-CASH'!$C38:E38)&gt;SUM('DFP-Com'!$C36:E36),"error","ok")</f>
        <v>ok</v>
      </c>
      <c r="E26" s="300" t="str">
        <f>IF(SUM('DFP-CASH'!$C38:F38)&gt;SUM('DFP-Com'!$C36:F36),"error","ok")</f>
        <v>ok</v>
      </c>
      <c r="F26" s="300" t="str">
        <f>IF(SUM('DFP-CASH'!$C38:G38)&gt;SUM('DFP-Com'!$C36:G36),"error","ok")</f>
        <v>ok</v>
      </c>
      <c r="G26" s="300" t="str">
        <f>IF(SUM('DFP-CASH'!$C38:G38)&gt;SUM('DFP-Com'!$C36:G36),"error","ok")</f>
        <v>ok</v>
      </c>
      <c r="H26" s="300" t="str">
        <f>IF(SUM('DFP-CASH'!$C38:G38)&gt;SUM('DFP-Com'!$C36:G36),"error","ok")</f>
        <v>ok</v>
      </c>
      <c r="I26" s="300" t="str">
        <f>IF(SUM('DFP-CASH'!$C38:G38)&gt;SUM('DFP-Com'!$C36:G36),"error","ok")</f>
        <v>ok</v>
      </c>
      <c r="J26" s="300" t="str">
        <f>IF(SUM('DFP-CASH'!$C38:G38)&gt;SUM('DFP-Com'!$C36:G36),"error","ok")</f>
        <v>ok</v>
      </c>
      <c r="K26" s="300" t="str">
        <f>IF(SUM('DFP-CASH'!$C38:H38)&gt;SUM('DFP-Com'!$C36:H36),"error","ok")</f>
        <v>ok</v>
      </c>
      <c r="L26" s="300" t="str">
        <f>IF(SUM('DFP-CASH'!$C38:I38)&gt;SUM('DFP-Com'!$C36:I36),"error","ok")</f>
        <v>ok</v>
      </c>
      <c r="M26" s="300" t="str">
        <f>IF(SUM('DFP-CASH'!$C38:J38)&gt;SUM('DFP-Com'!$C36:J36),"error","ok")</f>
        <v>ok</v>
      </c>
      <c r="N26" s="300" t="str">
        <f>IF(SUM('DFP-CASH'!$C38:K38)&gt;SUM('DFP-Com'!$C36:K36),"error","ok")</f>
        <v>ok</v>
      </c>
      <c r="O26" s="300" t="str">
        <f>IF(SUM('DFP-CASH'!$C38:L38)&gt;SUM('DFP-Com'!$C36:L36),"error","ok")</f>
        <v>ok</v>
      </c>
      <c r="P26" s="300" t="str">
        <f>IF(SUM('DFP-CASH'!$C38:M38)&gt;SUM('DFP-Com'!$C36:M36),"error","ok")</f>
        <v>ok</v>
      </c>
      <c r="Q26" s="300" t="str">
        <f>IF(SUM('DFP-CASH'!$C38:N38)&gt;SUM('DFP-Com'!$C36:N36),"error","ok")</f>
        <v>ok</v>
      </c>
      <c r="R26" s="300" t="str">
        <f>IF(SUM('DFP-CASH'!$C38:O38)&gt;SUM('DFP-Com'!$C36:O36),"error","ok")</f>
        <v>ok</v>
      </c>
      <c r="S26" s="300" t="str">
        <f>IF(SUM('DFP-CASH'!$C38:P38)&gt;SUM('DFP-Com'!$C36:P36),"error","ok")</f>
        <v>ok</v>
      </c>
    </row>
    <row r="27" spans="1:19" ht="15">
      <c r="A27" s="65" t="s">
        <v>99</v>
      </c>
      <c r="B27" s="255" t="str">
        <f>IF('DFP-Com'!S37-'DFP-CASH'!S39=0,"ok","error")</f>
        <v>error</v>
      </c>
      <c r="C27" s="300" t="str">
        <f>IF(SUM('DFP-CASH'!$C39:C39)&gt;SUM('DFP-Com'!$C37:D37),"error","ok")</f>
        <v>ok</v>
      </c>
      <c r="D27" s="300" t="str">
        <f>IF(SUM('DFP-CASH'!$C39:E39)&gt;SUM('DFP-Com'!$C37:E37),"error","ok")</f>
        <v>ok</v>
      </c>
      <c r="E27" s="300" t="str">
        <f>IF(SUM('DFP-CASH'!$C39:F39)&gt;SUM('DFP-Com'!$C37:F37),"error","ok")</f>
        <v>ok</v>
      </c>
      <c r="F27" s="300" t="str">
        <f>IF(SUM('DFP-CASH'!$C39:G39)&gt;SUM('DFP-Com'!$C37:G37),"error","ok")</f>
        <v>ok</v>
      </c>
      <c r="G27" s="300" t="str">
        <f>IF(SUM('DFP-CASH'!$C39:G39)&gt;SUM('DFP-Com'!$C37:G37),"error","ok")</f>
        <v>ok</v>
      </c>
      <c r="H27" s="300" t="str">
        <f>IF(SUM('DFP-CASH'!$C39:G39)&gt;SUM('DFP-Com'!$C37:G37),"error","ok")</f>
        <v>ok</v>
      </c>
      <c r="I27" s="300" t="str">
        <f>IF(SUM('DFP-CASH'!$C39:G39)&gt;SUM('DFP-Com'!$C37:G37),"error","ok")</f>
        <v>ok</v>
      </c>
      <c r="J27" s="300" t="str">
        <f>IF(SUM('DFP-CASH'!$C39:G39)&gt;SUM('DFP-Com'!$C37:G37),"error","ok")</f>
        <v>ok</v>
      </c>
      <c r="K27" s="300" t="str">
        <f>IF(SUM('DFP-CASH'!$C39:H39)&gt;SUM('DFP-Com'!$C37:H37),"error","ok")</f>
        <v>ok</v>
      </c>
      <c r="L27" s="300" t="str">
        <f>IF(SUM('DFP-CASH'!$C39:I39)&gt;SUM('DFP-Com'!$C37:I37),"error","ok")</f>
        <v>ok</v>
      </c>
      <c r="M27" s="300" t="str">
        <f>IF(SUM('DFP-CASH'!$C39:J39)&gt;SUM('DFP-Com'!$C37:J37),"error","ok")</f>
        <v>ok</v>
      </c>
      <c r="N27" s="300" t="str">
        <f>IF(SUM('DFP-CASH'!$C39:K39)&gt;SUM('DFP-Com'!$C37:K37),"error","ok")</f>
        <v>ok</v>
      </c>
      <c r="O27" s="300" t="str">
        <f>IF(SUM('DFP-CASH'!$C39:L39)&gt;SUM('DFP-Com'!$C37:L37),"error","ok")</f>
        <v>error</v>
      </c>
      <c r="P27" s="300" t="str">
        <f>IF(SUM('DFP-CASH'!$C39:M39)&gt;SUM('DFP-Com'!$C37:M37),"error","ok")</f>
        <v>error</v>
      </c>
      <c r="Q27" s="300" t="str">
        <f>IF(SUM('DFP-CASH'!$C39:N39)&gt;SUM('DFP-Com'!$C37:N37),"error","ok")</f>
        <v>error</v>
      </c>
      <c r="R27" s="300" t="str">
        <f>IF(SUM('DFP-CASH'!$C39:O39)&gt;SUM('DFP-Com'!$C37:O37),"error","ok")</f>
        <v>error</v>
      </c>
      <c r="S27" s="300" t="str">
        <f>IF(SUM('DFP-CASH'!$C39:P39)&gt;SUM('DFP-Com'!$C37:P37),"error","ok")</f>
        <v>error</v>
      </c>
    </row>
    <row r="28" spans="1:19" ht="15">
      <c r="A28" s="213" t="s">
        <v>125</v>
      </c>
      <c r="B28" s="255" t="str">
        <f>IF('DFP-Com'!S38-'DFP-CASH'!S40=0,"ok","error")</f>
        <v>error</v>
      </c>
      <c r="C28" s="300" t="str">
        <f>IF(SUM('DFP-CASH'!$C40:C40)&gt;SUM('DFP-Com'!$C38:D38),"error","ok")</f>
        <v>ok</v>
      </c>
      <c r="D28" s="300" t="str">
        <f>IF(SUM('DFP-CASH'!$C40:E40)&gt;SUM('DFP-Com'!$C38:E38),"error","ok")</f>
        <v>ok</v>
      </c>
      <c r="E28" s="300" t="str">
        <f>IF(SUM('DFP-CASH'!$C40:F40)&gt;SUM('DFP-Com'!$C38:F38),"error","ok")</f>
        <v>ok</v>
      </c>
      <c r="F28" s="300" t="str">
        <f>IF(SUM('DFP-CASH'!$C40:G40)&gt;SUM('DFP-Com'!$C38:G38),"error","ok")</f>
        <v>ok</v>
      </c>
      <c r="G28" s="300" t="str">
        <f>IF(SUM('DFP-CASH'!$C40:G40)&gt;SUM('DFP-Com'!$C38:G38),"error","ok")</f>
        <v>ok</v>
      </c>
      <c r="H28" s="300" t="str">
        <f>IF(SUM('DFP-CASH'!$C40:G40)&gt;SUM('DFP-Com'!$C38:G38),"error","ok")</f>
        <v>ok</v>
      </c>
      <c r="I28" s="300" t="str">
        <f>IF(SUM('DFP-CASH'!$C40:G40)&gt;SUM('DFP-Com'!$C38:G38),"error","ok")</f>
        <v>ok</v>
      </c>
      <c r="J28" s="300" t="str">
        <f>IF(SUM('DFP-CASH'!$C40:G40)&gt;SUM('DFP-Com'!$C38:G38),"error","ok")</f>
        <v>ok</v>
      </c>
      <c r="K28" s="300" t="str">
        <f>IF(SUM('DFP-CASH'!$C40:H40)&gt;SUM('DFP-Com'!$C38:H38),"error","ok")</f>
        <v>ok</v>
      </c>
      <c r="L28" s="300" t="str">
        <f>IF(SUM('DFP-CASH'!$C40:I40)&gt;SUM('DFP-Com'!$C38:I38),"error","ok")</f>
        <v>ok</v>
      </c>
      <c r="M28" s="300" t="str">
        <f>IF(SUM('DFP-CASH'!$C40:J40)&gt;SUM('DFP-Com'!$C38:J38),"error","ok")</f>
        <v>ok</v>
      </c>
      <c r="N28" s="300" t="str">
        <f>IF(SUM('DFP-CASH'!$C40:K40)&gt;SUM('DFP-Com'!$C38:K38),"error","ok")</f>
        <v>ok</v>
      </c>
      <c r="O28" s="300" t="str">
        <f>IF(SUM('DFP-CASH'!$C40:L40)&gt;SUM('DFP-Com'!$C38:L38),"error","ok")</f>
        <v>error</v>
      </c>
      <c r="P28" s="300" t="str">
        <f>IF(SUM('DFP-CASH'!$C40:M40)&gt;SUM('DFP-Com'!$C38:M38),"error","ok")</f>
        <v>error</v>
      </c>
      <c r="Q28" s="300" t="str">
        <f>IF(SUM('DFP-CASH'!$C40:N40)&gt;SUM('DFP-Com'!$C38:N38),"error","ok")</f>
        <v>error</v>
      </c>
      <c r="R28" s="300" t="str">
        <f>IF(SUM('DFP-CASH'!$C40:O40)&gt;SUM('DFP-Com'!$C38:O38),"error","ok")</f>
        <v>error</v>
      </c>
      <c r="S28" s="300" t="str">
        <f>IF(SUM('DFP-CASH'!$C40:P40)&gt;SUM('DFP-Com'!$C38:P38),"error","ok")</f>
        <v>error</v>
      </c>
    </row>
    <row r="29" spans="1:19" ht="15">
      <c r="A29" s="213" t="s">
        <v>126</v>
      </c>
      <c r="B29" s="255" t="str">
        <f>IF('DFP-Com'!S39-'DFP-CASH'!S41=0,"ok","error")</f>
        <v>ok</v>
      </c>
      <c r="C29" s="300" t="str">
        <f>IF(SUM('DFP-CASH'!$C41:C41)&gt;SUM('DFP-Com'!$C39:D39),"error","ok")</f>
        <v>ok</v>
      </c>
      <c r="D29" s="300" t="str">
        <f>IF(SUM('DFP-CASH'!$C41:E41)&gt;SUM('DFP-Com'!$C39:E39),"error","ok")</f>
        <v>ok</v>
      </c>
      <c r="E29" s="300" t="str">
        <f>IF(SUM('DFP-CASH'!$C41:F41)&gt;SUM('DFP-Com'!$C39:F39),"error","ok")</f>
        <v>ok</v>
      </c>
      <c r="F29" s="300" t="str">
        <f>IF(SUM('DFP-CASH'!$C41:G41)&gt;SUM('DFP-Com'!$C39:G39),"error","ok")</f>
        <v>ok</v>
      </c>
      <c r="G29" s="300" t="str">
        <f>IF(SUM('DFP-CASH'!$C41:G41)&gt;SUM('DFP-Com'!$C39:G39),"error","ok")</f>
        <v>ok</v>
      </c>
      <c r="H29" s="300" t="str">
        <f>IF(SUM('DFP-CASH'!$C41:G41)&gt;SUM('DFP-Com'!$C39:G39),"error","ok")</f>
        <v>ok</v>
      </c>
      <c r="I29" s="300" t="str">
        <f>IF(SUM('DFP-CASH'!$C41:G41)&gt;SUM('DFP-Com'!$C39:G39),"error","ok")</f>
        <v>ok</v>
      </c>
      <c r="J29" s="300" t="str">
        <f>IF(SUM('DFP-CASH'!$C41:G41)&gt;SUM('DFP-Com'!$C39:G39),"error","ok")</f>
        <v>ok</v>
      </c>
      <c r="K29" s="300" t="str">
        <f>IF(SUM('DFP-CASH'!$C41:H41)&gt;SUM('DFP-Com'!$C39:H39),"error","ok")</f>
        <v>ok</v>
      </c>
      <c r="L29" s="300" t="str">
        <f>IF(SUM('DFP-CASH'!$C41:I41)&gt;SUM('DFP-Com'!$C39:I39),"error","ok")</f>
        <v>ok</v>
      </c>
      <c r="M29" s="300" t="str">
        <f>IF(SUM('DFP-CASH'!$C41:J41)&gt;SUM('DFP-Com'!$C39:J39),"error","ok")</f>
        <v>ok</v>
      </c>
      <c r="N29" s="300" t="str">
        <f>IF(SUM('DFP-CASH'!$C41:K41)&gt;SUM('DFP-Com'!$C39:K39),"error","ok")</f>
        <v>ok</v>
      </c>
      <c r="O29" s="300" t="str">
        <f>IF(SUM('DFP-CASH'!$C41:L41)&gt;SUM('DFP-Com'!$C39:L39),"error","ok")</f>
        <v>ok</v>
      </c>
      <c r="P29" s="300" t="str">
        <f>IF(SUM('DFP-CASH'!$C41:M41)&gt;SUM('DFP-Com'!$C39:M39),"error","ok")</f>
        <v>ok</v>
      </c>
      <c r="Q29" s="300" t="str">
        <f>IF(SUM('DFP-CASH'!$C41:N41)&gt;SUM('DFP-Com'!$C39:N39),"error","ok")</f>
        <v>ok</v>
      </c>
      <c r="R29" s="300" t="str">
        <f>IF(SUM('DFP-CASH'!$C41:O41)&gt;SUM('DFP-Com'!$C39:O39),"error","ok")</f>
        <v>ok</v>
      </c>
      <c r="S29" s="300" t="str">
        <f>IF(SUM('DFP-CASH'!$C41:P41)&gt;SUM('DFP-Com'!$C39:P39),"error","ok")</f>
        <v>ok</v>
      </c>
    </row>
    <row r="30" spans="1:19" ht="15">
      <c r="A30" s="213" t="s">
        <v>127</v>
      </c>
      <c r="B30" s="255" t="str">
        <f>IF('DFP-Com'!S40-'DFP-CASH'!S42=0,"ok","error")</f>
        <v>ok</v>
      </c>
      <c r="C30" s="300" t="str">
        <f>IF(SUM('DFP-CASH'!$C42:C42)&gt;SUM('DFP-Com'!$C40:D40),"error","ok")</f>
        <v>ok</v>
      </c>
      <c r="D30" s="300" t="str">
        <f>IF(SUM('DFP-CASH'!$C42:E42)&gt;SUM('DFP-Com'!$C40:E40),"error","ok")</f>
        <v>ok</v>
      </c>
      <c r="E30" s="300" t="str">
        <f>IF(SUM('DFP-CASH'!$C42:F42)&gt;SUM('DFP-Com'!$C40:F40),"error","ok")</f>
        <v>ok</v>
      </c>
      <c r="F30" s="300" t="str">
        <f>IF(SUM('DFP-CASH'!$C42:G42)&gt;SUM('DFP-Com'!$C40:G40),"error","ok")</f>
        <v>ok</v>
      </c>
      <c r="G30" s="300" t="str">
        <f>IF(SUM('DFP-CASH'!$C42:G42)&gt;SUM('DFP-Com'!$C40:G40),"error","ok")</f>
        <v>ok</v>
      </c>
      <c r="H30" s="300" t="str">
        <f>IF(SUM('DFP-CASH'!$C42:G42)&gt;SUM('DFP-Com'!$C40:G40),"error","ok")</f>
        <v>ok</v>
      </c>
      <c r="I30" s="300" t="str">
        <f>IF(SUM('DFP-CASH'!$C42:G42)&gt;SUM('DFP-Com'!$C40:G40),"error","ok")</f>
        <v>ok</v>
      </c>
      <c r="J30" s="300" t="str">
        <f>IF(SUM('DFP-CASH'!$C42:G42)&gt;SUM('DFP-Com'!$C40:G40),"error","ok")</f>
        <v>ok</v>
      </c>
      <c r="K30" s="300" t="str">
        <f>IF(SUM('DFP-CASH'!$C42:H42)&gt;SUM('DFP-Com'!$C40:H40),"error","ok")</f>
        <v>ok</v>
      </c>
      <c r="L30" s="300" t="str">
        <f>IF(SUM('DFP-CASH'!$C42:I42)&gt;SUM('DFP-Com'!$C40:I40),"error","ok")</f>
        <v>ok</v>
      </c>
      <c r="M30" s="300" t="str">
        <f>IF(SUM('DFP-CASH'!$C42:J42)&gt;SUM('DFP-Com'!$C40:J40),"error","ok")</f>
        <v>ok</v>
      </c>
      <c r="N30" s="300" t="str">
        <f>IF(SUM('DFP-CASH'!$C42:K42)&gt;SUM('DFP-Com'!$C40:K40),"error","ok")</f>
        <v>ok</v>
      </c>
      <c r="O30" s="300" t="str">
        <f>IF(SUM('DFP-CASH'!$C42:L42)&gt;SUM('DFP-Com'!$C40:L40),"error","ok")</f>
        <v>ok</v>
      </c>
      <c r="P30" s="300" t="str">
        <f>IF(SUM('DFP-CASH'!$C42:M42)&gt;SUM('DFP-Com'!$C40:M40),"error","ok")</f>
        <v>ok</v>
      </c>
      <c r="Q30" s="300" t="str">
        <f>IF(SUM('DFP-CASH'!$C42:N42)&gt;SUM('DFP-Com'!$C40:N40),"error","ok")</f>
        <v>error</v>
      </c>
      <c r="R30" s="300" t="str">
        <f>IF(SUM('DFP-CASH'!$C42:O42)&gt;SUM('DFP-Com'!$C40:O40),"error","ok")</f>
        <v>error</v>
      </c>
      <c r="S30" s="300" t="str">
        <f>IF(SUM('DFP-CASH'!$C42:P42)&gt;SUM('DFP-Com'!$C40:P40),"error","ok")</f>
        <v>error</v>
      </c>
    </row>
    <row r="31" spans="1:19" ht="15">
      <c r="A31" s="213" t="s">
        <v>137</v>
      </c>
      <c r="B31" s="255" t="str">
        <f>IF('DFP-Com'!S41-'DFP-CASH'!S43=0,"ok","error")</f>
        <v>ok</v>
      </c>
      <c r="C31" s="300" t="str">
        <f>IF(SUM('DFP-CASH'!$C43:C43)&gt;SUM('DFP-Com'!$C41:D41),"error","ok")</f>
        <v>ok</v>
      </c>
      <c r="D31" s="300" t="str">
        <f>IF(SUM('DFP-CASH'!$C43:E43)&gt;SUM('DFP-Com'!$C41:E41),"error","ok")</f>
        <v>ok</v>
      </c>
      <c r="E31" s="300" t="str">
        <f>IF(SUM('DFP-CASH'!$C43:F43)&gt;SUM('DFP-Com'!$C41:F41),"error","ok")</f>
        <v>ok</v>
      </c>
      <c r="F31" s="300" t="str">
        <f>IF(SUM('DFP-CASH'!$C43:G43)&gt;SUM('DFP-Com'!$C41:G41),"error","ok")</f>
        <v>ok</v>
      </c>
      <c r="G31" s="300" t="str">
        <f>IF(SUM('DFP-CASH'!$C43:G43)&gt;SUM('DFP-Com'!$C41:G41),"error","ok")</f>
        <v>ok</v>
      </c>
      <c r="H31" s="300" t="str">
        <f>IF(SUM('DFP-CASH'!$C43:G43)&gt;SUM('DFP-Com'!$C41:G41),"error","ok")</f>
        <v>ok</v>
      </c>
      <c r="I31" s="300" t="str">
        <f>IF(SUM('DFP-CASH'!$C43:G43)&gt;SUM('DFP-Com'!$C41:G41),"error","ok")</f>
        <v>ok</v>
      </c>
      <c r="J31" s="300" t="str">
        <f>IF(SUM('DFP-CASH'!$C43:G43)&gt;SUM('DFP-Com'!$C41:G41),"error","ok")</f>
        <v>ok</v>
      </c>
      <c r="K31" s="300" t="str">
        <f>IF(SUM('DFP-CASH'!$C43:H43)&gt;SUM('DFP-Com'!$C41:H41),"error","ok")</f>
        <v>ok</v>
      </c>
      <c r="L31" s="300" t="str">
        <f>IF(SUM('DFP-CASH'!$C43:I43)&gt;SUM('DFP-Com'!$C41:I41),"error","ok")</f>
        <v>ok</v>
      </c>
      <c r="M31" s="300" t="str">
        <f>IF(SUM('DFP-CASH'!$C43:J43)&gt;SUM('DFP-Com'!$C41:J41),"error","ok")</f>
        <v>ok</v>
      </c>
      <c r="N31" s="300" t="str">
        <f>IF(SUM('DFP-CASH'!$C43:K43)&gt;SUM('DFP-Com'!$C41:K41),"error","ok")</f>
        <v>ok</v>
      </c>
      <c r="O31" s="300" t="str">
        <f>IF(SUM('DFP-CASH'!$C43:L43)&gt;SUM('DFP-Com'!$C41:L41),"error","ok")</f>
        <v>ok</v>
      </c>
      <c r="P31" s="300" t="str">
        <f>IF(SUM('DFP-CASH'!$C43:M43)&gt;SUM('DFP-Com'!$C41:M41),"error","ok")</f>
        <v>ok</v>
      </c>
      <c r="Q31" s="300" t="str">
        <f>IF(SUM('DFP-CASH'!$C43:N43)&gt;SUM('DFP-Com'!$C41:N41),"error","ok")</f>
        <v>error</v>
      </c>
      <c r="R31" s="300" t="str">
        <f>IF(SUM('DFP-CASH'!$C43:O43)&gt;SUM('DFP-Com'!$C41:O41),"error","ok")</f>
        <v>error</v>
      </c>
      <c r="S31" s="300" t="str">
        <f>IF(SUM('DFP-CASH'!$C43:P43)&gt;SUM('DFP-Com'!$C41:P41),"error","ok")</f>
        <v>error</v>
      </c>
    </row>
    <row r="32" spans="1:19" ht="15">
      <c r="A32" s="59" t="s">
        <v>17</v>
      </c>
      <c r="B32" s="255" t="str">
        <f>IF('DFP-Com'!S42-'DFP-CASH'!S44=0,"ok","error")</f>
        <v>error</v>
      </c>
      <c r="C32" s="300" t="str">
        <f>IF(SUM('DFP-CASH'!$C44:C44)&gt;SUM('DFP-Com'!$C42:D42),"error","ok")</f>
        <v>ok</v>
      </c>
      <c r="D32" s="300" t="str">
        <f>IF(SUM('DFP-CASH'!$C44:E44)&gt;SUM('DFP-Com'!$C42:E42),"error","ok")</f>
        <v>ok</v>
      </c>
      <c r="E32" s="300" t="str">
        <f>IF(SUM('DFP-CASH'!$C44:F44)&gt;SUM('DFP-Com'!$C42:F42),"error","ok")</f>
        <v>ok</v>
      </c>
      <c r="F32" s="300" t="str">
        <f>IF(SUM('DFP-CASH'!$C44:G44)&gt;SUM('DFP-Com'!$C42:G42),"error","ok")</f>
        <v>ok</v>
      </c>
      <c r="G32" s="300" t="str">
        <f>IF(SUM('DFP-CASH'!$C44:G44)&gt;SUM('DFP-Com'!$C42:G42),"error","ok")</f>
        <v>ok</v>
      </c>
      <c r="H32" s="300" t="str">
        <f>IF(SUM('DFP-CASH'!$C44:G44)&gt;SUM('DFP-Com'!$C42:G42),"error","ok")</f>
        <v>ok</v>
      </c>
      <c r="I32" s="300" t="str">
        <f>IF(SUM('DFP-CASH'!$C44:G44)&gt;SUM('DFP-Com'!$C42:G42),"error","ok")</f>
        <v>ok</v>
      </c>
      <c r="J32" s="300" t="str">
        <f>IF(SUM('DFP-CASH'!$C44:G44)&gt;SUM('DFP-Com'!$C42:G42),"error","ok")</f>
        <v>ok</v>
      </c>
      <c r="K32" s="300" t="str">
        <f>IF(SUM('DFP-CASH'!$C44:H44)&gt;SUM('DFP-Com'!$C42:H42),"error","ok")</f>
        <v>ok</v>
      </c>
      <c r="L32" s="300" t="str">
        <f>IF(SUM('DFP-CASH'!$C44:I44)&gt;SUM('DFP-Com'!$C42:I42),"error","ok")</f>
        <v>ok</v>
      </c>
      <c r="M32" s="300" t="str">
        <f>IF(SUM('DFP-CASH'!$C44:J44)&gt;SUM('DFP-Com'!$C42:J42),"error","ok")</f>
        <v>ok</v>
      </c>
      <c r="N32" s="300" t="str">
        <f>IF(SUM('DFP-CASH'!$C44:K44)&gt;SUM('DFP-Com'!$C42:K42),"error","ok")</f>
        <v>ok</v>
      </c>
      <c r="O32" s="300" t="str">
        <f>IF(SUM('DFP-CASH'!$C44:L44)&gt;SUM('DFP-Com'!$C42:L42),"error","ok")</f>
        <v>error</v>
      </c>
      <c r="P32" s="300" t="str">
        <f>IF(SUM('DFP-CASH'!$C44:M44)&gt;SUM('DFP-Com'!$C42:M42),"error","ok")</f>
        <v>error</v>
      </c>
      <c r="Q32" s="300" t="str">
        <f>IF(SUM('DFP-CASH'!$C44:N44)&gt;SUM('DFP-Com'!$C42:N42),"error","ok")</f>
        <v>error</v>
      </c>
      <c r="R32" s="300" t="str">
        <f>IF(SUM('DFP-CASH'!$C44:O44)&gt;SUM('DFP-Com'!$C42:O42),"error","ok")</f>
        <v>error</v>
      </c>
      <c r="S32" s="300" t="str">
        <f>IF(SUM('DFP-CASH'!$C44:P44)&gt;SUM('DFP-Com'!$C42:P42),"error","ok")</f>
        <v>error</v>
      </c>
    </row>
    <row r="33" spans="1:19" ht="15">
      <c r="A33" s="54"/>
      <c r="B33" s="255" t="str">
        <f>IF('DFP-Com'!S43-'DFP-CASH'!S45=0,"ok","error")</f>
        <v>ok</v>
      </c>
      <c r="C33" s="300" t="str">
        <f>IF(SUM('DFP-CASH'!$C45:C45)&gt;SUM('DFP-Com'!$C43:D43),"error","ok")</f>
        <v>ok</v>
      </c>
      <c r="D33" s="300" t="str">
        <f>IF(SUM('DFP-CASH'!$C45:E45)&gt;SUM('DFP-Com'!$C43:E43),"error","ok")</f>
        <v>ok</v>
      </c>
      <c r="E33" s="300" t="str">
        <f>IF(SUM('DFP-CASH'!$C45:F45)&gt;SUM('DFP-Com'!$C43:F43),"error","ok")</f>
        <v>ok</v>
      </c>
      <c r="F33" s="300" t="str">
        <f>IF(SUM('DFP-CASH'!$C45:G45)&gt;SUM('DFP-Com'!$C43:G43),"error","ok")</f>
        <v>ok</v>
      </c>
      <c r="G33" s="300" t="str">
        <f>IF(SUM('DFP-CASH'!$C45:G45)&gt;SUM('DFP-Com'!$C43:G43),"error","ok")</f>
        <v>ok</v>
      </c>
      <c r="H33" s="300" t="str">
        <f>IF(SUM('DFP-CASH'!$C45:G45)&gt;SUM('DFP-Com'!$C43:G43),"error","ok")</f>
        <v>ok</v>
      </c>
      <c r="I33" s="300" t="str">
        <f>IF(SUM('DFP-CASH'!$C45:G45)&gt;SUM('DFP-Com'!$C43:G43),"error","ok")</f>
        <v>ok</v>
      </c>
      <c r="J33" s="300" t="str">
        <f>IF(SUM('DFP-CASH'!$C45:G45)&gt;SUM('DFP-Com'!$C43:G43),"error","ok")</f>
        <v>ok</v>
      </c>
      <c r="K33" s="300" t="str">
        <f>IF(SUM('DFP-CASH'!$C45:H45)&gt;SUM('DFP-Com'!$C43:H43),"error","ok")</f>
        <v>ok</v>
      </c>
      <c r="L33" s="300" t="str">
        <f>IF(SUM('DFP-CASH'!$C45:I45)&gt;SUM('DFP-Com'!$C43:I43),"error","ok")</f>
        <v>ok</v>
      </c>
      <c r="M33" s="300" t="str">
        <f>IF(SUM('DFP-CASH'!$C45:J45)&gt;SUM('DFP-Com'!$C43:J43),"error","ok")</f>
        <v>ok</v>
      </c>
      <c r="N33" s="300" t="str">
        <f>IF(SUM('DFP-CASH'!$C45:K45)&gt;SUM('DFP-Com'!$C43:K43),"error","ok")</f>
        <v>ok</v>
      </c>
      <c r="O33" s="300" t="str">
        <f>IF(SUM('DFP-CASH'!$C45:L45)&gt;SUM('DFP-Com'!$C43:L43),"error","ok")</f>
        <v>ok</v>
      </c>
      <c r="P33" s="300" t="str">
        <f>IF(SUM('DFP-CASH'!$C45:M45)&gt;SUM('DFP-Com'!$C43:M43),"error","ok")</f>
        <v>ok</v>
      </c>
      <c r="Q33" s="300" t="str">
        <f>IF(SUM('DFP-CASH'!$C45:N45)&gt;SUM('DFP-Com'!$C43:N43),"error","ok")</f>
        <v>ok</v>
      </c>
      <c r="R33" s="300" t="str">
        <f>IF(SUM('DFP-CASH'!$C45:O45)&gt;SUM('DFP-Com'!$C43:O43),"error","ok")</f>
        <v>ok</v>
      </c>
      <c r="S33" s="300" t="str">
        <f>IF(SUM('DFP-CASH'!$C45:P45)&gt;SUM('DFP-Com'!$C43:P43),"error","ok")</f>
        <v>ok</v>
      </c>
    </row>
    <row r="34" spans="1:19" ht="15">
      <c r="A34" s="45" t="s">
        <v>91</v>
      </c>
      <c r="B34" s="255" t="str">
        <f>IF('DFP-Com'!S44-'DFP-CASH'!S46=0,"ok","error")</f>
        <v>ok</v>
      </c>
      <c r="C34" s="300" t="str">
        <f>IF(SUM('DFP-CASH'!$C46:C46)&gt;SUM('DFP-Com'!$C44:D44),"error","ok")</f>
        <v>ok</v>
      </c>
      <c r="D34" s="300" t="str">
        <f>IF(SUM('DFP-CASH'!$C46:E46)&gt;SUM('DFP-Com'!$C44:E44),"error","ok")</f>
        <v>ok</v>
      </c>
      <c r="E34" s="300" t="str">
        <f>IF(SUM('DFP-CASH'!$C46:F46)&gt;SUM('DFP-Com'!$C44:F44),"error","ok")</f>
        <v>ok</v>
      </c>
      <c r="F34" s="300" t="str">
        <f>IF(SUM('DFP-CASH'!$C46:G46)&gt;SUM('DFP-Com'!$C44:G44),"error","ok")</f>
        <v>ok</v>
      </c>
      <c r="G34" s="300" t="str">
        <f>IF(SUM('DFP-CASH'!$C46:G46)&gt;SUM('DFP-Com'!$C44:G44),"error","ok")</f>
        <v>ok</v>
      </c>
      <c r="H34" s="300" t="str">
        <f>IF(SUM('DFP-CASH'!$C46:G46)&gt;SUM('DFP-Com'!$C44:G44),"error","ok")</f>
        <v>ok</v>
      </c>
      <c r="I34" s="300" t="str">
        <f>IF(SUM('DFP-CASH'!$C46:G46)&gt;SUM('DFP-Com'!$C44:G44),"error","ok")</f>
        <v>ok</v>
      </c>
      <c r="J34" s="300" t="str">
        <f>IF(SUM('DFP-CASH'!$C46:G46)&gt;SUM('DFP-Com'!$C44:G44),"error","ok")</f>
        <v>ok</v>
      </c>
      <c r="K34" s="300" t="str">
        <f>IF(SUM('DFP-CASH'!$C46:H46)&gt;SUM('DFP-Com'!$C44:H44),"error","ok")</f>
        <v>ok</v>
      </c>
      <c r="L34" s="300" t="str">
        <f>IF(SUM('DFP-CASH'!$C46:I46)&gt;SUM('DFP-Com'!$C44:I44),"error","ok")</f>
        <v>ok</v>
      </c>
      <c r="M34" s="300" t="str">
        <f>IF(SUM('DFP-CASH'!$C46:J46)&gt;SUM('DFP-Com'!$C44:J44),"error","ok")</f>
        <v>ok</v>
      </c>
      <c r="N34" s="300" t="str">
        <f>IF(SUM('DFP-CASH'!$C46:K46)&gt;SUM('DFP-Com'!$C44:K44),"error","ok")</f>
        <v>ok</v>
      </c>
      <c r="O34" s="300" t="str">
        <f>IF(SUM('DFP-CASH'!$C46:L46)&gt;SUM('DFP-Com'!$C44:L44),"error","ok")</f>
        <v>ok</v>
      </c>
      <c r="P34" s="300" t="str">
        <f>IF(SUM('DFP-CASH'!$C46:M46)&gt;SUM('DFP-Com'!$C44:M44),"error","ok")</f>
        <v>ok</v>
      </c>
      <c r="Q34" s="300" t="str">
        <f>IF(SUM('DFP-CASH'!$C46:N46)&gt;SUM('DFP-Com'!$C44:N44),"error","ok")</f>
        <v>ok</v>
      </c>
      <c r="R34" s="300" t="str">
        <f>IF(SUM('DFP-CASH'!$C46:O46)&gt;SUM('DFP-Com'!$C44:O44),"error","ok")</f>
        <v>ok</v>
      </c>
      <c r="S34" s="300" t="str">
        <f>IF(SUM('DFP-CASH'!$C46:P46)&gt;SUM('DFP-Com'!$C44:P44),"error","ok")</f>
        <v>ok</v>
      </c>
    </row>
    <row r="35" spans="1:19" ht="15">
      <c r="A35" s="66" t="s">
        <v>101</v>
      </c>
      <c r="B35" s="255" t="str">
        <f>IF('DFP-Com'!S45-'DFP-CASH'!S47=0,"ok","error")</f>
        <v>error</v>
      </c>
      <c r="C35" s="300" t="str">
        <f>IF(SUM('DFP-CASH'!$C47:C47)&gt;SUM('DFP-Com'!$C45:D45),"error","ok")</f>
        <v>ok</v>
      </c>
      <c r="D35" s="300" t="str">
        <f>IF(SUM('DFP-CASH'!$C47:E47)&gt;SUM('DFP-Com'!$C45:E45),"error","ok")</f>
        <v>ok</v>
      </c>
      <c r="E35" s="300" t="str">
        <f>IF(SUM('DFP-CASH'!$C47:F47)&gt;SUM('DFP-Com'!$C45:F45),"error","ok")</f>
        <v>ok</v>
      </c>
      <c r="F35" s="300" t="str">
        <f>IF(SUM('DFP-CASH'!$C47:G47)&gt;SUM('DFP-Com'!$C45:G45),"error","ok")</f>
        <v>ok</v>
      </c>
      <c r="G35" s="300" t="str">
        <f>IF(SUM('DFP-CASH'!$C47:G47)&gt;SUM('DFP-Com'!$C45:G45),"error","ok")</f>
        <v>ok</v>
      </c>
      <c r="H35" s="300" t="str">
        <f>IF(SUM('DFP-CASH'!$C47:G47)&gt;SUM('DFP-Com'!$C45:G45),"error","ok")</f>
        <v>ok</v>
      </c>
      <c r="I35" s="300" t="str">
        <f>IF(SUM('DFP-CASH'!$C47:G47)&gt;SUM('DFP-Com'!$C45:G45),"error","ok")</f>
        <v>ok</v>
      </c>
      <c r="J35" s="300" t="str">
        <f>IF(SUM('DFP-CASH'!$C47:G47)&gt;SUM('DFP-Com'!$C45:G45),"error","ok")</f>
        <v>ok</v>
      </c>
      <c r="K35" s="300" t="str">
        <f>IF(SUM('DFP-CASH'!$C47:H47)&gt;SUM('DFP-Com'!$C45:H45),"error","ok")</f>
        <v>ok</v>
      </c>
      <c r="L35" s="300" t="str">
        <f>IF(SUM('DFP-CASH'!$C47:I47)&gt;SUM('DFP-Com'!$C45:I45),"error","ok")</f>
        <v>ok</v>
      </c>
      <c r="M35" s="300" t="str">
        <f>IF(SUM('DFP-CASH'!$C47:J47)&gt;SUM('DFP-Com'!$C45:J45),"error","ok")</f>
        <v>ok</v>
      </c>
      <c r="N35" s="300" t="str">
        <f>IF(SUM('DFP-CASH'!$C47:K47)&gt;SUM('DFP-Com'!$C45:K45),"error","ok")</f>
        <v>ok</v>
      </c>
      <c r="O35" s="300" t="str">
        <f>IF(SUM('DFP-CASH'!$C47:L47)&gt;SUM('DFP-Com'!$C45:L45),"error","ok")</f>
        <v>ok</v>
      </c>
      <c r="P35" s="300" t="str">
        <f>IF(SUM('DFP-CASH'!$C47:M47)&gt;SUM('DFP-Com'!$C45:M45),"error","ok")</f>
        <v>ok</v>
      </c>
      <c r="Q35" s="300" t="str">
        <f>IF(SUM('DFP-CASH'!$C47:N47)&gt;SUM('DFP-Com'!$C45:N45),"error","ok")</f>
        <v>ok</v>
      </c>
      <c r="R35" s="300" t="str">
        <f>IF(SUM('DFP-CASH'!$C47:O47)&gt;SUM('DFP-Com'!$C45:O45),"error","ok")</f>
        <v>ok</v>
      </c>
      <c r="S35" s="300" t="str">
        <f>IF(SUM('DFP-CASH'!$C47:P47)&gt;SUM('DFP-Com'!$C45:P45),"error","ok")</f>
        <v>ok</v>
      </c>
    </row>
    <row r="36" spans="1:19" ht="15">
      <c r="A36" s="217" t="s">
        <v>147</v>
      </c>
      <c r="B36" s="255" t="str">
        <f>IF('DFP-Com'!S46-'DFP-CASH'!S48=0,"ok","error")</f>
        <v>error</v>
      </c>
      <c r="C36" s="300" t="str">
        <f>IF(SUM('DFP-CASH'!$C48:C48)&gt;SUM('DFP-Com'!$C46:D46),"error","ok")</f>
        <v>ok</v>
      </c>
      <c r="D36" s="300" t="str">
        <f>IF(SUM('DFP-CASH'!$C48:E48)&gt;SUM('DFP-Com'!$C46:E46),"error","ok")</f>
        <v>ok</v>
      </c>
      <c r="E36" s="300" t="str">
        <f>IF(SUM('DFP-CASH'!$C48:F48)&gt;SUM('DFP-Com'!$C46:F46),"error","ok")</f>
        <v>ok</v>
      </c>
      <c r="F36" s="300" t="str">
        <f>IF(SUM('DFP-CASH'!$C48:G48)&gt;SUM('DFP-Com'!$C46:G46),"error","ok")</f>
        <v>ok</v>
      </c>
      <c r="G36" s="300" t="str">
        <f>IF(SUM('DFP-CASH'!$C48:G48)&gt;SUM('DFP-Com'!$C46:G46),"error","ok")</f>
        <v>ok</v>
      </c>
      <c r="H36" s="300" t="str">
        <f>IF(SUM('DFP-CASH'!$C48:G48)&gt;SUM('DFP-Com'!$C46:G46),"error","ok")</f>
        <v>ok</v>
      </c>
      <c r="I36" s="300" t="str">
        <f>IF(SUM('DFP-CASH'!$C48:G48)&gt;SUM('DFP-Com'!$C46:G46),"error","ok")</f>
        <v>ok</v>
      </c>
      <c r="J36" s="300" t="str">
        <f>IF(SUM('DFP-CASH'!$C48:G48)&gt;SUM('DFP-Com'!$C46:G46),"error","ok")</f>
        <v>ok</v>
      </c>
      <c r="K36" s="300" t="str">
        <f>IF(SUM('DFP-CASH'!$C48:H48)&gt;SUM('DFP-Com'!$C46:H46),"error","ok")</f>
        <v>ok</v>
      </c>
      <c r="L36" s="300" t="str">
        <f>IF(SUM('DFP-CASH'!$C48:I48)&gt;SUM('DFP-Com'!$C46:I46),"error","ok")</f>
        <v>ok</v>
      </c>
      <c r="M36" s="300" t="str">
        <f>IF(SUM('DFP-CASH'!$C48:J48)&gt;SUM('DFP-Com'!$C46:J46),"error","ok")</f>
        <v>ok</v>
      </c>
      <c r="N36" s="300" t="str">
        <f>IF(SUM('DFP-CASH'!$C48:K48)&gt;SUM('DFP-Com'!$C46:K46),"error","ok")</f>
        <v>ok</v>
      </c>
      <c r="O36" s="300" t="str">
        <f>IF(SUM('DFP-CASH'!$C48:L48)&gt;SUM('DFP-Com'!$C46:L46),"error","ok")</f>
        <v>ok</v>
      </c>
      <c r="P36" s="300" t="str">
        <f>IF(SUM('DFP-CASH'!$C48:M48)&gt;SUM('DFP-Com'!$C46:M46),"error","ok")</f>
        <v>ok</v>
      </c>
      <c r="Q36" s="300" t="str">
        <f>IF(SUM('DFP-CASH'!$C48:N48)&gt;SUM('DFP-Com'!$C46:N46),"error","ok")</f>
        <v>ok</v>
      </c>
      <c r="R36" s="300" t="str">
        <f>IF(SUM('DFP-CASH'!$C48:O48)&gt;SUM('DFP-Com'!$C46:O46),"error","ok")</f>
        <v>ok</v>
      </c>
      <c r="S36" s="300" t="str">
        <f>IF(SUM('DFP-CASH'!$C48:P48)&gt;SUM('DFP-Com'!$C46:P46),"error","ok")</f>
        <v>ok</v>
      </c>
    </row>
    <row r="37" spans="1:19" ht="15">
      <c r="A37" s="217" t="s">
        <v>148</v>
      </c>
      <c r="B37" s="255" t="str">
        <f>IF('DFP-Com'!S47-'DFP-CASH'!S49=0,"ok","error")</f>
        <v>error</v>
      </c>
      <c r="C37" s="300" t="str">
        <f>IF(SUM('DFP-CASH'!$C49:C49)&gt;SUM('DFP-Com'!$C47:D47),"error","ok")</f>
        <v>ok</v>
      </c>
      <c r="D37" s="300" t="str">
        <f>IF(SUM('DFP-CASH'!$C49:E49)&gt;SUM('DFP-Com'!$C47:E47),"error","ok")</f>
        <v>error</v>
      </c>
      <c r="E37" s="300" t="str">
        <f>IF(SUM('DFP-CASH'!$C49:F49)&gt;SUM('DFP-Com'!$C47:F47),"error","ok")</f>
        <v>error</v>
      </c>
      <c r="F37" s="300" t="str">
        <f>IF(SUM('DFP-CASH'!$C49:G49)&gt;SUM('DFP-Com'!$C47:G47),"error","ok")</f>
        <v>error</v>
      </c>
      <c r="G37" s="300" t="str">
        <f>IF(SUM('DFP-CASH'!$C49:G49)&gt;SUM('DFP-Com'!$C47:G47),"error","ok")</f>
        <v>error</v>
      </c>
      <c r="H37" s="300" t="str">
        <f>IF(SUM('DFP-CASH'!$C49:G49)&gt;SUM('DFP-Com'!$C47:G47),"error","ok")</f>
        <v>error</v>
      </c>
      <c r="I37" s="300" t="str">
        <f>IF(SUM('DFP-CASH'!$C49:G49)&gt;SUM('DFP-Com'!$C47:G47),"error","ok")</f>
        <v>error</v>
      </c>
      <c r="J37" s="300" t="str">
        <f>IF(SUM('DFP-CASH'!$C49:G49)&gt;SUM('DFP-Com'!$C47:G47),"error","ok")</f>
        <v>error</v>
      </c>
      <c r="K37" s="300" t="str">
        <f>IF(SUM('DFP-CASH'!$C49:H49)&gt;SUM('DFP-Com'!$C47:H47),"error","ok")</f>
        <v>error</v>
      </c>
      <c r="L37" s="300" t="str">
        <f>IF(SUM('DFP-CASH'!$C49:I49)&gt;SUM('DFP-Com'!$C47:I47),"error","ok")</f>
        <v>error</v>
      </c>
      <c r="M37" s="300" t="str">
        <f>IF(SUM('DFP-CASH'!$C49:J49)&gt;SUM('DFP-Com'!$C47:J47),"error","ok")</f>
        <v>error</v>
      </c>
      <c r="N37" s="300" t="str">
        <f>IF(SUM('DFP-CASH'!$C49:K49)&gt;SUM('DFP-Com'!$C47:K47),"error","ok")</f>
        <v>error</v>
      </c>
      <c r="O37" s="300" t="str">
        <f>IF(SUM('DFP-CASH'!$C49:L49)&gt;SUM('DFP-Com'!$C47:L47),"error","ok")</f>
        <v>error</v>
      </c>
      <c r="P37" s="300" t="str">
        <f>IF(SUM('DFP-CASH'!$C49:M49)&gt;SUM('DFP-Com'!$C47:M47),"error","ok")</f>
        <v>error</v>
      </c>
      <c r="Q37" s="300" t="str">
        <f>IF(SUM('DFP-CASH'!$C49:N49)&gt;SUM('DFP-Com'!$C47:N47),"error","ok")</f>
        <v>error</v>
      </c>
      <c r="R37" s="300" t="str">
        <f>IF(SUM('DFP-CASH'!$C49:O49)&gt;SUM('DFP-Com'!$C47:O47),"error","ok")</f>
        <v>error</v>
      </c>
      <c r="S37" s="300" t="str">
        <f>IF(SUM('DFP-CASH'!$C49:P49)&gt;SUM('DFP-Com'!$C47:P47),"error","ok")</f>
        <v>error</v>
      </c>
    </row>
    <row r="38" spans="1:19" ht="15">
      <c r="A38" s="217" t="s">
        <v>149</v>
      </c>
      <c r="B38" s="255" t="str">
        <f>IF('DFP-Com'!S48-'DFP-CASH'!S50=0,"ok","error")</f>
        <v>error</v>
      </c>
      <c r="C38" s="300" t="str">
        <f>IF(SUM('DFP-CASH'!$C50:C50)&gt;SUM('DFP-Com'!$C48:D48),"error","ok")</f>
        <v>ok</v>
      </c>
      <c r="D38" s="300" t="str">
        <f>IF(SUM('DFP-CASH'!$C50:E50)&gt;SUM('DFP-Com'!$C48:E48),"error","ok")</f>
        <v>ok</v>
      </c>
      <c r="E38" s="300" t="str">
        <f>IF(SUM('DFP-CASH'!$C50:F50)&gt;SUM('DFP-Com'!$C48:F48),"error","ok")</f>
        <v>ok</v>
      </c>
      <c r="F38" s="300" t="str">
        <f>IF(SUM('DFP-CASH'!$C50:G50)&gt;SUM('DFP-Com'!$C48:G48),"error","ok")</f>
        <v>ok</v>
      </c>
      <c r="G38" s="300" t="str">
        <f>IF(SUM('DFP-CASH'!$C50:G50)&gt;SUM('DFP-Com'!$C48:G48),"error","ok")</f>
        <v>ok</v>
      </c>
      <c r="H38" s="300" t="str">
        <f>IF(SUM('DFP-CASH'!$C50:G50)&gt;SUM('DFP-Com'!$C48:G48),"error","ok")</f>
        <v>ok</v>
      </c>
      <c r="I38" s="300" t="str">
        <f>IF(SUM('DFP-CASH'!$C50:G50)&gt;SUM('DFP-Com'!$C48:G48),"error","ok")</f>
        <v>ok</v>
      </c>
      <c r="J38" s="300" t="str">
        <f>IF(SUM('DFP-CASH'!$C50:G50)&gt;SUM('DFP-Com'!$C48:G48),"error","ok")</f>
        <v>ok</v>
      </c>
      <c r="K38" s="300" t="str">
        <f>IF(SUM('DFP-CASH'!$C50:H50)&gt;SUM('DFP-Com'!$C48:H48),"error","ok")</f>
        <v>ok</v>
      </c>
      <c r="L38" s="300" t="str">
        <f>IF(SUM('DFP-CASH'!$C50:I50)&gt;SUM('DFP-Com'!$C48:I48),"error","ok")</f>
        <v>ok</v>
      </c>
      <c r="M38" s="300" t="str">
        <f>IF(SUM('DFP-CASH'!$C50:J50)&gt;SUM('DFP-Com'!$C48:J48),"error","ok")</f>
        <v>ok</v>
      </c>
      <c r="N38" s="300" t="str">
        <f>IF(SUM('DFP-CASH'!$C50:K50)&gt;SUM('DFP-Com'!$C48:K48),"error","ok")</f>
        <v>ok</v>
      </c>
      <c r="O38" s="300" t="str">
        <f>IF(SUM('DFP-CASH'!$C50:L50)&gt;SUM('DFP-Com'!$C48:L48),"error","ok")</f>
        <v>ok</v>
      </c>
      <c r="P38" s="300" t="str">
        <f>IF(SUM('DFP-CASH'!$C50:M50)&gt;SUM('DFP-Com'!$C48:M48),"error","ok")</f>
        <v>ok</v>
      </c>
      <c r="Q38" s="300" t="str">
        <f>IF(SUM('DFP-CASH'!$C50:N50)&gt;SUM('DFP-Com'!$C48:N48),"error","ok")</f>
        <v>ok</v>
      </c>
      <c r="R38" s="300" t="str">
        <f>IF(SUM('DFP-CASH'!$C50:O50)&gt;SUM('DFP-Com'!$C48:O48),"error","ok")</f>
        <v>ok</v>
      </c>
      <c r="S38" s="300" t="str">
        <f>IF(SUM('DFP-CASH'!$C50:P50)&gt;SUM('DFP-Com'!$C48:P48),"error","ok")</f>
        <v>ok</v>
      </c>
    </row>
    <row r="39" spans="1:19" ht="15">
      <c r="A39" s="217" t="s">
        <v>150</v>
      </c>
      <c r="B39" s="255" t="str">
        <f>IF('DFP-Com'!S49-'DFP-CASH'!S51=0,"ok","error")</f>
        <v>error</v>
      </c>
      <c r="C39" s="300" t="str">
        <f>IF(SUM('DFP-CASH'!$C51:C51)&gt;SUM('DFP-Com'!$C49:D49),"error","ok")</f>
        <v>ok</v>
      </c>
      <c r="D39" s="300" t="str">
        <f>IF(SUM('DFP-CASH'!$C51:E51)&gt;SUM('DFP-Com'!$C49:E49),"error","ok")</f>
        <v>ok</v>
      </c>
      <c r="E39" s="300" t="str">
        <f>IF(SUM('DFP-CASH'!$C51:F51)&gt;SUM('DFP-Com'!$C49:F49),"error","ok")</f>
        <v>ok</v>
      </c>
      <c r="F39" s="300" t="str">
        <f>IF(SUM('DFP-CASH'!$C51:G51)&gt;SUM('DFP-Com'!$C49:G49),"error","ok")</f>
        <v>ok</v>
      </c>
      <c r="G39" s="300" t="str">
        <f>IF(SUM('DFP-CASH'!$C51:G51)&gt;SUM('DFP-Com'!$C49:G49),"error","ok")</f>
        <v>ok</v>
      </c>
      <c r="H39" s="300" t="str">
        <f>IF(SUM('DFP-CASH'!$C51:G51)&gt;SUM('DFP-Com'!$C49:G49),"error","ok")</f>
        <v>ok</v>
      </c>
      <c r="I39" s="300" t="str">
        <f>IF(SUM('DFP-CASH'!$C51:G51)&gt;SUM('DFP-Com'!$C49:G49),"error","ok")</f>
        <v>ok</v>
      </c>
      <c r="J39" s="300" t="str">
        <f>IF(SUM('DFP-CASH'!$C51:G51)&gt;SUM('DFP-Com'!$C49:G49),"error","ok")</f>
        <v>ok</v>
      </c>
      <c r="K39" s="300" t="str">
        <f>IF(SUM('DFP-CASH'!$C51:H51)&gt;SUM('DFP-Com'!$C49:H49),"error","ok")</f>
        <v>error</v>
      </c>
      <c r="L39" s="300" t="str">
        <f>IF(SUM('DFP-CASH'!$C51:I51)&gt;SUM('DFP-Com'!$C49:I49),"error","ok")</f>
        <v>error</v>
      </c>
      <c r="M39" s="300" t="str">
        <f>IF(SUM('DFP-CASH'!$C51:J51)&gt;SUM('DFP-Com'!$C49:J49),"error","ok")</f>
        <v>error</v>
      </c>
      <c r="N39" s="300" t="str">
        <f>IF(SUM('DFP-CASH'!$C51:K51)&gt;SUM('DFP-Com'!$C49:K49),"error","ok")</f>
        <v>error</v>
      </c>
      <c r="O39" s="300" t="str">
        <f>IF(SUM('DFP-CASH'!$C51:L51)&gt;SUM('DFP-Com'!$C49:L49),"error","ok")</f>
        <v>error</v>
      </c>
      <c r="P39" s="300" t="str">
        <f>IF(SUM('DFP-CASH'!$C51:M51)&gt;SUM('DFP-Com'!$C49:M49),"error","ok")</f>
        <v>error</v>
      </c>
      <c r="Q39" s="300" t="str">
        <f>IF(SUM('DFP-CASH'!$C51:N51)&gt;SUM('DFP-Com'!$C49:N49),"error","ok")</f>
        <v>error</v>
      </c>
      <c r="R39" s="300" t="str">
        <f>IF(SUM('DFP-CASH'!$C51:O51)&gt;SUM('DFP-Com'!$C49:O49),"error","ok")</f>
        <v>error</v>
      </c>
      <c r="S39" s="300" t="str">
        <f>IF(SUM('DFP-CASH'!$C51:P51)&gt;SUM('DFP-Com'!$C49:P49),"error","ok")</f>
        <v>error</v>
      </c>
    </row>
    <row r="40" spans="1:19" ht="15">
      <c r="A40" s="67" t="s">
        <v>100</v>
      </c>
      <c r="B40" s="255" t="str">
        <f>IF('DFP-Com'!S50-'DFP-CASH'!S52=0,"ok","error")</f>
        <v>error</v>
      </c>
      <c r="C40" s="300" t="str">
        <f>IF(SUM('DFP-CASH'!$C52:C52)&gt;SUM('DFP-Com'!$C50:D50),"error","ok")</f>
        <v>ok</v>
      </c>
      <c r="D40" s="300" t="str">
        <f>IF(SUM('DFP-CASH'!$C52:E52)&gt;SUM('DFP-Com'!$C50:E50),"error","ok")</f>
        <v>ok</v>
      </c>
      <c r="E40" s="300" t="str">
        <f>IF(SUM('DFP-CASH'!$C52:F52)&gt;SUM('DFP-Com'!$C50:F50),"error","ok")</f>
        <v>ok</v>
      </c>
      <c r="F40" s="300" t="str">
        <f>IF(SUM('DFP-CASH'!$C52:G52)&gt;SUM('DFP-Com'!$C50:G50),"error","ok")</f>
        <v>ok</v>
      </c>
      <c r="G40" s="300" t="str">
        <f>IF(SUM('DFP-CASH'!$C52:G52)&gt;SUM('DFP-Com'!$C50:G50),"error","ok")</f>
        <v>ok</v>
      </c>
      <c r="H40" s="300" t="str">
        <f>IF(SUM('DFP-CASH'!$C52:G52)&gt;SUM('DFP-Com'!$C50:G50),"error","ok")</f>
        <v>ok</v>
      </c>
      <c r="I40" s="300" t="str">
        <f>IF(SUM('DFP-CASH'!$C52:G52)&gt;SUM('DFP-Com'!$C50:G50),"error","ok")</f>
        <v>ok</v>
      </c>
      <c r="J40" s="300" t="str">
        <f>IF(SUM('DFP-CASH'!$C52:G52)&gt;SUM('DFP-Com'!$C50:G50),"error","ok")</f>
        <v>ok</v>
      </c>
      <c r="K40" s="300" t="str">
        <f>IF(SUM('DFP-CASH'!$C52:H52)&gt;SUM('DFP-Com'!$C50:H50),"error","ok")</f>
        <v>ok</v>
      </c>
      <c r="L40" s="300" t="str">
        <f>IF(SUM('DFP-CASH'!$C52:I52)&gt;SUM('DFP-Com'!$C50:I50),"error","ok")</f>
        <v>ok</v>
      </c>
      <c r="M40" s="300" t="str">
        <f>IF(SUM('DFP-CASH'!$C52:J52)&gt;SUM('DFP-Com'!$C50:J50),"error","ok")</f>
        <v>ok</v>
      </c>
      <c r="N40" s="300" t="str">
        <f>IF(SUM('DFP-CASH'!$C52:K52)&gt;SUM('DFP-Com'!$C50:K50),"error","ok")</f>
        <v>ok</v>
      </c>
      <c r="O40" s="300" t="str">
        <f>IF(SUM('DFP-CASH'!$C52:L52)&gt;SUM('DFP-Com'!$C50:L50),"error","ok")</f>
        <v>ok</v>
      </c>
      <c r="P40" s="300" t="str">
        <f>IF(SUM('DFP-CASH'!$C52:M52)&gt;SUM('DFP-Com'!$C50:M50),"error","ok")</f>
        <v>ok</v>
      </c>
      <c r="Q40" s="300" t="str">
        <f>IF(SUM('DFP-CASH'!$C52:N52)&gt;SUM('DFP-Com'!$C50:N50),"error","ok")</f>
        <v>ok</v>
      </c>
      <c r="R40" s="300" t="str">
        <f>IF(SUM('DFP-CASH'!$C52:O52)&gt;SUM('DFP-Com'!$C50:O50),"error","ok")</f>
        <v>ok</v>
      </c>
      <c r="S40" s="300" t="str">
        <f>IF(SUM('DFP-CASH'!$C52:P52)&gt;SUM('DFP-Com'!$C50:P50),"error","ok")</f>
        <v>ok</v>
      </c>
    </row>
    <row r="41" spans="1:19" ht="15">
      <c r="A41" s="54"/>
      <c r="B41" s="255" t="str">
        <f>IF('DFP-Com'!S51-'DFP-CASH'!S53=0,"ok","error")</f>
        <v>ok</v>
      </c>
      <c r="C41" s="300" t="str">
        <f>IF(SUM('DFP-CASH'!$C53:C53)&gt;SUM('DFP-Com'!$C51:D51),"error","ok")</f>
        <v>ok</v>
      </c>
      <c r="D41" s="300" t="str">
        <f>IF(SUM('DFP-CASH'!$C53:E53)&gt;SUM('DFP-Com'!$C51:E51),"error","ok")</f>
        <v>ok</v>
      </c>
      <c r="E41" s="300" t="str">
        <f>IF(SUM('DFP-CASH'!$C53:F53)&gt;SUM('DFP-Com'!$C51:F51),"error","ok")</f>
        <v>ok</v>
      </c>
      <c r="F41" s="300" t="str">
        <f>IF(SUM('DFP-CASH'!$C53:G53)&gt;SUM('DFP-Com'!$C51:G51),"error","ok")</f>
        <v>ok</v>
      </c>
      <c r="G41" s="300" t="str">
        <f>IF(SUM('DFP-CASH'!$C53:G53)&gt;SUM('DFP-Com'!$C51:G51),"error","ok")</f>
        <v>ok</v>
      </c>
      <c r="H41" s="300" t="str">
        <f>IF(SUM('DFP-CASH'!$C53:G53)&gt;SUM('DFP-Com'!$C51:G51),"error","ok")</f>
        <v>ok</v>
      </c>
      <c r="I41" s="300" t="str">
        <f>IF(SUM('DFP-CASH'!$C53:G53)&gt;SUM('DFP-Com'!$C51:G51),"error","ok")</f>
        <v>ok</v>
      </c>
      <c r="J41" s="300" t="str">
        <f>IF(SUM('DFP-CASH'!$C53:G53)&gt;SUM('DFP-Com'!$C51:G51),"error","ok")</f>
        <v>ok</v>
      </c>
      <c r="K41" s="300" t="str">
        <f>IF(SUM('DFP-CASH'!$C53:H53)&gt;SUM('DFP-Com'!$C51:H51),"error","ok")</f>
        <v>ok</v>
      </c>
      <c r="L41" s="300" t="str">
        <f>IF(SUM('DFP-CASH'!$C53:I53)&gt;SUM('DFP-Com'!$C51:I51),"error","ok")</f>
        <v>ok</v>
      </c>
      <c r="M41" s="300" t="str">
        <f>IF(SUM('DFP-CASH'!$C53:J53)&gt;SUM('DFP-Com'!$C51:J51),"error","ok")</f>
        <v>ok</v>
      </c>
      <c r="N41" s="300" t="str">
        <f>IF(SUM('DFP-CASH'!$C53:K53)&gt;SUM('DFP-Com'!$C51:K51),"error","ok")</f>
        <v>ok</v>
      </c>
      <c r="O41" s="300" t="str">
        <f>IF(SUM('DFP-CASH'!$C53:L53)&gt;SUM('DFP-Com'!$C51:L51),"error","ok")</f>
        <v>ok</v>
      </c>
      <c r="P41" s="300" t="str">
        <f>IF(SUM('DFP-CASH'!$C53:M53)&gt;SUM('DFP-Com'!$C51:M51),"error","ok")</f>
        <v>ok</v>
      </c>
      <c r="Q41" s="300" t="str">
        <f>IF(SUM('DFP-CASH'!$C53:N53)&gt;SUM('DFP-Com'!$C51:N51),"error","ok")</f>
        <v>ok</v>
      </c>
      <c r="R41" s="300" t="str">
        <f>IF(SUM('DFP-CASH'!$C53:O53)&gt;SUM('DFP-Com'!$C51:O51),"error","ok")</f>
        <v>ok</v>
      </c>
      <c r="S41" s="300" t="str">
        <f>IF(SUM('DFP-CASH'!$C53:P53)&gt;SUM('DFP-Com'!$C51:P51),"error","ok")</f>
        <v>ok</v>
      </c>
    </row>
    <row r="42" ht="16.5">
      <c r="A42" s="230" t="s">
        <v>143</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9"/>
  <sheetViews>
    <sheetView showGridLines="0" zoomScale="115" zoomScaleNormal="115" workbookViewId="0" topLeftCell="A1">
      <pane ySplit="3" topLeftCell="A4" activePane="bottomLeft" state="frozen"/>
      <selection pane="bottomLeft" activeCell="C31" sqref="C31"/>
    </sheetView>
  </sheetViews>
  <sheetFormatPr defaultColWidth="8.8515625" defaultRowHeight="15"/>
  <cols>
    <col min="1" max="1" width="8.8515625" style="300" customWidth="1"/>
    <col min="2" max="2" width="30.57421875" style="300" customWidth="1"/>
    <col min="3" max="3" width="51.421875" style="300" customWidth="1"/>
    <col min="4" max="4" width="14.00390625" style="300" customWidth="1"/>
    <col min="5" max="5" width="13.140625" style="300" customWidth="1"/>
    <col min="6" max="6" width="12.421875" style="300" customWidth="1"/>
    <col min="7" max="7" width="10.421875" style="300" customWidth="1"/>
    <col min="8" max="8" width="10.421875" style="317" customWidth="1"/>
    <col min="9" max="21" width="10.421875" style="300" customWidth="1"/>
    <col min="22" max="23" width="14.00390625" style="300" customWidth="1"/>
    <col min="24" max="24" width="11.00390625" style="300" customWidth="1"/>
    <col min="25" max="34" width="10.421875" style="300" customWidth="1"/>
    <col min="35" max="35" width="12.421875" style="300" customWidth="1"/>
    <col min="36" max="37" width="10.421875" style="300" customWidth="1"/>
    <col min="38" max="38" width="12.57421875" style="300" customWidth="1"/>
    <col min="39" max="39" width="8.8515625" style="300" customWidth="1"/>
    <col min="40" max="41" width="11.421875" style="300" customWidth="1"/>
    <col min="42" max="42" width="12.140625" style="300" customWidth="1"/>
    <col min="43" max="44" width="11.421875" style="300" customWidth="1"/>
    <col min="45" max="45" width="12.421875" style="300" customWidth="1"/>
    <col min="46" max="54" width="11.421875" style="300" customWidth="1"/>
    <col min="55" max="55" width="8.8515625" style="300" customWidth="1"/>
    <col min="56" max="56" width="11.57421875" style="300" customWidth="1"/>
    <col min="57" max="16384" width="8.8515625" style="300" customWidth="1"/>
  </cols>
  <sheetData>
    <row r="1" spans="4:54" ht="15">
      <c r="D1" s="236">
        <f>SUM(D2:D55)</f>
        <v>23584570</v>
      </c>
      <c r="F1" s="300" t="s">
        <v>175</v>
      </c>
      <c r="U1" s="300" t="s">
        <v>189</v>
      </c>
      <c r="X1" s="241" t="s">
        <v>217</v>
      </c>
      <c r="Y1" s="241"/>
      <c r="Z1" s="241"/>
      <c r="AA1" s="241"/>
      <c r="AB1" s="241"/>
      <c r="AC1" s="241"/>
      <c r="AD1" s="241"/>
      <c r="AE1" s="241"/>
      <c r="AF1" s="241"/>
      <c r="AG1" s="241"/>
      <c r="AH1" s="241"/>
      <c r="AI1" s="241"/>
      <c r="AJ1" s="241"/>
      <c r="AK1" s="241"/>
      <c r="AL1" s="241"/>
      <c r="AM1" s="242"/>
      <c r="AN1" s="241" t="s">
        <v>218</v>
      </c>
      <c r="AO1" s="241"/>
      <c r="AP1" s="241"/>
      <c r="AQ1" s="241"/>
      <c r="AR1" s="241"/>
      <c r="AS1" s="241"/>
      <c r="AT1" s="241"/>
      <c r="AU1" s="241"/>
      <c r="AV1" s="241"/>
      <c r="AW1" s="241"/>
      <c r="AX1" s="241"/>
      <c r="AY1" s="241"/>
      <c r="AZ1" s="241"/>
      <c r="BA1" s="241"/>
      <c r="BB1" s="241"/>
    </row>
    <row r="2" spans="1:56" ht="15">
      <c r="A2" s="300" t="s">
        <v>151</v>
      </c>
      <c r="C2" s="300" t="s">
        <v>171</v>
      </c>
      <c r="D2" s="300" t="s">
        <v>173</v>
      </c>
      <c r="F2" s="234">
        <v>42552</v>
      </c>
      <c r="G2" s="234">
        <v>42644</v>
      </c>
      <c r="H2" s="318">
        <v>42736</v>
      </c>
      <c r="I2" s="234">
        <v>42826</v>
      </c>
      <c r="J2" s="234">
        <v>42917</v>
      </c>
      <c r="K2" s="234">
        <v>43009</v>
      </c>
      <c r="L2" s="234">
        <v>43101</v>
      </c>
      <c r="M2" s="234">
        <v>43191</v>
      </c>
      <c r="N2" s="234">
        <v>43282</v>
      </c>
      <c r="O2" s="234">
        <v>43374</v>
      </c>
      <c r="P2" s="234">
        <v>43466</v>
      </c>
      <c r="Q2" s="234">
        <v>43556</v>
      </c>
      <c r="R2" s="234">
        <v>43647</v>
      </c>
      <c r="S2" s="234">
        <v>43739</v>
      </c>
      <c r="T2" s="234">
        <v>43831</v>
      </c>
      <c r="X2" s="243">
        <v>42552</v>
      </c>
      <c r="Y2" s="243">
        <v>42644</v>
      </c>
      <c r="Z2" s="243">
        <v>42736</v>
      </c>
      <c r="AA2" s="243">
        <v>42826</v>
      </c>
      <c r="AB2" s="243">
        <v>42917</v>
      </c>
      <c r="AC2" s="243">
        <v>43009</v>
      </c>
      <c r="AD2" s="243">
        <v>43101</v>
      </c>
      <c r="AE2" s="243">
        <v>43191</v>
      </c>
      <c r="AF2" s="243">
        <v>43282</v>
      </c>
      <c r="AG2" s="243">
        <v>43374</v>
      </c>
      <c r="AH2" s="243">
        <v>43466</v>
      </c>
      <c r="AI2" s="243">
        <v>43556</v>
      </c>
      <c r="AJ2" s="243">
        <v>43647</v>
      </c>
      <c r="AK2" s="243">
        <v>43739</v>
      </c>
      <c r="AL2" s="243">
        <v>43831</v>
      </c>
      <c r="AM2" s="242"/>
      <c r="AN2" s="243">
        <v>42552</v>
      </c>
      <c r="AO2" s="243">
        <v>42644</v>
      </c>
      <c r="AP2" s="243">
        <v>42736</v>
      </c>
      <c r="AQ2" s="243">
        <v>42826</v>
      </c>
      <c r="AR2" s="243">
        <v>42917</v>
      </c>
      <c r="AS2" s="243">
        <v>43009</v>
      </c>
      <c r="AT2" s="243">
        <v>43101</v>
      </c>
      <c r="AU2" s="243">
        <v>43191</v>
      </c>
      <c r="AV2" s="243">
        <v>43282</v>
      </c>
      <c r="AW2" s="243">
        <v>43374</v>
      </c>
      <c r="AX2" s="243">
        <v>43466</v>
      </c>
      <c r="AY2" s="243">
        <v>43556</v>
      </c>
      <c r="AZ2" s="243">
        <v>43647</v>
      </c>
      <c r="BA2" s="243">
        <v>43739</v>
      </c>
      <c r="BB2" s="243">
        <v>43831</v>
      </c>
      <c r="BD2" s="300" t="s">
        <v>225</v>
      </c>
    </row>
    <row r="3" spans="1:54" ht="15">
      <c r="A3" s="300" t="s">
        <v>151</v>
      </c>
      <c r="C3" s="300" t="s">
        <v>171</v>
      </c>
      <c r="E3" s="300" t="s">
        <v>174</v>
      </c>
      <c r="F3" s="300" t="s">
        <v>172</v>
      </c>
      <c r="G3" s="300" t="s">
        <v>176</v>
      </c>
      <c r="H3" s="317" t="s">
        <v>177</v>
      </c>
      <c r="I3" s="300" t="s">
        <v>178</v>
      </c>
      <c r="J3" s="300" t="s">
        <v>179</v>
      </c>
      <c r="K3" s="300" t="s">
        <v>180</v>
      </c>
      <c r="L3" s="300" t="s">
        <v>181</v>
      </c>
      <c r="M3" s="300" t="s">
        <v>182</v>
      </c>
      <c r="N3" s="300" t="s">
        <v>183</v>
      </c>
      <c r="O3" s="300" t="s">
        <v>184</v>
      </c>
      <c r="P3" s="300" t="s">
        <v>185</v>
      </c>
      <c r="Q3" s="300" t="s">
        <v>186</v>
      </c>
      <c r="R3" s="300" t="s">
        <v>187</v>
      </c>
      <c r="S3" s="300" t="s">
        <v>188</v>
      </c>
      <c r="T3" s="300" t="s">
        <v>190</v>
      </c>
      <c r="X3" s="241" t="s">
        <v>172</v>
      </c>
      <c r="Y3" s="241" t="s">
        <v>176</v>
      </c>
      <c r="Z3" s="241" t="s">
        <v>177</v>
      </c>
      <c r="AA3" s="241" t="s">
        <v>178</v>
      </c>
      <c r="AB3" s="241" t="s">
        <v>179</v>
      </c>
      <c r="AC3" s="241" t="s">
        <v>180</v>
      </c>
      <c r="AD3" s="241" t="s">
        <v>181</v>
      </c>
      <c r="AE3" s="241" t="s">
        <v>182</v>
      </c>
      <c r="AF3" s="241" t="s">
        <v>183</v>
      </c>
      <c r="AG3" s="241" t="s">
        <v>184</v>
      </c>
      <c r="AH3" s="241" t="s">
        <v>185</v>
      </c>
      <c r="AI3" s="241" t="s">
        <v>186</v>
      </c>
      <c r="AJ3" s="241" t="s">
        <v>187</v>
      </c>
      <c r="AK3" s="241" t="s">
        <v>188</v>
      </c>
      <c r="AL3" s="241" t="s">
        <v>190</v>
      </c>
      <c r="AM3" s="242"/>
      <c r="AN3" s="241" t="s">
        <v>172</v>
      </c>
      <c r="AO3" s="241" t="s">
        <v>176</v>
      </c>
      <c r="AP3" s="241" t="s">
        <v>177</v>
      </c>
      <c r="AQ3" s="241" t="s">
        <v>178</v>
      </c>
      <c r="AR3" s="241" t="s">
        <v>179</v>
      </c>
      <c r="AS3" s="241" t="s">
        <v>180</v>
      </c>
      <c r="AT3" s="241" t="s">
        <v>181</v>
      </c>
      <c r="AU3" s="241" t="s">
        <v>182</v>
      </c>
      <c r="AV3" s="241" t="s">
        <v>183</v>
      </c>
      <c r="AW3" s="241" t="s">
        <v>184</v>
      </c>
      <c r="AX3" s="241" t="s">
        <v>185</v>
      </c>
      <c r="AY3" s="241" t="s">
        <v>186</v>
      </c>
      <c r="AZ3" s="241" t="s">
        <v>187</v>
      </c>
      <c r="BA3" s="241" t="s">
        <v>188</v>
      </c>
      <c r="BB3" s="241" t="s">
        <v>190</v>
      </c>
    </row>
    <row r="4" spans="1:56" ht="15">
      <c r="A4" s="300" t="s">
        <v>152</v>
      </c>
      <c r="B4" s="248" t="str">
        <f>VLOOKUP(A4,'DFP-Com'!$A$16:$B$50,2,1)</f>
        <v xml:space="preserve">     1.1.a  Education Project Implementation Contract</v>
      </c>
      <c r="C4" s="300" t="s">
        <v>266</v>
      </c>
      <c r="D4" s="329">
        <v>8500000</v>
      </c>
      <c r="E4" s="300" t="s">
        <v>191</v>
      </c>
      <c r="H4" s="319"/>
      <c r="I4" s="235">
        <v>0.03</v>
      </c>
      <c r="J4" s="235">
        <v>0.05</v>
      </c>
      <c r="K4" s="235">
        <v>0.05</v>
      </c>
      <c r="L4" s="235">
        <v>0.05</v>
      </c>
      <c r="M4" s="235">
        <v>0.1</v>
      </c>
      <c r="N4" s="235">
        <v>0.1</v>
      </c>
      <c r="O4" s="235">
        <v>0.1</v>
      </c>
      <c r="P4" s="235">
        <v>0.1</v>
      </c>
      <c r="Q4" s="235">
        <v>0.1</v>
      </c>
      <c r="R4" s="235">
        <v>0.1</v>
      </c>
      <c r="S4" s="235">
        <v>0.1</v>
      </c>
      <c r="T4" s="235">
        <v>0.12</v>
      </c>
      <c r="U4" s="303">
        <f aca="true" t="shared" si="0" ref="U4:U38">SUM(F4:T4)</f>
        <v>0.9999999999999999</v>
      </c>
      <c r="X4" s="305">
        <f aca="true" t="shared" si="1" ref="X4:AL20">F4*$D4</f>
        <v>0</v>
      </c>
      <c r="Y4" s="305">
        <f t="shared" si="1"/>
        <v>0</v>
      </c>
      <c r="Z4" s="305">
        <f t="shared" si="1"/>
        <v>0</v>
      </c>
      <c r="AA4" s="305">
        <f t="shared" si="1"/>
        <v>255000</v>
      </c>
      <c r="AB4" s="305">
        <f t="shared" si="1"/>
        <v>425000</v>
      </c>
      <c r="AC4" s="305">
        <f t="shared" si="1"/>
        <v>425000</v>
      </c>
      <c r="AD4" s="305">
        <f t="shared" si="1"/>
        <v>425000</v>
      </c>
      <c r="AE4" s="305">
        <f t="shared" si="1"/>
        <v>850000</v>
      </c>
      <c r="AF4" s="305">
        <f t="shared" si="1"/>
        <v>850000</v>
      </c>
      <c r="AG4" s="305">
        <f t="shared" si="1"/>
        <v>850000</v>
      </c>
      <c r="AH4" s="305">
        <f t="shared" si="1"/>
        <v>850000</v>
      </c>
      <c r="AI4" s="305">
        <f t="shared" si="1"/>
        <v>850000</v>
      </c>
      <c r="AJ4" s="305">
        <f t="shared" si="1"/>
        <v>850000</v>
      </c>
      <c r="AK4" s="305">
        <f t="shared" si="1"/>
        <v>850000</v>
      </c>
      <c r="AL4" s="305">
        <f t="shared" si="1"/>
        <v>1020000</v>
      </c>
      <c r="AM4" s="242"/>
      <c r="AN4" s="305">
        <f aca="true" t="shared" si="2" ref="AN4:BB19">IF(AN$3=$E4,$D4,0)</f>
        <v>0</v>
      </c>
      <c r="AO4" s="305">
        <f t="shared" si="2"/>
        <v>0</v>
      </c>
      <c r="AP4" s="305">
        <f t="shared" si="2"/>
        <v>8500000</v>
      </c>
      <c r="AQ4" s="305">
        <f t="shared" si="2"/>
        <v>0</v>
      </c>
      <c r="AR4" s="305">
        <f t="shared" si="2"/>
        <v>0</v>
      </c>
      <c r="AS4" s="305">
        <f t="shared" si="2"/>
        <v>0</v>
      </c>
      <c r="AT4" s="305">
        <f t="shared" si="2"/>
        <v>0</v>
      </c>
      <c r="AU4" s="305">
        <f t="shared" si="2"/>
        <v>0</v>
      </c>
      <c r="AV4" s="305">
        <f t="shared" si="2"/>
        <v>0</v>
      </c>
      <c r="AW4" s="305">
        <f t="shared" si="2"/>
        <v>0</v>
      </c>
      <c r="AX4" s="305">
        <f t="shared" si="2"/>
        <v>0</v>
      </c>
      <c r="AY4" s="305">
        <f t="shared" si="2"/>
        <v>0</v>
      </c>
      <c r="AZ4" s="305">
        <f t="shared" si="2"/>
        <v>0</v>
      </c>
      <c r="BA4" s="305">
        <f t="shared" si="2"/>
        <v>0</v>
      </c>
      <c r="BB4" s="305">
        <f t="shared" si="2"/>
        <v>0</v>
      </c>
      <c r="BD4" s="304">
        <f aca="true" t="shared" si="3" ref="BD4:BD27">SUM(X4:AL4)-SUM(AN4:BB4)</f>
        <v>0</v>
      </c>
    </row>
    <row r="5" spans="1:56" ht="15">
      <c r="A5" s="300" t="s">
        <v>152</v>
      </c>
      <c r="B5" s="248" t="str">
        <f>VLOOKUP(A5,'DFP-Com'!$A$16:$B$50,2,1)</f>
        <v xml:space="preserve">     1.1.a  Education Project Implementation Contract</v>
      </c>
      <c r="C5" s="300" t="s">
        <v>194</v>
      </c>
      <c r="D5" s="328">
        <v>200000</v>
      </c>
      <c r="E5" s="300" t="s">
        <v>205</v>
      </c>
      <c r="L5" s="303">
        <v>0.25</v>
      </c>
      <c r="M5" s="303">
        <v>0.25</v>
      </c>
      <c r="N5" s="303">
        <v>0.25</v>
      </c>
      <c r="O5" s="303">
        <v>0.25</v>
      </c>
      <c r="U5" s="303">
        <f t="shared" si="0"/>
        <v>1</v>
      </c>
      <c r="X5" s="305">
        <f t="shared" si="1"/>
        <v>0</v>
      </c>
      <c r="Y5" s="305">
        <f t="shared" si="1"/>
        <v>0</v>
      </c>
      <c r="Z5" s="305">
        <f t="shared" si="1"/>
        <v>0</v>
      </c>
      <c r="AA5" s="305">
        <f t="shared" si="1"/>
        <v>0</v>
      </c>
      <c r="AB5" s="305">
        <f t="shared" si="1"/>
        <v>0</v>
      </c>
      <c r="AC5" s="305">
        <f t="shared" si="1"/>
        <v>0</v>
      </c>
      <c r="AD5" s="305">
        <f t="shared" si="1"/>
        <v>50000</v>
      </c>
      <c r="AE5" s="305">
        <f t="shared" si="1"/>
        <v>50000</v>
      </c>
      <c r="AF5" s="305">
        <f t="shared" si="1"/>
        <v>50000</v>
      </c>
      <c r="AG5" s="305">
        <f t="shared" si="1"/>
        <v>50000</v>
      </c>
      <c r="AH5" s="305">
        <f t="shared" si="1"/>
        <v>0</v>
      </c>
      <c r="AI5" s="305">
        <f t="shared" si="1"/>
        <v>0</v>
      </c>
      <c r="AJ5" s="305">
        <f t="shared" si="1"/>
        <v>0</v>
      </c>
      <c r="AK5" s="305">
        <f t="shared" si="1"/>
        <v>0</v>
      </c>
      <c r="AL5" s="305">
        <f t="shared" si="1"/>
        <v>0</v>
      </c>
      <c r="AM5" s="242"/>
      <c r="AN5" s="305">
        <f t="shared" si="2"/>
        <v>0</v>
      </c>
      <c r="AO5" s="305">
        <f t="shared" si="2"/>
        <v>0</v>
      </c>
      <c r="AP5" s="305">
        <f t="shared" si="2"/>
        <v>0</v>
      </c>
      <c r="AQ5" s="305">
        <f t="shared" si="2"/>
        <v>0</v>
      </c>
      <c r="AR5" s="305">
        <f t="shared" si="2"/>
        <v>0</v>
      </c>
      <c r="AS5" s="305">
        <f t="shared" si="2"/>
        <v>0</v>
      </c>
      <c r="AT5" s="305">
        <f t="shared" si="2"/>
        <v>200000</v>
      </c>
      <c r="AU5" s="305">
        <f t="shared" si="2"/>
        <v>0</v>
      </c>
      <c r="AV5" s="305">
        <f t="shared" si="2"/>
        <v>0</v>
      </c>
      <c r="AW5" s="305">
        <f t="shared" si="2"/>
        <v>0</v>
      </c>
      <c r="AX5" s="305">
        <f t="shared" si="2"/>
        <v>0</v>
      </c>
      <c r="AY5" s="305">
        <f t="shared" si="2"/>
        <v>0</v>
      </c>
      <c r="AZ5" s="305">
        <f t="shared" si="2"/>
        <v>0</v>
      </c>
      <c r="BA5" s="305">
        <f t="shared" si="2"/>
        <v>0</v>
      </c>
      <c r="BB5" s="305">
        <f t="shared" si="2"/>
        <v>0</v>
      </c>
      <c r="BD5" s="304">
        <f t="shared" si="3"/>
        <v>0</v>
      </c>
    </row>
    <row r="6" spans="1:56" ht="15">
      <c r="A6" s="300" t="s">
        <v>153</v>
      </c>
      <c r="B6" s="248" t="str">
        <f>VLOOKUP(A6,'DFP-Com'!$A$16:$B$50,2,1)</f>
        <v xml:space="preserve">     1.1.b  Grants to Universities for Teacher Training (Diplomados)</v>
      </c>
      <c r="C6" s="300" t="s">
        <v>192</v>
      </c>
      <c r="D6" s="236">
        <v>3000000</v>
      </c>
      <c r="E6" s="300" t="s">
        <v>193</v>
      </c>
      <c r="H6" s="319"/>
      <c r="I6" s="235"/>
      <c r="J6" s="235"/>
      <c r="K6" s="235"/>
      <c r="L6" s="235">
        <v>0.125</v>
      </c>
      <c r="M6" s="235">
        <v>0.125</v>
      </c>
      <c r="N6" s="235">
        <v>0.125</v>
      </c>
      <c r="O6" s="235">
        <v>0.125</v>
      </c>
      <c r="P6" s="235">
        <v>0.125</v>
      </c>
      <c r="Q6" s="235">
        <v>0.125</v>
      </c>
      <c r="R6" s="235">
        <v>0.125</v>
      </c>
      <c r="S6" s="235">
        <v>0.125</v>
      </c>
      <c r="T6" s="303"/>
      <c r="U6" s="303">
        <f t="shared" si="0"/>
        <v>1</v>
      </c>
      <c r="X6" s="305">
        <f t="shared" si="1"/>
        <v>0</v>
      </c>
      <c r="Y6" s="305">
        <f t="shared" si="1"/>
        <v>0</v>
      </c>
      <c r="Z6" s="305">
        <f t="shared" si="1"/>
        <v>0</v>
      </c>
      <c r="AA6" s="305">
        <f t="shared" si="1"/>
        <v>0</v>
      </c>
      <c r="AB6" s="305">
        <f t="shared" si="1"/>
        <v>0</v>
      </c>
      <c r="AC6" s="305">
        <f t="shared" si="1"/>
        <v>0</v>
      </c>
      <c r="AD6" s="305">
        <f t="shared" si="1"/>
        <v>375000</v>
      </c>
      <c r="AE6" s="305">
        <f t="shared" si="1"/>
        <v>375000</v>
      </c>
      <c r="AF6" s="305">
        <f t="shared" si="1"/>
        <v>375000</v>
      </c>
      <c r="AG6" s="305">
        <f t="shared" si="1"/>
        <v>375000</v>
      </c>
      <c r="AH6" s="305">
        <f t="shared" si="1"/>
        <v>375000</v>
      </c>
      <c r="AI6" s="305">
        <f t="shared" si="1"/>
        <v>375000</v>
      </c>
      <c r="AJ6" s="305">
        <f t="shared" si="1"/>
        <v>375000</v>
      </c>
      <c r="AK6" s="305">
        <f t="shared" si="1"/>
        <v>375000</v>
      </c>
      <c r="AL6" s="305">
        <f t="shared" si="1"/>
        <v>0</v>
      </c>
      <c r="AM6" s="242"/>
      <c r="AN6" s="305">
        <f t="shared" si="2"/>
        <v>0</v>
      </c>
      <c r="AO6" s="305">
        <f t="shared" si="2"/>
        <v>0</v>
      </c>
      <c r="AP6" s="305">
        <f t="shared" si="2"/>
        <v>0</v>
      </c>
      <c r="AQ6" s="305">
        <f t="shared" si="2"/>
        <v>0</v>
      </c>
      <c r="AR6" s="305">
        <f t="shared" si="2"/>
        <v>0</v>
      </c>
      <c r="AS6" s="305">
        <f t="shared" si="2"/>
        <v>3000000</v>
      </c>
      <c r="AT6" s="305">
        <f t="shared" si="2"/>
        <v>0</v>
      </c>
      <c r="AU6" s="305">
        <f t="shared" si="2"/>
        <v>0</v>
      </c>
      <c r="AV6" s="305">
        <f t="shared" si="2"/>
        <v>0</v>
      </c>
      <c r="AW6" s="305">
        <f t="shared" si="2"/>
        <v>0</v>
      </c>
      <c r="AX6" s="305">
        <f t="shared" si="2"/>
        <v>0</v>
      </c>
      <c r="AY6" s="305">
        <f t="shared" si="2"/>
        <v>0</v>
      </c>
      <c r="AZ6" s="305">
        <f t="shared" si="2"/>
        <v>0</v>
      </c>
      <c r="BA6" s="305">
        <f t="shared" si="2"/>
        <v>0</v>
      </c>
      <c r="BB6" s="305">
        <f t="shared" si="2"/>
        <v>0</v>
      </c>
      <c r="BD6" s="304">
        <f t="shared" si="3"/>
        <v>0</v>
      </c>
    </row>
    <row r="7" spans="1:56" ht="15">
      <c r="A7" s="300" t="s">
        <v>155</v>
      </c>
      <c r="B7" s="248" t="str">
        <f>VLOOKUP(A7,'DFP-Com'!$A$16:$B$50,2,1)</f>
        <v xml:space="preserve">     1.2.a  TVET</v>
      </c>
      <c r="C7" s="250" t="s">
        <v>235</v>
      </c>
      <c r="D7" s="306">
        <v>4000000</v>
      </c>
      <c r="E7" s="300" t="s">
        <v>220</v>
      </c>
      <c r="J7" s="303">
        <v>0.05</v>
      </c>
      <c r="K7" s="303">
        <v>0.1</v>
      </c>
      <c r="L7" s="303">
        <v>0.1</v>
      </c>
      <c r="M7" s="303">
        <v>0.1</v>
      </c>
      <c r="N7" s="303">
        <v>0.1</v>
      </c>
      <c r="O7" s="303">
        <v>0.1</v>
      </c>
      <c r="P7" s="303">
        <v>0.1</v>
      </c>
      <c r="Q7" s="303">
        <v>0.1</v>
      </c>
      <c r="R7" s="303">
        <v>0.1</v>
      </c>
      <c r="S7" s="303">
        <v>0.1</v>
      </c>
      <c r="T7" s="303">
        <v>0.05</v>
      </c>
      <c r="U7" s="303">
        <f t="shared" si="0"/>
        <v>0.9999999999999999</v>
      </c>
      <c r="X7" s="305">
        <f t="shared" si="1"/>
        <v>0</v>
      </c>
      <c r="Y7" s="305">
        <f t="shared" si="1"/>
        <v>0</v>
      </c>
      <c r="Z7" s="305">
        <f t="shared" si="1"/>
        <v>0</v>
      </c>
      <c r="AA7" s="305">
        <f t="shared" si="1"/>
        <v>0</v>
      </c>
      <c r="AB7" s="305">
        <f t="shared" si="1"/>
        <v>200000</v>
      </c>
      <c r="AC7" s="305">
        <f t="shared" si="1"/>
        <v>400000</v>
      </c>
      <c r="AD7" s="305">
        <f t="shared" si="1"/>
        <v>400000</v>
      </c>
      <c r="AE7" s="305">
        <f t="shared" si="1"/>
        <v>400000</v>
      </c>
      <c r="AF7" s="305">
        <f t="shared" si="1"/>
        <v>400000</v>
      </c>
      <c r="AG7" s="305">
        <f t="shared" si="1"/>
        <v>400000</v>
      </c>
      <c r="AH7" s="305">
        <f t="shared" si="1"/>
        <v>400000</v>
      </c>
      <c r="AI7" s="305">
        <f t="shared" si="1"/>
        <v>400000</v>
      </c>
      <c r="AJ7" s="305">
        <f t="shared" si="1"/>
        <v>400000</v>
      </c>
      <c r="AK7" s="305">
        <f t="shared" si="1"/>
        <v>400000</v>
      </c>
      <c r="AL7" s="305">
        <f t="shared" si="1"/>
        <v>200000</v>
      </c>
      <c r="AM7" s="242"/>
      <c r="AN7" s="305">
        <f t="shared" si="2"/>
        <v>0</v>
      </c>
      <c r="AO7" s="305">
        <f t="shared" si="2"/>
        <v>0</v>
      </c>
      <c r="AP7" s="305">
        <f t="shared" si="2"/>
        <v>0</v>
      </c>
      <c r="AQ7" s="305">
        <f t="shared" si="2"/>
        <v>0</v>
      </c>
      <c r="AR7" s="305">
        <f t="shared" si="2"/>
        <v>4000000</v>
      </c>
      <c r="AS7" s="305">
        <f t="shared" si="2"/>
        <v>0</v>
      </c>
      <c r="AT7" s="305">
        <f t="shared" si="2"/>
        <v>0</v>
      </c>
      <c r="AU7" s="305">
        <f t="shared" si="2"/>
        <v>0</v>
      </c>
      <c r="AV7" s="305">
        <f t="shared" si="2"/>
        <v>0</v>
      </c>
      <c r="AW7" s="305">
        <f t="shared" si="2"/>
        <v>0</v>
      </c>
      <c r="AX7" s="305">
        <f t="shared" si="2"/>
        <v>0</v>
      </c>
      <c r="AY7" s="305">
        <f t="shared" si="2"/>
        <v>0</v>
      </c>
      <c r="AZ7" s="305">
        <f t="shared" si="2"/>
        <v>0</v>
      </c>
      <c r="BA7" s="305">
        <f t="shared" si="2"/>
        <v>0</v>
      </c>
      <c r="BB7" s="305">
        <f t="shared" si="2"/>
        <v>0</v>
      </c>
      <c r="BD7" s="304">
        <f t="shared" si="3"/>
        <v>0</v>
      </c>
    </row>
    <row r="8" spans="1:56" ht="15">
      <c r="A8" s="300" t="s">
        <v>156</v>
      </c>
      <c r="B8" s="248" t="str">
        <f>VLOOKUP(A8,'DFP-Com'!$A$16:$B$50,2,1)</f>
        <v xml:space="preserve">     1.3.a  Education Project Implementation Contract</v>
      </c>
      <c r="C8" s="300" t="s">
        <v>265</v>
      </c>
      <c r="D8" s="329">
        <v>2500000</v>
      </c>
      <c r="E8" s="300" t="s">
        <v>191</v>
      </c>
      <c r="H8" s="319"/>
      <c r="I8" s="235">
        <v>0.03</v>
      </c>
      <c r="J8" s="235">
        <v>0.05</v>
      </c>
      <c r="K8" s="235">
        <v>0.05</v>
      </c>
      <c r="L8" s="235">
        <v>0.05</v>
      </c>
      <c r="M8" s="235">
        <v>0.1</v>
      </c>
      <c r="N8" s="235">
        <v>0.1</v>
      </c>
      <c r="O8" s="235">
        <v>0.1</v>
      </c>
      <c r="P8" s="235">
        <v>0.1</v>
      </c>
      <c r="Q8" s="235">
        <v>0.1</v>
      </c>
      <c r="R8" s="235">
        <v>0.1</v>
      </c>
      <c r="S8" s="235">
        <v>0.1</v>
      </c>
      <c r="T8" s="235">
        <v>0.12</v>
      </c>
      <c r="U8" s="303">
        <f t="shared" si="0"/>
        <v>0.9999999999999999</v>
      </c>
      <c r="X8" s="305">
        <f t="shared" si="1"/>
        <v>0</v>
      </c>
      <c r="Y8" s="305">
        <f t="shared" si="1"/>
        <v>0</v>
      </c>
      <c r="Z8" s="305">
        <f t="shared" si="1"/>
        <v>0</v>
      </c>
      <c r="AA8" s="305">
        <f t="shared" si="1"/>
        <v>75000</v>
      </c>
      <c r="AB8" s="305">
        <f t="shared" si="1"/>
        <v>125000</v>
      </c>
      <c r="AC8" s="305">
        <f t="shared" si="1"/>
        <v>125000</v>
      </c>
      <c r="AD8" s="305">
        <f t="shared" si="1"/>
        <v>125000</v>
      </c>
      <c r="AE8" s="305">
        <f t="shared" si="1"/>
        <v>250000</v>
      </c>
      <c r="AF8" s="305">
        <f t="shared" si="1"/>
        <v>250000</v>
      </c>
      <c r="AG8" s="305">
        <f t="shared" si="1"/>
        <v>250000</v>
      </c>
      <c r="AH8" s="305">
        <f t="shared" si="1"/>
        <v>250000</v>
      </c>
      <c r="AI8" s="305">
        <f t="shared" si="1"/>
        <v>250000</v>
      </c>
      <c r="AJ8" s="305">
        <f t="shared" si="1"/>
        <v>250000</v>
      </c>
      <c r="AK8" s="305">
        <f t="shared" si="1"/>
        <v>250000</v>
      </c>
      <c r="AL8" s="305">
        <f t="shared" si="1"/>
        <v>300000</v>
      </c>
      <c r="AM8" s="242"/>
      <c r="AN8" s="305">
        <f t="shared" si="2"/>
        <v>0</v>
      </c>
      <c r="AO8" s="305">
        <f t="shared" si="2"/>
        <v>0</v>
      </c>
      <c r="AP8" s="305">
        <f t="shared" si="2"/>
        <v>2500000</v>
      </c>
      <c r="AQ8" s="305">
        <f t="shared" si="2"/>
        <v>0</v>
      </c>
      <c r="AR8" s="305">
        <f t="shared" si="2"/>
        <v>0</v>
      </c>
      <c r="AS8" s="305">
        <f t="shared" si="2"/>
        <v>0</v>
      </c>
      <c r="AT8" s="305">
        <f t="shared" si="2"/>
        <v>0</v>
      </c>
      <c r="AU8" s="305">
        <f t="shared" si="2"/>
        <v>0</v>
      </c>
      <c r="AV8" s="305">
        <f t="shared" si="2"/>
        <v>0</v>
      </c>
      <c r="AW8" s="305">
        <f t="shared" si="2"/>
        <v>0</v>
      </c>
      <c r="AX8" s="305">
        <f t="shared" si="2"/>
        <v>0</v>
      </c>
      <c r="AY8" s="305">
        <f t="shared" si="2"/>
        <v>0</v>
      </c>
      <c r="AZ8" s="305">
        <f t="shared" si="2"/>
        <v>0</v>
      </c>
      <c r="BA8" s="305">
        <f t="shared" si="2"/>
        <v>0</v>
      </c>
      <c r="BB8" s="305">
        <f t="shared" si="2"/>
        <v>0</v>
      </c>
      <c r="BD8" s="304">
        <f t="shared" si="3"/>
        <v>0</v>
      </c>
    </row>
    <row r="9" spans="1:56" ht="15">
      <c r="A9" s="300" t="s">
        <v>159</v>
      </c>
      <c r="B9" s="312" t="str">
        <f>VLOOKUP(A9,'DFP-Com'!$A$16:$B$50,2,1)</f>
        <v xml:space="preserve">     2.1.a  Tax and Customs</v>
      </c>
      <c r="C9" s="300" t="s">
        <v>244</v>
      </c>
      <c r="D9" s="236">
        <v>140000</v>
      </c>
      <c r="E9" s="300" t="s">
        <v>223</v>
      </c>
      <c r="G9" s="303"/>
      <c r="H9" s="320"/>
      <c r="I9" s="303">
        <v>0.25</v>
      </c>
      <c r="J9" s="303">
        <v>0.25</v>
      </c>
      <c r="K9" s="303">
        <v>0.25</v>
      </c>
      <c r="L9" s="303">
        <v>0.25</v>
      </c>
      <c r="M9" s="303"/>
      <c r="N9" s="303"/>
      <c r="O9" s="303"/>
      <c r="P9" s="303"/>
      <c r="Q9" s="303"/>
      <c r="U9" s="303">
        <f t="shared" si="0"/>
        <v>1</v>
      </c>
      <c r="X9" s="305">
        <f t="shared" si="1"/>
        <v>0</v>
      </c>
      <c r="Y9" s="305">
        <f t="shared" si="1"/>
        <v>0</v>
      </c>
      <c r="Z9" s="305">
        <f t="shared" si="1"/>
        <v>0</v>
      </c>
      <c r="AA9" s="305">
        <f t="shared" si="1"/>
        <v>35000</v>
      </c>
      <c r="AB9" s="305">
        <f t="shared" si="1"/>
        <v>35000</v>
      </c>
      <c r="AC9" s="305">
        <f t="shared" si="1"/>
        <v>35000</v>
      </c>
      <c r="AD9" s="305">
        <f t="shared" si="1"/>
        <v>35000</v>
      </c>
      <c r="AE9" s="305">
        <f t="shared" si="1"/>
        <v>0</v>
      </c>
      <c r="AF9" s="305">
        <f t="shared" si="1"/>
        <v>0</v>
      </c>
      <c r="AG9" s="305">
        <f t="shared" si="1"/>
        <v>0</v>
      </c>
      <c r="AH9" s="305">
        <f t="shared" si="1"/>
        <v>0</v>
      </c>
      <c r="AI9" s="305">
        <f t="shared" si="1"/>
        <v>0</v>
      </c>
      <c r="AJ9" s="305">
        <f t="shared" si="1"/>
        <v>0</v>
      </c>
      <c r="AK9" s="305">
        <f t="shared" si="1"/>
        <v>0</v>
      </c>
      <c r="AL9" s="305">
        <f t="shared" si="1"/>
        <v>0</v>
      </c>
      <c r="AM9" s="242"/>
      <c r="AN9" s="305">
        <f t="shared" si="2"/>
        <v>0</v>
      </c>
      <c r="AO9" s="305">
        <f t="shared" si="2"/>
        <v>0</v>
      </c>
      <c r="AP9" s="305">
        <f t="shared" si="2"/>
        <v>0</v>
      </c>
      <c r="AQ9" s="305">
        <f t="shared" si="2"/>
        <v>140000</v>
      </c>
      <c r="AR9" s="305">
        <f t="shared" si="2"/>
        <v>0</v>
      </c>
      <c r="AS9" s="305">
        <f t="shared" si="2"/>
        <v>0</v>
      </c>
      <c r="AT9" s="305">
        <f t="shared" si="2"/>
        <v>0</v>
      </c>
      <c r="AU9" s="305">
        <f t="shared" si="2"/>
        <v>0</v>
      </c>
      <c r="AV9" s="305">
        <f t="shared" si="2"/>
        <v>0</v>
      </c>
      <c r="AW9" s="305">
        <f t="shared" si="2"/>
        <v>0</v>
      </c>
      <c r="AX9" s="305">
        <f t="shared" si="2"/>
        <v>0</v>
      </c>
      <c r="AY9" s="305">
        <f t="shared" si="2"/>
        <v>0</v>
      </c>
      <c r="AZ9" s="305">
        <f t="shared" si="2"/>
        <v>0</v>
      </c>
      <c r="BA9" s="305">
        <f t="shared" si="2"/>
        <v>0</v>
      </c>
      <c r="BB9" s="305">
        <f t="shared" si="2"/>
        <v>0</v>
      </c>
      <c r="BD9" s="304">
        <f t="shared" si="3"/>
        <v>0</v>
      </c>
    </row>
    <row r="10" spans="1:56" ht="15">
      <c r="A10" s="300" t="s">
        <v>159</v>
      </c>
      <c r="B10" s="312" t="str">
        <f>VLOOKUP(A10,'DFP-Com'!$A$16:$B$50,2,1)</f>
        <v xml:space="preserve">     2.1.a  Tax and Customs</v>
      </c>
      <c r="C10" s="300" t="s">
        <v>260</v>
      </c>
      <c r="D10" s="236">
        <v>140000</v>
      </c>
      <c r="E10" s="300" t="s">
        <v>205</v>
      </c>
      <c r="G10" s="303"/>
      <c r="H10" s="320"/>
      <c r="I10" s="303"/>
      <c r="J10" s="303"/>
      <c r="K10" s="303"/>
      <c r="L10" s="303">
        <v>0.25</v>
      </c>
      <c r="M10" s="303">
        <v>0.25</v>
      </c>
      <c r="N10" s="303">
        <v>0.25</v>
      </c>
      <c r="O10" s="303">
        <v>0.25</v>
      </c>
      <c r="P10" s="303"/>
      <c r="Q10" s="303"/>
      <c r="U10" s="303">
        <f t="shared" si="0"/>
        <v>1</v>
      </c>
      <c r="X10" s="305">
        <f t="shared" si="1"/>
        <v>0</v>
      </c>
      <c r="Y10" s="305">
        <f t="shared" si="1"/>
        <v>0</v>
      </c>
      <c r="Z10" s="305">
        <f t="shared" si="1"/>
        <v>0</v>
      </c>
      <c r="AA10" s="305">
        <f t="shared" si="1"/>
        <v>0</v>
      </c>
      <c r="AB10" s="305">
        <f t="shared" si="1"/>
        <v>0</v>
      </c>
      <c r="AC10" s="305">
        <f t="shared" si="1"/>
        <v>0</v>
      </c>
      <c r="AD10" s="305">
        <f t="shared" si="1"/>
        <v>35000</v>
      </c>
      <c r="AE10" s="305">
        <f t="shared" si="1"/>
        <v>35000</v>
      </c>
      <c r="AF10" s="305">
        <f t="shared" si="1"/>
        <v>35000</v>
      </c>
      <c r="AG10" s="305">
        <f t="shared" si="1"/>
        <v>35000</v>
      </c>
      <c r="AH10" s="305">
        <f t="shared" si="1"/>
        <v>0</v>
      </c>
      <c r="AI10" s="305">
        <f t="shared" si="1"/>
        <v>0</v>
      </c>
      <c r="AJ10" s="305">
        <f t="shared" si="1"/>
        <v>0</v>
      </c>
      <c r="AK10" s="305">
        <f t="shared" si="1"/>
        <v>0</v>
      </c>
      <c r="AL10" s="305">
        <f t="shared" si="1"/>
        <v>0</v>
      </c>
      <c r="AM10" s="242"/>
      <c r="AN10" s="305">
        <f t="shared" si="2"/>
        <v>0</v>
      </c>
      <c r="AO10" s="305">
        <f t="shared" si="2"/>
        <v>0</v>
      </c>
      <c r="AP10" s="305">
        <f t="shared" si="2"/>
        <v>0</v>
      </c>
      <c r="AQ10" s="305">
        <f t="shared" si="2"/>
        <v>0</v>
      </c>
      <c r="AR10" s="305">
        <f t="shared" si="2"/>
        <v>0</v>
      </c>
      <c r="AS10" s="305">
        <f t="shared" si="2"/>
        <v>0</v>
      </c>
      <c r="AT10" s="305">
        <f t="shared" si="2"/>
        <v>140000</v>
      </c>
      <c r="AU10" s="305">
        <f t="shared" si="2"/>
        <v>0</v>
      </c>
      <c r="AV10" s="305">
        <f t="shared" si="2"/>
        <v>0</v>
      </c>
      <c r="AW10" s="305">
        <f t="shared" si="2"/>
        <v>0</v>
      </c>
      <c r="AX10" s="305">
        <f t="shared" si="2"/>
        <v>0</v>
      </c>
      <c r="AY10" s="305">
        <f t="shared" si="2"/>
        <v>0</v>
      </c>
      <c r="AZ10" s="305">
        <f t="shared" si="2"/>
        <v>0</v>
      </c>
      <c r="BA10" s="305">
        <f t="shared" si="2"/>
        <v>0</v>
      </c>
      <c r="BB10" s="305">
        <f t="shared" si="2"/>
        <v>0</v>
      </c>
      <c r="BD10" s="304">
        <f t="shared" si="3"/>
        <v>0</v>
      </c>
    </row>
    <row r="11" spans="1:56" ht="15">
      <c r="A11" s="300" t="s">
        <v>159</v>
      </c>
      <c r="B11" s="312" t="str">
        <f>VLOOKUP(A11,'DFP-Com'!$A$16:$B$50,2,1)</f>
        <v xml:space="preserve">     2.1.a  Tax and Customs</v>
      </c>
      <c r="C11" s="300" t="s">
        <v>242</v>
      </c>
      <c r="D11" s="236">
        <v>4000</v>
      </c>
      <c r="E11" s="300" t="s">
        <v>191</v>
      </c>
      <c r="G11" s="303"/>
      <c r="H11" s="320">
        <v>1</v>
      </c>
      <c r="I11" s="303"/>
      <c r="J11" s="303"/>
      <c r="K11" s="303"/>
      <c r="L11" s="303"/>
      <c r="M11" s="303"/>
      <c r="N11" s="303"/>
      <c r="U11" s="303">
        <f t="shared" si="0"/>
        <v>1</v>
      </c>
      <c r="X11" s="305">
        <f t="shared" si="1"/>
        <v>0</v>
      </c>
      <c r="Y11" s="305">
        <f t="shared" si="1"/>
        <v>0</v>
      </c>
      <c r="Z11" s="305">
        <f t="shared" si="1"/>
        <v>4000</v>
      </c>
      <c r="AA11" s="305">
        <f t="shared" si="1"/>
        <v>0</v>
      </c>
      <c r="AB11" s="305">
        <f t="shared" si="1"/>
        <v>0</v>
      </c>
      <c r="AC11" s="305">
        <f t="shared" si="1"/>
        <v>0</v>
      </c>
      <c r="AD11" s="305">
        <f t="shared" si="1"/>
        <v>0</v>
      </c>
      <c r="AE11" s="305">
        <f t="shared" si="1"/>
        <v>0</v>
      </c>
      <c r="AF11" s="305">
        <f t="shared" si="1"/>
        <v>0</v>
      </c>
      <c r="AG11" s="305">
        <f t="shared" si="1"/>
        <v>0</v>
      </c>
      <c r="AH11" s="305">
        <f t="shared" si="1"/>
        <v>0</v>
      </c>
      <c r="AI11" s="305">
        <f t="shared" si="1"/>
        <v>0</v>
      </c>
      <c r="AJ11" s="305">
        <f t="shared" si="1"/>
        <v>0</v>
      </c>
      <c r="AK11" s="305">
        <f t="shared" si="1"/>
        <v>0</v>
      </c>
      <c r="AL11" s="305">
        <f t="shared" si="1"/>
        <v>0</v>
      </c>
      <c r="AM11" s="242"/>
      <c r="AN11" s="305">
        <f t="shared" si="2"/>
        <v>0</v>
      </c>
      <c r="AO11" s="305">
        <f t="shared" si="2"/>
        <v>0</v>
      </c>
      <c r="AP11" s="305">
        <f t="shared" si="2"/>
        <v>4000</v>
      </c>
      <c r="AQ11" s="305">
        <f t="shared" si="2"/>
        <v>0</v>
      </c>
      <c r="AR11" s="305">
        <f t="shared" si="2"/>
        <v>0</v>
      </c>
      <c r="AS11" s="305">
        <f t="shared" si="2"/>
        <v>0</v>
      </c>
      <c r="AT11" s="305">
        <f t="shared" si="2"/>
        <v>0</v>
      </c>
      <c r="AU11" s="305">
        <f t="shared" si="2"/>
        <v>0</v>
      </c>
      <c r="AV11" s="305">
        <f t="shared" si="2"/>
        <v>0</v>
      </c>
      <c r="AW11" s="305">
        <f t="shared" si="2"/>
        <v>0</v>
      </c>
      <c r="AX11" s="305">
        <f t="shared" si="2"/>
        <v>0</v>
      </c>
      <c r="AY11" s="305">
        <f t="shared" si="2"/>
        <v>0</v>
      </c>
      <c r="AZ11" s="305">
        <f t="shared" si="2"/>
        <v>0</v>
      </c>
      <c r="BA11" s="305">
        <f t="shared" si="2"/>
        <v>0</v>
      </c>
      <c r="BB11" s="305">
        <f t="shared" si="2"/>
        <v>0</v>
      </c>
      <c r="BD11" s="304">
        <f t="shared" si="3"/>
        <v>0</v>
      </c>
    </row>
    <row r="12" spans="1:56" ht="15">
      <c r="A12" s="300" t="s">
        <v>159</v>
      </c>
      <c r="B12" s="312" t="str">
        <f>VLOOKUP(A12,'DFP-Com'!$A$16:$B$50,2,1)</f>
        <v xml:space="preserve">     2.1.a  Tax and Customs</v>
      </c>
      <c r="C12" s="300" t="s">
        <v>243</v>
      </c>
      <c r="D12" s="236">
        <v>100000</v>
      </c>
      <c r="E12" s="300" t="s">
        <v>191</v>
      </c>
      <c r="G12" s="303"/>
      <c r="H12" s="320">
        <v>0.25</v>
      </c>
      <c r="I12" s="303">
        <v>0.25</v>
      </c>
      <c r="J12" s="303">
        <v>0.25</v>
      </c>
      <c r="K12" s="303">
        <v>0.25</v>
      </c>
      <c r="L12" s="303"/>
      <c r="M12" s="303"/>
      <c r="N12" s="303"/>
      <c r="U12" s="303">
        <f t="shared" si="0"/>
        <v>1</v>
      </c>
      <c r="X12" s="305">
        <f t="shared" si="1"/>
        <v>0</v>
      </c>
      <c r="Y12" s="305">
        <f t="shared" si="1"/>
        <v>0</v>
      </c>
      <c r="Z12" s="305">
        <f t="shared" si="1"/>
        <v>25000</v>
      </c>
      <c r="AA12" s="305">
        <f t="shared" si="1"/>
        <v>25000</v>
      </c>
      <c r="AB12" s="305">
        <f t="shared" si="1"/>
        <v>25000</v>
      </c>
      <c r="AC12" s="305">
        <f t="shared" si="1"/>
        <v>25000</v>
      </c>
      <c r="AD12" s="305">
        <f t="shared" si="1"/>
        <v>0</v>
      </c>
      <c r="AE12" s="305">
        <f t="shared" si="1"/>
        <v>0</v>
      </c>
      <c r="AF12" s="305">
        <f t="shared" si="1"/>
        <v>0</v>
      </c>
      <c r="AG12" s="305">
        <f t="shared" si="1"/>
        <v>0</v>
      </c>
      <c r="AH12" s="305">
        <f t="shared" si="1"/>
        <v>0</v>
      </c>
      <c r="AI12" s="305">
        <f t="shared" si="1"/>
        <v>0</v>
      </c>
      <c r="AJ12" s="305">
        <f t="shared" si="1"/>
        <v>0</v>
      </c>
      <c r="AK12" s="305">
        <f t="shared" si="1"/>
        <v>0</v>
      </c>
      <c r="AL12" s="305">
        <f t="shared" si="1"/>
        <v>0</v>
      </c>
      <c r="AM12" s="242"/>
      <c r="AN12" s="305">
        <f t="shared" si="2"/>
        <v>0</v>
      </c>
      <c r="AO12" s="305">
        <f t="shared" si="2"/>
        <v>0</v>
      </c>
      <c r="AP12" s="305">
        <f t="shared" si="2"/>
        <v>100000</v>
      </c>
      <c r="AQ12" s="305">
        <f t="shared" si="2"/>
        <v>0</v>
      </c>
      <c r="AR12" s="305">
        <f t="shared" si="2"/>
        <v>0</v>
      </c>
      <c r="AS12" s="305">
        <f t="shared" si="2"/>
        <v>0</v>
      </c>
      <c r="AT12" s="305">
        <f t="shared" si="2"/>
        <v>0</v>
      </c>
      <c r="AU12" s="305">
        <f t="shared" si="2"/>
        <v>0</v>
      </c>
      <c r="AV12" s="305">
        <f t="shared" si="2"/>
        <v>0</v>
      </c>
      <c r="AW12" s="305">
        <f t="shared" si="2"/>
        <v>0</v>
      </c>
      <c r="AX12" s="305">
        <f t="shared" si="2"/>
        <v>0</v>
      </c>
      <c r="AY12" s="305">
        <f t="shared" si="2"/>
        <v>0</v>
      </c>
      <c r="AZ12" s="305">
        <f t="shared" si="2"/>
        <v>0</v>
      </c>
      <c r="BA12" s="305">
        <f t="shared" si="2"/>
        <v>0</v>
      </c>
      <c r="BB12" s="305">
        <f t="shared" si="2"/>
        <v>0</v>
      </c>
      <c r="BD12" s="304">
        <f t="shared" si="3"/>
        <v>0</v>
      </c>
    </row>
    <row r="13" spans="1:56" ht="15">
      <c r="A13" s="300" t="s">
        <v>159</v>
      </c>
      <c r="B13" s="312" t="str">
        <f>VLOOKUP(A13,'DFP-Com'!$A$16:$B$50,2,1)</f>
        <v xml:space="preserve">     2.1.a  Tax and Customs</v>
      </c>
      <c r="D13" s="236"/>
      <c r="G13" s="303"/>
      <c r="H13" s="320"/>
      <c r="I13" s="303"/>
      <c r="J13" s="303"/>
      <c r="K13" s="303"/>
      <c r="L13" s="303"/>
      <c r="M13" s="303"/>
      <c r="N13" s="303"/>
      <c r="O13" s="303"/>
      <c r="P13" s="303"/>
      <c r="Q13" s="303"/>
      <c r="U13" s="303">
        <f t="shared" si="0"/>
        <v>0</v>
      </c>
      <c r="X13" s="305">
        <f t="shared" si="1"/>
        <v>0</v>
      </c>
      <c r="Y13" s="305">
        <f t="shared" si="1"/>
        <v>0</v>
      </c>
      <c r="Z13" s="305">
        <f t="shared" si="1"/>
        <v>0</v>
      </c>
      <c r="AA13" s="305">
        <f t="shared" si="1"/>
        <v>0</v>
      </c>
      <c r="AB13" s="305">
        <f t="shared" si="1"/>
        <v>0</v>
      </c>
      <c r="AC13" s="305">
        <f t="shared" si="1"/>
        <v>0</v>
      </c>
      <c r="AD13" s="305">
        <f t="shared" si="1"/>
        <v>0</v>
      </c>
      <c r="AE13" s="305">
        <f t="shared" si="1"/>
        <v>0</v>
      </c>
      <c r="AF13" s="305">
        <f t="shared" si="1"/>
        <v>0</v>
      </c>
      <c r="AG13" s="305">
        <f t="shared" si="1"/>
        <v>0</v>
      </c>
      <c r="AH13" s="305">
        <f t="shared" si="1"/>
        <v>0</v>
      </c>
      <c r="AI13" s="305">
        <f t="shared" si="1"/>
        <v>0</v>
      </c>
      <c r="AJ13" s="305">
        <f t="shared" si="1"/>
        <v>0</v>
      </c>
      <c r="AK13" s="305">
        <f t="shared" si="1"/>
        <v>0</v>
      </c>
      <c r="AL13" s="305">
        <f t="shared" si="1"/>
        <v>0</v>
      </c>
      <c r="AM13" s="242"/>
      <c r="AN13" s="305">
        <f t="shared" si="2"/>
        <v>0</v>
      </c>
      <c r="AO13" s="305">
        <f t="shared" si="2"/>
        <v>0</v>
      </c>
      <c r="AP13" s="305">
        <f t="shared" si="2"/>
        <v>0</v>
      </c>
      <c r="AQ13" s="305">
        <f t="shared" si="2"/>
        <v>0</v>
      </c>
      <c r="AR13" s="305">
        <f t="shared" si="2"/>
        <v>0</v>
      </c>
      <c r="AS13" s="305">
        <f t="shared" si="2"/>
        <v>0</v>
      </c>
      <c r="AT13" s="305">
        <f t="shared" si="2"/>
        <v>0</v>
      </c>
      <c r="AU13" s="305">
        <f t="shared" si="2"/>
        <v>0</v>
      </c>
      <c r="AV13" s="305">
        <f t="shared" si="2"/>
        <v>0</v>
      </c>
      <c r="AW13" s="305">
        <f t="shared" si="2"/>
        <v>0</v>
      </c>
      <c r="AX13" s="305">
        <f t="shared" si="2"/>
        <v>0</v>
      </c>
      <c r="AY13" s="305">
        <f t="shared" si="2"/>
        <v>0</v>
      </c>
      <c r="AZ13" s="305">
        <f t="shared" si="2"/>
        <v>0</v>
      </c>
      <c r="BA13" s="305">
        <f t="shared" si="2"/>
        <v>0</v>
      </c>
      <c r="BB13" s="305">
        <f t="shared" si="2"/>
        <v>0</v>
      </c>
      <c r="BD13" s="304">
        <f t="shared" si="3"/>
        <v>0</v>
      </c>
    </row>
    <row r="14" spans="1:56" ht="15">
      <c r="A14" s="300" t="s">
        <v>160</v>
      </c>
      <c r="B14" s="313" t="str">
        <f>VLOOKUP(A14,'DFP-Com'!$A$16:$B$50,2,1)</f>
        <v xml:space="preserve">     2.2.a  Advisors</v>
      </c>
      <c r="C14" s="300" t="s">
        <v>204</v>
      </c>
      <c r="D14" s="236">
        <v>150000</v>
      </c>
      <c r="E14" s="300" t="s">
        <v>191</v>
      </c>
      <c r="G14" s="303"/>
      <c r="H14" s="320">
        <v>0.25</v>
      </c>
      <c r="I14" s="303">
        <v>0.25</v>
      </c>
      <c r="J14" s="303">
        <v>0.25</v>
      </c>
      <c r="K14" s="303">
        <v>0.25</v>
      </c>
      <c r="U14" s="303">
        <f t="shared" si="0"/>
        <v>1</v>
      </c>
      <c r="X14" s="305">
        <f t="shared" si="1"/>
        <v>0</v>
      </c>
      <c r="Y14" s="305">
        <f t="shared" si="1"/>
        <v>0</v>
      </c>
      <c r="Z14" s="305">
        <f t="shared" si="1"/>
        <v>37500</v>
      </c>
      <c r="AA14" s="305">
        <f t="shared" si="1"/>
        <v>37500</v>
      </c>
      <c r="AB14" s="305">
        <f t="shared" si="1"/>
        <v>37500</v>
      </c>
      <c r="AC14" s="305">
        <f t="shared" si="1"/>
        <v>37500</v>
      </c>
      <c r="AD14" s="305">
        <f t="shared" si="1"/>
        <v>0</v>
      </c>
      <c r="AE14" s="305">
        <f t="shared" si="1"/>
        <v>0</v>
      </c>
      <c r="AF14" s="305">
        <f t="shared" si="1"/>
        <v>0</v>
      </c>
      <c r="AG14" s="305">
        <f t="shared" si="1"/>
        <v>0</v>
      </c>
      <c r="AH14" s="305">
        <f t="shared" si="1"/>
        <v>0</v>
      </c>
      <c r="AI14" s="305">
        <f t="shared" si="1"/>
        <v>0</v>
      </c>
      <c r="AJ14" s="305">
        <f t="shared" si="1"/>
        <v>0</v>
      </c>
      <c r="AK14" s="305">
        <f t="shared" si="1"/>
        <v>0</v>
      </c>
      <c r="AL14" s="305">
        <f t="shared" si="1"/>
        <v>0</v>
      </c>
      <c r="AM14" s="242"/>
      <c r="AN14" s="305">
        <f t="shared" si="2"/>
        <v>0</v>
      </c>
      <c r="AO14" s="305">
        <f t="shared" si="2"/>
        <v>0</v>
      </c>
      <c r="AP14" s="305">
        <f t="shared" si="2"/>
        <v>150000</v>
      </c>
      <c r="AQ14" s="305">
        <f t="shared" si="2"/>
        <v>0</v>
      </c>
      <c r="AR14" s="305">
        <f t="shared" si="2"/>
        <v>0</v>
      </c>
      <c r="AS14" s="305">
        <f t="shared" si="2"/>
        <v>0</v>
      </c>
      <c r="AT14" s="305">
        <f t="shared" si="2"/>
        <v>0</v>
      </c>
      <c r="AU14" s="305">
        <f t="shared" si="2"/>
        <v>0</v>
      </c>
      <c r="AV14" s="305">
        <f t="shared" si="2"/>
        <v>0</v>
      </c>
      <c r="AW14" s="305">
        <f t="shared" si="2"/>
        <v>0</v>
      </c>
      <c r="AX14" s="305">
        <f t="shared" si="2"/>
        <v>0</v>
      </c>
      <c r="AY14" s="305">
        <f t="shared" si="2"/>
        <v>0</v>
      </c>
      <c r="AZ14" s="305">
        <f t="shared" si="2"/>
        <v>0</v>
      </c>
      <c r="BA14" s="305">
        <f t="shared" si="2"/>
        <v>0</v>
      </c>
      <c r="BB14" s="305">
        <f t="shared" si="2"/>
        <v>0</v>
      </c>
      <c r="BD14" s="304">
        <f t="shared" si="3"/>
        <v>0</v>
      </c>
    </row>
    <row r="15" spans="1:56" ht="15">
      <c r="A15" s="300" t="s">
        <v>160</v>
      </c>
      <c r="B15" s="313" t="str">
        <f>VLOOKUP(A15,'DFP-Com'!$A$16:$B$50,2,1)</f>
        <v xml:space="preserve">     2.2.a  Advisors</v>
      </c>
      <c r="C15" s="300" t="s">
        <v>222</v>
      </c>
      <c r="D15" s="236">
        <v>150000</v>
      </c>
      <c r="E15" s="300" t="s">
        <v>193</v>
      </c>
      <c r="K15" s="303">
        <v>0.25</v>
      </c>
      <c r="L15" s="303">
        <v>0.25</v>
      </c>
      <c r="M15" s="303">
        <v>0.25</v>
      </c>
      <c r="N15" s="303">
        <v>0.25</v>
      </c>
      <c r="U15" s="303">
        <f t="shared" si="0"/>
        <v>1</v>
      </c>
      <c r="X15" s="305">
        <f t="shared" si="1"/>
        <v>0</v>
      </c>
      <c r="Y15" s="305">
        <f t="shared" si="1"/>
        <v>0</v>
      </c>
      <c r="Z15" s="305">
        <f t="shared" si="1"/>
        <v>0</v>
      </c>
      <c r="AA15" s="305">
        <f t="shared" si="1"/>
        <v>0</v>
      </c>
      <c r="AB15" s="305">
        <f t="shared" si="1"/>
        <v>0</v>
      </c>
      <c r="AC15" s="305">
        <f t="shared" si="1"/>
        <v>37500</v>
      </c>
      <c r="AD15" s="305">
        <f t="shared" si="1"/>
        <v>37500</v>
      </c>
      <c r="AE15" s="305">
        <f t="shared" si="1"/>
        <v>37500</v>
      </c>
      <c r="AF15" s="305">
        <f t="shared" si="1"/>
        <v>37500</v>
      </c>
      <c r="AG15" s="305">
        <f t="shared" si="1"/>
        <v>0</v>
      </c>
      <c r="AH15" s="305">
        <f t="shared" si="1"/>
        <v>0</v>
      </c>
      <c r="AI15" s="305">
        <f t="shared" si="1"/>
        <v>0</v>
      </c>
      <c r="AJ15" s="305">
        <f t="shared" si="1"/>
        <v>0</v>
      </c>
      <c r="AK15" s="305">
        <f t="shared" si="1"/>
        <v>0</v>
      </c>
      <c r="AL15" s="305">
        <f t="shared" si="1"/>
        <v>0</v>
      </c>
      <c r="AM15" s="242"/>
      <c r="AN15" s="305">
        <f t="shared" si="2"/>
        <v>0</v>
      </c>
      <c r="AO15" s="305">
        <f t="shared" si="2"/>
        <v>0</v>
      </c>
      <c r="AP15" s="305">
        <f t="shared" si="2"/>
        <v>0</v>
      </c>
      <c r="AQ15" s="305">
        <f t="shared" si="2"/>
        <v>0</v>
      </c>
      <c r="AR15" s="305">
        <f t="shared" si="2"/>
        <v>0</v>
      </c>
      <c r="AS15" s="305">
        <f t="shared" si="2"/>
        <v>150000</v>
      </c>
      <c r="AT15" s="305">
        <f t="shared" si="2"/>
        <v>0</v>
      </c>
      <c r="AU15" s="305">
        <f t="shared" si="2"/>
        <v>0</v>
      </c>
      <c r="AV15" s="305">
        <f t="shared" si="2"/>
        <v>0</v>
      </c>
      <c r="AW15" s="305">
        <f t="shared" si="2"/>
        <v>0</v>
      </c>
      <c r="AX15" s="305">
        <f t="shared" si="2"/>
        <v>0</v>
      </c>
      <c r="AY15" s="305">
        <f t="shared" si="2"/>
        <v>0</v>
      </c>
      <c r="AZ15" s="305">
        <f t="shared" si="2"/>
        <v>0</v>
      </c>
      <c r="BA15" s="305">
        <f t="shared" si="2"/>
        <v>0</v>
      </c>
      <c r="BB15" s="305">
        <f t="shared" si="2"/>
        <v>0</v>
      </c>
      <c r="BD15" s="304">
        <f t="shared" si="3"/>
        <v>0</v>
      </c>
    </row>
    <row r="16" spans="1:56" ht="15">
      <c r="A16" s="300" t="s">
        <v>160</v>
      </c>
      <c r="B16" s="313" t="str">
        <f>VLOOKUP(A16,'DFP-Com'!$A$16:$B$50,2,1)</f>
        <v xml:space="preserve">     2.2.a  Advisors</v>
      </c>
      <c r="C16" s="300" t="s">
        <v>196</v>
      </c>
      <c r="D16" s="236">
        <v>73500</v>
      </c>
      <c r="E16" s="300" t="s">
        <v>191</v>
      </c>
      <c r="F16" s="303"/>
      <c r="G16" s="303"/>
      <c r="H16" s="320">
        <v>0.166666666666667</v>
      </c>
      <c r="I16" s="303">
        <v>0.25</v>
      </c>
      <c r="J16" s="303">
        <v>0.25</v>
      </c>
      <c r="K16" s="303">
        <v>0.25</v>
      </c>
      <c r="L16" s="303">
        <v>0.08333333333333333</v>
      </c>
      <c r="M16" s="303"/>
      <c r="N16" s="303"/>
      <c r="O16" s="303"/>
      <c r="P16" s="303"/>
      <c r="Q16" s="303"/>
      <c r="U16" s="303">
        <f t="shared" si="0"/>
        <v>1.0000000000000002</v>
      </c>
      <c r="X16" s="254">
        <f t="shared" si="1"/>
        <v>0</v>
      </c>
      <c r="Y16" s="305">
        <f t="shared" si="1"/>
        <v>0</v>
      </c>
      <c r="Z16" s="305">
        <f t="shared" si="1"/>
        <v>12250.000000000024</v>
      </c>
      <c r="AA16" s="305">
        <f t="shared" si="1"/>
        <v>18375</v>
      </c>
      <c r="AB16" s="305">
        <f t="shared" si="1"/>
        <v>18375</v>
      </c>
      <c r="AC16" s="305">
        <f t="shared" si="1"/>
        <v>18375</v>
      </c>
      <c r="AD16" s="305">
        <f t="shared" si="1"/>
        <v>6125</v>
      </c>
      <c r="AE16" s="305">
        <f t="shared" si="1"/>
        <v>0</v>
      </c>
      <c r="AF16" s="305">
        <f t="shared" si="1"/>
        <v>0</v>
      </c>
      <c r="AG16" s="305">
        <f t="shared" si="1"/>
        <v>0</v>
      </c>
      <c r="AH16" s="305">
        <f t="shared" si="1"/>
        <v>0</v>
      </c>
      <c r="AI16" s="305">
        <f t="shared" si="1"/>
        <v>0</v>
      </c>
      <c r="AJ16" s="305">
        <f t="shared" si="1"/>
        <v>0</v>
      </c>
      <c r="AK16" s="305">
        <f t="shared" si="1"/>
        <v>0</v>
      </c>
      <c r="AL16" s="305">
        <f t="shared" si="1"/>
        <v>0</v>
      </c>
      <c r="AM16" s="242"/>
      <c r="AN16" s="305">
        <f t="shared" si="2"/>
        <v>0</v>
      </c>
      <c r="AO16" s="305">
        <f t="shared" si="2"/>
        <v>0</v>
      </c>
      <c r="AP16" s="305">
        <f t="shared" si="2"/>
        <v>73500</v>
      </c>
      <c r="AQ16" s="305">
        <f t="shared" si="2"/>
        <v>0</v>
      </c>
      <c r="AR16" s="305">
        <f t="shared" si="2"/>
        <v>0</v>
      </c>
      <c r="AS16" s="305">
        <f t="shared" si="2"/>
        <v>0</v>
      </c>
      <c r="AT16" s="305">
        <f t="shared" si="2"/>
        <v>0</v>
      </c>
      <c r="AU16" s="305">
        <f t="shared" si="2"/>
        <v>0</v>
      </c>
      <c r="AV16" s="305">
        <f t="shared" si="2"/>
        <v>0</v>
      </c>
      <c r="AW16" s="305">
        <f t="shared" si="2"/>
        <v>0</v>
      </c>
      <c r="AX16" s="305">
        <f t="shared" si="2"/>
        <v>0</v>
      </c>
      <c r="AY16" s="305">
        <f t="shared" si="2"/>
        <v>0</v>
      </c>
      <c r="AZ16" s="305">
        <f t="shared" si="2"/>
        <v>0</v>
      </c>
      <c r="BA16" s="305">
        <f t="shared" si="2"/>
        <v>0</v>
      </c>
      <c r="BB16" s="305">
        <f t="shared" si="2"/>
        <v>0</v>
      </c>
      <c r="BD16" s="304">
        <f t="shared" si="3"/>
        <v>0</v>
      </c>
    </row>
    <row r="17" spans="1:56" ht="15">
      <c r="A17" s="300" t="s">
        <v>160</v>
      </c>
      <c r="B17" s="313" t="str">
        <f>VLOOKUP(A17,'DFP-Com'!$A$16:$B$50,2,1)</f>
        <v xml:space="preserve">     2.2.a  Advisors</v>
      </c>
      <c r="C17" s="300" t="s">
        <v>245</v>
      </c>
      <c r="D17" s="236">
        <f>12250*12</f>
        <v>147000</v>
      </c>
      <c r="E17" s="300" t="s">
        <v>193</v>
      </c>
      <c r="F17" s="303"/>
      <c r="G17" s="303"/>
      <c r="H17" s="320"/>
      <c r="I17" s="303"/>
      <c r="J17" s="303"/>
      <c r="K17" s="303">
        <v>0.166666666666667</v>
      </c>
      <c r="L17" s="303">
        <v>0.25</v>
      </c>
      <c r="M17" s="303">
        <v>0.25</v>
      </c>
      <c r="N17" s="303">
        <v>0.25</v>
      </c>
      <c r="O17" s="303">
        <v>0.08333333333333333</v>
      </c>
      <c r="P17" s="303"/>
      <c r="Q17" s="303"/>
      <c r="U17" s="303">
        <f t="shared" si="0"/>
        <v>1.0000000000000002</v>
      </c>
      <c r="X17" s="254">
        <f t="shared" si="1"/>
        <v>0</v>
      </c>
      <c r="Y17" s="305">
        <f t="shared" si="1"/>
        <v>0</v>
      </c>
      <c r="Z17" s="305">
        <f t="shared" si="1"/>
        <v>0</v>
      </c>
      <c r="AA17" s="305">
        <f t="shared" si="1"/>
        <v>0</v>
      </c>
      <c r="AB17" s="305">
        <f t="shared" si="1"/>
        <v>0</v>
      </c>
      <c r="AC17" s="305">
        <f t="shared" si="1"/>
        <v>24500.000000000047</v>
      </c>
      <c r="AD17" s="305">
        <f t="shared" si="1"/>
        <v>36750</v>
      </c>
      <c r="AE17" s="305">
        <f t="shared" si="1"/>
        <v>36750</v>
      </c>
      <c r="AF17" s="305">
        <f t="shared" si="1"/>
        <v>36750</v>
      </c>
      <c r="AG17" s="305">
        <f t="shared" si="1"/>
        <v>12250</v>
      </c>
      <c r="AH17" s="305">
        <f t="shared" si="1"/>
        <v>0</v>
      </c>
      <c r="AI17" s="305">
        <f t="shared" si="1"/>
        <v>0</v>
      </c>
      <c r="AJ17" s="305">
        <f t="shared" si="1"/>
        <v>0</v>
      </c>
      <c r="AK17" s="305">
        <f t="shared" si="1"/>
        <v>0</v>
      </c>
      <c r="AL17" s="305">
        <f t="shared" si="1"/>
        <v>0</v>
      </c>
      <c r="AM17" s="242"/>
      <c r="AN17" s="305">
        <f t="shared" si="2"/>
        <v>0</v>
      </c>
      <c r="AO17" s="305">
        <f t="shared" si="2"/>
        <v>0</v>
      </c>
      <c r="AP17" s="305">
        <f t="shared" si="2"/>
        <v>0</v>
      </c>
      <c r="AQ17" s="305">
        <f t="shared" si="2"/>
        <v>0</v>
      </c>
      <c r="AR17" s="305">
        <f t="shared" si="2"/>
        <v>0</v>
      </c>
      <c r="AS17" s="305">
        <f t="shared" si="2"/>
        <v>147000</v>
      </c>
      <c r="AT17" s="305">
        <f t="shared" si="2"/>
        <v>0</v>
      </c>
      <c r="AU17" s="305">
        <f t="shared" si="2"/>
        <v>0</v>
      </c>
      <c r="AV17" s="305">
        <f t="shared" si="2"/>
        <v>0</v>
      </c>
      <c r="AW17" s="305">
        <f t="shared" si="2"/>
        <v>0</v>
      </c>
      <c r="AX17" s="305">
        <f t="shared" si="2"/>
        <v>0</v>
      </c>
      <c r="AY17" s="305">
        <f t="shared" si="2"/>
        <v>0</v>
      </c>
      <c r="AZ17" s="305">
        <f t="shared" si="2"/>
        <v>0</v>
      </c>
      <c r="BA17" s="305">
        <f t="shared" si="2"/>
        <v>0</v>
      </c>
      <c r="BB17" s="305">
        <f t="shared" si="2"/>
        <v>0</v>
      </c>
      <c r="BD17" s="304">
        <f t="shared" si="3"/>
        <v>0</v>
      </c>
    </row>
    <row r="18" spans="1:56" ht="15">
      <c r="A18" s="300" t="s">
        <v>160</v>
      </c>
      <c r="B18" s="313" t="str">
        <f>VLOOKUP(A18,'DFP-Com'!$A$16:$B$50,2,1)</f>
        <v xml:space="preserve">     2.2.a  Advisors</v>
      </c>
      <c r="C18" s="300" t="s">
        <v>246</v>
      </c>
      <c r="D18" s="236">
        <f>12250*12</f>
        <v>147000</v>
      </c>
      <c r="E18" s="300" t="s">
        <v>247</v>
      </c>
      <c r="F18" s="303"/>
      <c r="G18" s="303"/>
      <c r="H18" s="320"/>
      <c r="I18" s="303"/>
      <c r="J18" s="303"/>
      <c r="K18" s="303"/>
      <c r="L18" s="303"/>
      <c r="M18" s="303"/>
      <c r="N18" s="303"/>
      <c r="O18" s="303">
        <v>0.166666666666667</v>
      </c>
      <c r="P18" s="303">
        <v>0.25</v>
      </c>
      <c r="Q18" s="303">
        <v>0.25</v>
      </c>
      <c r="R18" s="303">
        <v>0.25</v>
      </c>
      <c r="S18" s="303">
        <v>0.08333333333333333</v>
      </c>
      <c r="U18" s="303">
        <f t="shared" si="0"/>
        <v>1.0000000000000002</v>
      </c>
      <c r="X18" s="254">
        <f t="shared" si="1"/>
        <v>0</v>
      </c>
      <c r="Y18" s="305">
        <f t="shared" si="1"/>
        <v>0</v>
      </c>
      <c r="Z18" s="305">
        <f t="shared" si="1"/>
        <v>0</v>
      </c>
      <c r="AA18" s="305">
        <f t="shared" si="1"/>
        <v>0</v>
      </c>
      <c r="AB18" s="305">
        <f t="shared" si="1"/>
        <v>0</v>
      </c>
      <c r="AC18" s="305">
        <f t="shared" si="1"/>
        <v>0</v>
      </c>
      <c r="AD18" s="305">
        <f t="shared" si="1"/>
        <v>0</v>
      </c>
      <c r="AE18" s="305">
        <f t="shared" si="1"/>
        <v>0</v>
      </c>
      <c r="AF18" s="305">
        <f t="shared" si="1"/>
        <v>0</v>
      </c>
      <c r="AG18" s="305">
        <f t="shared" si="1"/>
        <v>24500.000000000047</v>
      </c>
      <c r="AH18" s="305">
        <f t="shared" si="1"/>
        <v>36750</v>
      </c>
      <c r="AI18" s="305">
        <f t="shared" si="1"/>
        <v>36750</v>
      </c>
      <c r="AJ18" s="305">
        <f t="shared" si="1"/>
        <v>36750</v>
      </c>
      <c r="AK18" s="305">
        <f t="shared" si="1"/>
        <v>12250</v>
      </c>
      <c r="AL18" s="305">
        <f t="shared" si="1"/>
        <v>0</v>
      </c>
      <c r="AM18" s="242"/>
      <c r="AN18" s="305">
        <f t="shared" si="2"/>
        <v>0</v>
      </c>
      <c r="AO18" s="305">
        <f t="shared" si="2"/>
        <v>0</v>
      </c>
      <c r="AP18" s="305">
        <f t="shared" si="2"/>
        <v>0</v>
      </c>
      <c r="AQ18" s="305">
        <f t="shared" si="2"/>
        <v>0</v>
      </c>
      <c r="AR18" s="305">
        <f t="shared" si="2"/>
        <v>0</v>
      </c>
      <c r="AS18" s="305">
        <f t="shared" si="2"/>
        <v>0</v>
      </c>
      <c r="AT18" s="305">
        <f t="shared" si="2"/>
        <v>0</v>
      </c>
      <c r="AU18" s="305">
        <f t="shared" si="2"/>
        <v>147000</v>
      </c>
      <c r="AV18" s="305">
        <f t="shared" si="2"/>
        <v>0</v>
      </c>
      <c r="AW18" s="305">
        <f t="shared" si="2"/>
        <v>0</v>
      </c>
      <c r="AX18" s="305">
        <f t="shared" si="2"/>
        <v>0</v>
      </c>
      <c r="AY18" s="305">
        <f t="shared" si="2"/>
        <v>0</v>
      </c>
      <c r="AZ18" s="305">
        <f t="shared" si="2"/>
        <v>0</v>
      </c>
      <c r="BA18" s="305">
        <f t="shared" si="2"/>
        <v>0</v>
      </c>
      <c r="BB18" s="305">
        <f t="shared" si="2"/>
        <v>0</v>
      </c>
      <c r="BD18" s="304">
        <f t="shared" si="3"/>
        <v>0</v>
      </c>
    </row>
    <row r="19" spans="1:56" ht="15">
      <c r="A19" s="300" t="s">
        <v>160</v>
      </c>
      <c r="B19" s="313" t="str">
        <f>VLOOKUP(A19,'DFP-Com'!$A$16:$B$50,2,1)</f>
        <v xml:space="preserve">     2.2.a  Advisors</v>
      </c>
      <c r="C19" s="300" t="s">
        <v>197</v>
      </c>
      <c r="D19" s="236">
        <v>61250</v>
      </c>
      <c r="E19" s="300" t="s">
        <v>219</v>
      </c>
      <c r="F19" s="303"/>
      <c r="G19" s="303">
        <v>0.2</v>
      </c>
      <c r="H19" s="320">
        <v>0.6</v>
      </c>
      <c r="I19" s="303">
        <v>0.2</v>
      </c>
      <c r="J19" s="303"/>
      <c r="K19" s="303"/>
      <c r="L19" s="303"/>
      <c r="M19" s="303"/>
      <c r="N19" s="303"/>
      <c r="O19" s="303"/>
      <c r="P19" s="303"/>
      <c r="Q19" s="303"/>
      <c r="U19" s="303">
        <f t="shared" si="0"/>
        <v>1</v>
      </c>
      <c r="X19" s="305">
        <f t="shared" si="1"/>
        <v>0</v>
      </c>
      <c r="Y19" s="305">
        <f t="shared" si="1"/>
        <v>12250</v>
      </c>
      <c r="Z19" s="305">
        <f t="shared" si="1"/>
        <v>36750</v>
      </c>
      <c r="AA19" s="305">
        <f t="shared" si="1"/>
        <v>12250</v>
      </c>
      <c r="AB19" s="305">
        <f t="shared" si="1"/>
        <v>0</v>
      </c>
      <c r="AC19" s="305">
        <f t="shared" si="1"/>
        <v>0</v>
      </c>
      <c r="AD19" s="305">
        <f t="shared" si="1"/>
        <v>0</v>
      </c>
      <c r="AE19" s="305">
        <f t="shared" si="1"/>
        <v>0</v>
      </c>
      <c r="AF19" s="305">
        <f t="shared" si="1"/>
        <v>0</v>
      </c>
      <c r="AG19" s="305">
        <f t="shared" si="1"/>
        <v>0</v>
      </c>
      <c r="AH19" s="305">
        <f t="shared" si="1"/>
        <v>0</v>
      </c>
      <c r="AI19" s="305">
        <f t="shared" si="1"/>
        <v>0</v>
      </c>
      <c r="AJ19" s="305">
        <f t="shared" si="1"/>
        <v>0</v>
      </c>
      <c r="AK19" s="305">
        <f t="shared" si="1"/>
        <v>0</v>
      </c>
      <c r="AL19" s="305">
        <f t="shared" si="1"/>
        <v>0</v>
      </c>
      <c r="AM19" s="242"/>
      <c r="AN19" s="305">
        <f t="shared" si="2"/>
        <v>0</v>
      </c>
      <c r="AO19" s="305">
        <f t="shared" si="2"/>
        <v>61250</v>
      </c>
      <c r="AP19" s="305">
        <f t="shared" si="2"/>
        <v>0</v>
      </c>
      <c r="AQ19" s="305">
        <f t="shared" si="2"/>
        <v>0</v>
      </c>
      <c r="AR19" s="305">
        <f t="shared" si="2"/>
        <v>0</v>
      </c>
      <c r="AS19" s="305">
        <f t="shared" si="2"/>
        <v>0</v>
      </c>
      <c r="AT19" s="305">
        <f t="shared" si="2"/>
        <v>0</v>
      </c>
      <c r="AU19" s="305">
        <f t="shared" si="2"/>
        <v>0</v>
      </c>
      <c r="AV19" s="305">
        <f t="shared" si="2"/>
        <v>0</v>
      </c>
      <c r="AW19" s="305">
        <f t="shared" si="2"/>
        <v>0</v>
      </c>
      <c r="AX19" s="305">
        <f t="shared" si="2"/>
        <v>0</v>
      </c>
      <c r="AY19" s="305">
        <f t="shared" si="2"/>
        <v>0</v>
      </c>
      <c r="AZ19" s="305">
        <f t="shared" si="2"/>
        <v>0</v>
      </c>
      <c r="BA19" s="305">
        <f t="shared" si="2"/>
        <v>0</v>
      </c>
      <c r="BB19" s="305">
        <f t="shared" si="2"/>
        <v>0</v>
      </c>
      <c r="BD19" s="304">
        <f t="shared" si="3"/>
        <v>0</v>
      </c>
    </row>
    <row r="20" spans="1:56" ht="15">
      <c r="A20" s="300" t="s">
        <v>161</v>
      </c>
      <c r="B20" s="313" t="str">
        <f>VLOOKUP(A20,'DFP-Com'!$A$16:$B$50,2,1)</f>
        <v xml:space="preserve">     2.2.b  Feasiblity Studies/  Transaction Advisory Services</v>
      </c>
      <c r="C20" s="300" t="s">
        <v>198</v>
      </c>
      <c r="D20" s="236">
        <v>500000</v>
      </c>
      <c r="E20" s="300" t="s">
        <v>191</v>
      </c>
      <c r="F20" s="303"/>
      <c r="G20" s="303"/>
      <c r="H20" s="320">
        <v>0.25</v>
      </c>
      <c r="I20" s="303">
        <v>0.25</v>
      </c>
      <c r="J20" s="303">
        <v>0.25</v>
      </c>
      <c r="K20" s="303">
        <v>0.25</v>
      </c>
      <c r="L20" s="303"/>
      <c r="M20" s="303"/>
      <c r="N20" s="303"/>
      <c r="U20" s="303">
        <f t="shared" si="0"/>
        <v>1</v>
      </c>
      <c r="X20" s="305">
        <f t="shared" si="1"/>
        <v>0</v>
      </c>
      <c r="Y20" s="305">
        <f t="shared" si="1"/>
        <v>0</v>
      </c>
      <c r="Z20" s="305">
        <f t="shared" si="1"/>
        <v>125000</v>
      </c>
      <c r="AA20" s="305">
        <f t="shared" si="1"/>
        <v>125000</v>
      </c>
      <c r="AB20" s="305">
        <f t="shared" si="1"/>
        <v>125000</v>
      </c>
      <c r="AC20" s="305">
        <f t="shared" si="1"/>
        <v>125000</v>
      </c>
      <c r="AD20" s="305">
        <f t="shared" si="1"/>
        <v>0</v>
      </c>
      <c r="AE20" s="305">
        <f t="shared" si="1"/>
        <v>0</v>
      </c>
      <c r="AF20" s="305">
        <f t="shared" si="1"/>
        <v>0</v>
      </c>
      <c r="AG20" s="305">
        <f t="shared" si="1"/>
        <v>0</v>
      </c>
      <c r="AH20" s="305">
        <f t="shared" si="1"/>
        <v>0</v>
      </c>
      <c r="AI20" s="305">
        <f t="shared" si="1"/>
        <v>0</v>
      </c>
      <c r="AJ20" s="305">
        <f t="shared" si="1"/>
        <v>0</v>
      </c>
      <c r="AK20" s="305">
        <f t="shared" si="1"/>
        <v>0</v>
      </c>
      <c r="AL20" s="305">
        <f t="shared" si="1"/>
        <v>0</v>
      </c>
      <c r="AM20" s="242"/>
      <c r="AN20" s="305">
        <f aca="true" t="shared" si="4" ref="AN20:BB35">IF(AN$3=$E20,$D20,0)</f>
        <v>0</v>
      </c>
      <c r="AO20" s="305">
        <f t="shared" si="4"/>
        <v>0</v>
      </c>
      <c r="AP20" s="305">
        <f t="shared" si="4"/>
        <v>500000</v>
      </c>
      <c r="AQ20" s="305">
        <f t="shared" si="4"/>
        <v>0</v>
      </c>
      <c r="AR20" s="305">
        <f t="shared" si="4"/>
        <v>0</v>
      </c>
      <c r="AS20" s="305">
        <f t="shared" si="4"/>
        <v>0</v>
      </c>
      <c r="AT20" s="305">
        <f t="shared" si="4"/>
        <v>0</v>
      </c>
      <c r="AU20" s="305">
        <f t="shared" si="4"/>
        <v>0</v>
      </c>
      <c r="AV20" s="305">
        <f t="shared" si="4"/>
        <v>0</v>
      </c>
      <c r="AW20" s="305">
        <f t="shared" si="4"/>
        <v>0</v>
      </c>
      <c r="AX20" s="305">
        <f t="shared" si="4"/>
        <v>0</v>
      </c>
      <c r="AY20" s="305">
        <f t="shared" si="4"/>
        <v>0</v>
      </c>
      <c r="AZ20" s="305">
        <f t="shared" si="4"/>
        <v>0</v>
      </c>
      <c r="BA20" s="305">
        <f t="shared" si="4"/>
        <v>0</v>
      </c>
      <c r="BB20" s="305">
        <f t="shared" si="4"/>
        <v>0</v>
      </c>
      <c r="BD20" s="304">
        <f t="shared" si="3"/>
        <v>0</v>
      </c>
    </row>
    <row r="21" spans="1:56" ht="15">
      <c r="A21" s="300" t="s">
        <v>161</v>
      </c>
      <c r="B21" s="313" t="str">
        <f>VLOOKUP(A21,'DFP-Com'!$A$16:$B$50,2,1)</f>
        <v xml:space="preserve">     2.2.b  Feasiblity Studies/  Transaction Advisory Services</v>
      </c>
      <c r="C21" s="300" t="s">
        <v>199</v>
      </c>
      <c r="D21" s="236">
        <v>200000</v>
      </c>
      <c r="E21" s="300" t="s">
        <v>191</v>
      </c>
      <c r="F21" s="303"/>
      <c r="G21" s="303"/>
      <c r="H21" s="320"/>
      <c r="I21" s="303"/>
      <c r="J21" s="303">
        <v>0.25</v>
      </c>
      <c r="K21" s="303">
        <v>0.25</v>
      </c>
      <c r="L21" s="303">
        <v>0.25</v>
      </c>
      <c r="M21" s="303">
        <v>0.25</v>
      </c>
      <c r="U21" s="303">
        <f t="shared" si="0"/>
        <v>1</v>
      </c>
      <c r="X21" s="305">
        <f aca="true" t="shared" si="5" ref="X21:AL37">F21*$D21</f>
        <v>0</v>
      </c>
      <c r="Y21" s="305">
        <f t="shared" si="5"/>
        <v>0</v>
      </c>
      <c r="Z21" s="305">
        <f t="shared" si="5"/>
        <v>0</v>
      </c>
      <c r="AA21" s="305">
        <f t="shared" si="5"/>
        <v>0</v>
      </c>
      <c r="AB21" s="305">
        <f t="shared" si="5"/>
        <v>50000</v>
      </c>
      <c r="AC21" s="305">
        <f t="shared" si="5"/>
        <v>50000</v>
      </c>
      <c r="AD21" s="305">
        <f t="shared" si="5"/>
        <v>50000</v>
      </c>
      <c r="AE21" s="305">
        <f t="shared" si="5"/>
        <v>50000</v>
      </c>
      <c r="AF21" s="305">
        <f t="shared" si="5"/>
        <v>0</v>
      </c>
      <c r="AG21" s="305">
        <f t="shared" si="5"/>
        <v>0</v>
      </c>
      <c r="AH21" s="305">
        <f t="shared" si="5"/>
        <v>0</v>
      </c>
      <c r="AI21" s="305">
        <f t="shared" si="5"/>
        <v>0</v>
      </c>
      <c r="AJ21" s="305">
        <f t="shared" si="5"/>
        <v>0</v>
      </c>
      <c r="AK21" s="305">
        <f t="shared" si="5"/>
        <v>0</v>
      </c>
      <c r="AL21" s="305">
        <f t="shared" si="5"/>
        <v>0</v>
      </c>
      <c r="AM21" s="242"/>
      <c r="AN21" s="305">
        <f t="shared" si="4"/>
        <v>0</v>
      </c>
      <c r="AO21" s="305">
        <f t="shared" si="4"/>
        <v>0</v>
      </c>
      <c r="AP21" s="305">
        <f t="shared" si="4"/>
        <v>200000</v>
      </c>
      <c r="AQ21" s="305">
        <f t="shared" si="4"/>
        <v>0</v>
      </c>
      <c r="AR21" s="305">
        <f t="shared" si="4"/>
        <v>0</v>
      </c>
      <c r="AS21" s="305">
        <f t="shared" si="4"/>
        <v>0</v>
      </c>
      <c r="AT21" s="305">
        <f t="shared" si="4"/>
        <v>0</v>
      </c>
      <c r="AU21" s="305">
        <f t="shared" si="4"/>
        <v>0</v>
      </c>
      <c r="AV21" s="305">
        <f t="shared" si="4"/>
        <v>0</v>
      </c>
      <c r="AW21" s="305">
        <f t="shared" si="4"/>
        <v>0</v>
      </c>
      <c r="AX21" s="305">
        <f t="shared" si="4"/>
        <v>0</v>
      </c>
      <c r="AY21" s="305">
        <f t="shared" si="4"/>
        <v>0</v>
      </c>
      <c r="AZ21" s="305">
        <f t="shared" si="4"/>
        <v>0</v>
      </c>
      <c r="BA21" s="305">
        <f t="shared" si="4"/>
        <v>0</v>
      </c>
      <c r="BB21" s="305">
        <f t="shared" si="4"/>
        <v>0</v>
      </c>
      <c r="BD21" s="304">
        <f t="shared" si="3"/>
        <v>0</v>
      </c>
    </row>
    <row r="22" spans="1:56" ht="15">
      <c r="A22" s="300" t="s">
        <v>161</v>
      </c>
      <c r="B22" s="313" t="str">
        <f>VLOOKUP(A22,'DFP-Com'!$A$16:$B$50,2,1)</f>
        <v xml:space="preserve">     2.2.b  Feasiblity Studies/  Transaction Advisory Services</v>
      </c>
      <c r="C22" s="300" t="s">
        <v>200</v>
      </c>
      <c r="D22" s="236">
        <v>350000</v>
      </c>
      <c r="U22" s="303">
        <f t="shared" si="0"/>
        <v>0</v>
      </c>
      <c r="X22" s="305">
        <f t="shared" si="5"/>
        <v>0</v>
      </c>
      <c r="Y22" s="305">
        <f t="shared" si="5"/>
        <v>0</v>
      </c>
      <c r="Z22" s="305">
        <f t="shared" si="5"/>
        <v>0</v>
      </c>
      <c r="AA22" s="305">
        <f t="shared" si="5"/>
        <v>0</v>
      </c>
      <c r="AB22" s="305">
        <f t="shared" si="5"/>
        <v>0</v>
      </c>
      <c r="AC22" s="305">
        <f t="shared" si="5"/>
        <v>0</v>
      </c>
      <c r="AD22" s="305">
        <f t="shared" si="5"/>
        <v>0</v>
      </c>
      <c r="AE22" s="305">
        <f t="shared" si="5"/>
        <v>0</v>
      </c>
      <c r="AF22" s="305">
        <f t="shared" si="5"/>
        <v>0</v>
      </c>
      <c r="AG22" s="305">
        <f t="shared" si="5"/>
        <v>0</v>
      </c>
      <c r="AH22" s="305">
        <f t="shared" si="5"/>
        <v>0</v>
      </c>
      <c r="AI22" s="305">
        <f t="shared" si="5"/>
        <v>0</v>
      </c>
      <c r="AJ22" s="305">
        <f t="shared" si="5"/>
        <v>0</v>
      </c>
      <c r="AK22" s="305">
        <f t="shared" si="5"/>
        <v>0</v>
      </c>
      <c r="AL22" s="305">
        <f t="shared" si="5"/>
        <v>0</v>
      </c>
      <c r="AM22" s="242"/>
      <c r="AN22" s="305">
        <f t="shared" si="4"/>
        <v>0</v>
      </c>
      <c r="AO22" s="305">
        <f t="shared" si="4"/>
        <v>0</v>
      </c>
      <c r="AP22" s="305">
        <f t="shared" si="4"/>
        <v>0</v>
      </c>
      <c r="AQ22" s="305">
        <f t="shared" si="4"/>
        <v>0</v>
      </c>
      <c r="AR22" s="305">
        <f t="shared" si="4"/>
        <v>0</v>
      </c>
      <c r="AS22" s="305">
        <f t="shared" si="4"/>
        <v>0</v>
      </c>
      <c r="AT22" s="305">
        <f t="shared" si="4"/>
        <v>0</v>
      </c>
      <c r="AU22" s="305">
        <f t="shared" si="4"/>
        <v>0</v>
      </c>
      <c r="AV22" s="305">
        <f t="shared" si="4"/>
        <v>0</v>
      </c>
      <c r="AW22" s="305">
        <f t="shared" si="4"/>
        <v>0</v>
      </c>
      <c r="AX22" s="305">
        <f t="shared" si="4"/>
        <v>0</v>
      </c>
      <c r="AY22" s="305">
        <f t="shared" si="4"/>
        <v>0</v>
      </c>
      <c r="AZ22" s="305">
        <f t="shared" si="4"/>
        <v>0</v>
      </c>
      <c r="BA22" s="305">
        <f t="shared" si="4"/>
        <v>0</v>
      </c>
      <c r="BB22" s="305">
        <f t="shared" si="4"/>
        <v>0</v>
      </c>
      <c r="BD22" s="304">
        <f t="shared" si="3"/>
        <v>0</v>
      </c>
    </row>
    <row r="23" spans="1:56" ht="15">
      <c r="A23" s="300" t="s">
        <v>161</v>
      </c>
      <c r="B23" s="313" t="str">
        <f>VLOOKUP(A23,'DFP-Com'!$A$16:$B$50,2,1)</f>
        <v xml:space="preserve">     2.2.b  Feasiblity Studies/  Transaction Advisory Services</v>
      </c>
      <c r="C23" s="300" t="s">
        <v>201</v>
      </c>
      <c r="D23" s="236">
        <v>200000</v>
      </c>
      <c r="E23" s="300" t="s">
        <v>223</v>
      </c>
      <c r="I23" s="303">
        <v>0.25</v>
      </c>
      <c r="J23" s="303">
        <v>0.25</v>
      </c>
      <c r="K23" s="303">
        <v>0.25</v>
      </c>
      <c r="L23" s="303">
        <v>0.25</v>
      </c>
      <c r="U23" s="303">
        <f t="shared" si="0"/>
        <v>1</v>
      </c>
      <c r="X23" s="305">
        <f t="shared" si="5"/>
        <v>0</v>
      </c>
      <c r="Y23" s="305">
        <f t="shared" si="5"/>
        <v>0</v>
      </c>
      <c r="Z23" s="305">
        <f t="shared" si="5"/>
        <v>0</v>
      </c>
      <c r="AA23" s="305">
        <f t="shared" si="5"/>
        <v>50000</v>
      </c>
      <c r="AB23" s="305">
        <f t="shared" si="5"/>
        <v>50000</v>
      </c>
      <c r="AC23" s="305">
        <f t="shared" si="5"/>
        <v>50000</v>
      </c>
      <c r="AD23" s="305">
        <f t="shared" si="5"/>
        <v>50000</v>
      </c>
      <c r="AE23" s="305">
        <f t="shared" si="5"/>
        <v>0</v>
      </c>
      <c r="AF23" s="305">
        <f t="shared" si="5"/>
        <v>0</v>
      </c>
      <c r="AG23" s="305">
        <f t="shared" si="5"/>
        <v>0</v>
      </c>
      <c r="AH23" s="305">
        <f t="shared" si="5"/>
        <v>0</v>
      </c>
      <c r="AI23" s="305">
        <f t="shared" si="5"/>
        <v>0</v>
      </c>
      <c r="AJ23" s="305">
        <f t="shared" si="5"/>
        <v>0</v>
      </c>
      <c r="AK23" s="305">
        <f t="shared" si="5"/>
        <v>0</v>
      </c>
      <c r="AL23" s="305">
        <f t="shared" si="5"/>
        <v>0</v>
      </c>
      <c r="AM23" s="242"/>
      <c r="AN23" s="305">
        <f t="shared" si="4"/>
        <v>0</v>
      </c>
      <c r="AO23" s="305">
        <f t="shared" si="4"/>
        <v>0</v>
      </c>
      <c r="AP23" s="305">
        <f t="shared" si="4"/>
        <v>0</v>
      </c>
      <c r="AQ23" s="305">
        <f t="shared" si="4"/>
        <v>200000</v>
      </c>
      <c r="AR23" s="305">
        <f t="shared" si="4"/>
        <v>0</v>
      </c>
      <c r="AS23" s="305">
        <f t="shared" si="4"/>
        <v>0</v>
      </c>
      <c r="AT23" s="305">
        <f t="shared" si="4"/>
        <v>0</v>
      </c>
      <c r="AU23" s="305">
        <f t="shared" si="4"/>
        <v>0</v>
      </c>
      <c r="AV23" s="305">
        <f t="shared" si="4"/>
        <v>0</v>
      </c>
      <c r="AW23" s="305">
        <f t="shared" si="4"/>
        <v>0</v>
      </c>
      <c r="AX23" s="305">
        <f t="shared" si="4"/>
        <v>0</v>
      </c>
      <c r="AY23" s="305">
        <f t="shared" si="4"/>
        <v>0</v>
      </c>
      <c r="AZ23" s="305">
        <f t="shared" si="4"/>
        <v>0</v>
      </c>
      <c r="BA23" s="305">
        <f t="shared" si="4"/>
        <v>0</v>
      </c>
      <c r="BB23" s="305">
        <f t="shared" si="4"/>
        <v>0</v>
      </c>
      <c r="BD23" s="304">
        <f t="shared" si="3"/>
        <v>0</v>
      </c>
    </row>
    <row r="24" spans="1:56" ht="15">
      <c r="A24" s="300" t="s">
        <v>161</v>
      </c>
      <c r="B24" s="313" t="str">
        <f>VLOOKUP(A24,'DFP-Com'!$A$16:$B$50,2,1)</f>
        <v xml:space="preserve">     2.2.b  Feasiblity Studies/  Transaction Advisory Services</v>
      </c>
      <c r="C24" s="300" t="s">
        <v>202</v>
      </c>
      <c r="D24" s="236">
        <v>350000</v>
      </c>
      <c r="E24" s="300" t="s">
        <v>223</v>
      </c>
      <c r="H24" s="320"/>
      <c r="I24" s="303">
        <v>0.25</v>
      </c>
      <c r="J24" s="303">
        <v>0.25</v>
      </c>
      <c r="K24" s="303">
        <v>0.25</v>
      </c>
      <c r="L24" s="303">
        <v>0.25</v>
      </c>
      <c r="U24" s="303">
        <f t="shared" si="0"/>
        <v>1</v>
      </c>
      <c r="X24" s="305">
        <f t="shared" si="5"/>
        <v>0</v>
      </c>
      <c r="Y24" s="305">
        <f t="shared" si="5"/>
        <v>0</v>
      </c>
      <c r="Z24" s="305">
        <f t="shared" si="5"/>
        <v>0</v>
      </c>
      <c r="AA24" s="305">
        <f t="shared" si="5"/>
        <v>87500</v>
      </c>
      <c r="AB24" s="305">
        <f t="shared" si="5"/>
        <v>87500</v>
      </c>
      <c r="AC24" s="305">
        <f t="shared" si="5"/>
        <v>87500</v>
      </c>
      <c r="AD24" s="305">
        <f t="shared" si="5"/>
        <v>87500</v>
      </c>
      <c r="AE24" s="305">
        <f t="shared" si="5"/>
        <v>0</v>
      </c>
      <c r="AF24" s="305">
        <f t="shared" si="5"/>
        <v>0</v>
      </c>
      <c r="AG24" s="305">
        <f t="shared" si="5"/>
        <v>0</v>
      </c>
      <c r="AH24" s="305">
        <f t="shared" si="5"/>
        <v>0</v>
      </c>
      <c r="AI24" s="305">
        <f t="shared" si="5"/>
        <v>0</v>
      </c>
      <c r="AJ24" s="305">
        <f t="shared" si="5"/>
        <v>0</v>
      </c>
      <c r="AK24" s="305">
        <f t="shared" si="5"/>
        <v>0</v>
      </c>
      <c r="AL24" s="305">
        <f t="shared" si="5"/>
        <v>0</v>
      </c>
      <c r="AM24" s="242"/>
      <c r="AN24" s="305">
        <f t="shared" si="4"/>
        <v>0</v>
      </c>
      <c r="AO24" s="305">
        <f t="shared" si="4"/>
        <v>0</v>
      </c>
      <c r="AP24" s="305">
        <f t="shared" si="4"/>
        <v>0</v>
      </c>
      <c r="AQ24" s="305">
        <f t="shared" si="4"/>
        <v>350000</v>
      </c>
      <c r="AR24" s="305">
        <f t="shared" si="4"/>
        <v>0</v>
      </c>
      <c r="AS24" s="305">
        <f t="shared" si="4"/>
        <v>0</v>
      </c>
      <c r="AT24" s="305">
        <f t="shared" si="4"/>
        <v>0</v>
      </c>
      <c r="AU24" s="305">
        <f t="shared" si="4"/>
        <v>0</v>
      </c>
      <c r="AV24" s="305">
        <f t="shared" si="4"/>
        <v>0</v>
      </c>
      <c r="AW24" s="305">
        <f t="shared" si="4"/>
        <v>0</v>
      </c>
      <c r="AX24" s="305">
        <f t="shared" si="4"/>
        <v>0</v>
      </c>
      <c r="AY24" s="305">
        <f t="shared" si="4"/>
        <v>0</v>
      </c>
      <c r="AZ24" s="305">
        <f t="shared" si="4"/>
        <v>0</v>
      </c>
      <c r="BA24" s="305">
        <f t="shared" si="4"/>
        <v>0</v>
      </c>
      <c r="BB24" s="305">
        <f t="shared" si="4"/>
        <v>0</v>
      </c>
      <c r="BD24" s="304">
        <f t="shared" si="3"/>
        <v>0</v>
      </c>
    </row>
    <row r="25" spans="1:56" ht="15">
      <c r="A25" s="300" t="s">
        <v>161</v>
      </c>
      <c r="B25" s="313" t="str">
        <f>VLOOKUP(A25,'DFP-Com'!$A$16:$B$50,2,1)</f>
        <v xml:space="preserve">     2.2.b  Feasiblity Studies/  Transaction Advisory Services</v>
      </c>
      <c r="C25" s="300" t="s">
        <v>203</v>
      </c>
      <c r="D25" s="236">
        <v>50000</v>
      </c>
      <c r="E25" s="300" t="s">
        <v>220</v>
      </c>
      <c r="J25" s="303">
        <v>0.25</v>
      </c>
      <c r="K25" s="303">
        <v>0.25</v>
      </c>
      <c r="L25" s="303">
        <v>0.25</v>
      </c>
      <c r="M25" s="303">
        <v>0.25</v>
      </c>
      <c r="U25" s="303">
        <f t="shared" si="0"/>
        <v>1</v>
      </c>
      <c r="X25" s="305">
        <f t="shared" si="5"/>
        <v>0</v>
      </c>
      <c r="Y25" s="305">
        <f t="shared" si="5"/>
        <v>0</v>
      </c>
      <c r="Z25" s="305">
        <f t="shared" si="5"/>
        <v>0</v>
      </c>
      <c r="AA25" s="305">
        <f t="shared" si="5"/>
        <v>0</v>
      </c>
      <c r="AB25" s="305">
        <f t="shared" si="5"/>
        <v>12500</v>
      </c>
      <c r="AC25" s="305">
        <f t="shared" si="5"/>
        <v>12500</v>
      </c>
      <c r="AD25" s="305">
        <f t="shared" si="5"/>
        <v>12500</v>
      </c>
      <c r="AE25" s="305">
        <f t="shared" si="5"/>
        <v>12500</v>
      </c>
      <c r="AF25" s="305">
        <f t="shared" si="5"/>
        <v>0</v>
      </c>
      <c r="AG25" s="305">
        <f t="shared" si="5"/>
        <v>0</v>
      </c>
      <c r="AH25" s="305">
        <f t="shared" si="5"/>
        <v>0</v>
      </c>
      <c r="AI25" s="305">
        <f t="shared" si="5"/>
        <v>0</v>
      </c>
      <c r="AJ25" s="305">
        <f t="shared" si="5"/>
        <v>0</v>
      </c>
      <c r="AK25" s="305">
        <f t="shared" si="5"/>
        <v>0</v>
      </c>
      <c r="AL25" s="305">
        <f t="shared" si="5"/>
        <v>0</v>
      </c>
      <c r="AM25" s="242"/>
      <c r="AN25" s="305">
        <f t="shared" si="4"/>
        <v>0</v>
      </c>
      <c r="AO25" s="305">
        <f t="shared" si="4"/>
        <v>0</v>
      </c>
      <c r="AP25" s="305">
        <f t="shared" si="4"/>
        <v>0</v>
      </c>
      <c r="AQ25" s="305">
        <f t="shared" si="4"/>
        <v>0</v>
      </c>
      <c r="AR25" s="305">
        <f t="shared" si="4"/>
        <v>50000</v>
      </c>
      <c r="AS25" s="305">
        <f t="shared" si="4"/>
        <v>0</v>
      </c>
      <c r="AT25" s="305">
        <f t="shared" si="4"/>
        <v>0</v>
      </c>
      <c r="AU25" s="305">
        <f t="shared" si="4"/>
        <v>0</v>
      </c>
      <c r="AV25" s="305">
        <f t="shared" si="4"/>
        <v>0</v>
      </c>
      <c r="AW25" s="305">
        <f t="shared" si="4"/>
        <v>0</v>
      </c>
      <c r="AX25" s="305">
        <f t="shared" si="4"/>
        <v>0</v>
      </c>
      <c r="AY25" s="305">
        <f t="shared" si="4"/>
        <v>0</v>
      </c>
      <c r="AZ25" s="305">
        <f t="shared" si="4"/>
        <v>0</v>
      </c>
      <c r="BA25" s="305">
        <f t="shared" si="4"/>
        <v>0</v>
      </c>
      <c r="BB25" s="305">
        <f t="shared" si="4"/>
        <v>0</v>
      </c>
      <c r="BD25" s="304">
        <f t="shared" si="3"/>
        <v>0</v>
      </c>
    </row>
    <row r="26" spans="1:56" ht="15">
      <c r="A26" s="300" t="s">
        <v>163</v>
      </c>
      <c r="B26" s="259" t="str">
        <f>VLOOKUP(A26,'DFP-Com'!$A$16:$B$50,2,1)</f>
        <v xml:space="preserve">     3.1.a  Student Assessment</v>
      </c>
      <c r="C26" s="250" t="s">
        <v>236</v>
      </c>
      <c r="D26" s="306">
        <v>100000</v>
      </c>
      <c r="E26" s="300" t="s">
        <v>223</v>
      </c>
      <c r="H26" s="320"/>
      <c r="I26" s="303">
        <v>0.25</v>
      </c>
      <c r="J26" s="303">
        <v>0.25</v>
      </c>
      <c r="K26" s="303">
        <v>0.25</v>
      </c>
      <c r="L26" s="303">
        <v>0.25</v>
      </c>
      <c r="U26" s="303">
        <f t="shared" si="0"/>
        <v>1</v>
      </c>
      <c r="X26" s="305">
        <f t="shared" si="5"/>
        <v>0</v>
      </c>
      <c r="Y26" s="305">
        <f t="shared" si="5"/>
        <v>0</v>
      </c>
      <c r="Z26" s="305">
        <f t="shared" si="5"/>
        <v>0</v>
      </c>
      <c r="AA26" s="305">
        <f t="shared" si="5"/>
        <v>25000</v>
      </c>
      <c r="AB26" s="305">
        <f t="shared" si="5"/>
        <v>25000</v>
      </c>
      <c r="AC26" s="305">
        <f t="shared" si="5"/>
        <v>25000</v>
      </c>
      <c r="AD26" s="305">
        <f t="shared" si="5"/>
        <v>25000</v>
      </c>
      <c r="AE26" s="305">
        <f t="shared" si="5"/>
        <v>0</v>
      </c>
      <c r="AF26" s="305">
        <f t="shared" si="5"/>
        <v>0</v>
      </c>
      <c r="AG26" s="305">
        <f t="shared" si="5"/>
        <v>0</v>
      </c>
      <c r="AH26" s="305">
        <f t="shared" si="5"/>
        <v>0</v>
      </c>
      <c r="AI26" s="305">
        <f t="shared" si="5"/>
        <v>0</v>
      </c>
      <c r="AJ26" s="305">
        <f t="shared" si="5"/>
        <v>0</v>
      </c>
      <c r="AK26" s="305">
        <f t="shared" si="5"/>
        <v>0</v>
      </c>
      <c r="AL26" s="305">
        <f t="shared" si="5"/>
        <v>0</v>
      </c>
      <c r="AM26" s="242"/>
      <c r="AN26" s="305">
        <f t="shared" si="4"/>
        <v>0</v>
      </c>
      <c r="AO26" s="305">
        <f t="shared" si="4"/>
        <v>0</v>
      </c>
      <c r="AP26" s="305">
        <f t="shared" si="4"/>
        <v>0</v>
      </c>
      <c r="AQ26" s="305">
        <f t="shared" si="4"/>
        <v>100000</v>
      </c>
      <c r="AR26" s="305">
        <f t="shared" si="4"/>
        <v>0</v>
      </c>
      <c r="AS26" s="305">
        <f t="shared" si="4"/>
        <v>0</v>
      </c>
      <c r="AT26" s="305">
        <f t="shared" si="4"/>
        <v>0</v>
      </c>
      <c r="AU26" s="305">
        <f t="shared" si="4"/>
        <v>0</v>
      </c>
      <c r="AV26" s="305">
        <f t="shared" si="4"/>
        <v>0</v>
      </c>
      <c r="AW26" s="305">
        <f t="shared" si="4"/>
        <v>0</v>
      </c>
      <c r="AX26" s="305">
        <f t="shared" si="4"/>
        <v>0</v>
      </c>
      <c r="AY26" s="305">
        <f t="shared" si="4"/>
        <v>0</v>
      </c>
      <c r="AZ26" s="305">
        <f t="shared" si="4"/>
        <v>0</v>
      </c>
      <c r="BA26" s="305">
        <f t="shared" si="4"/>
        <v>0</v>
      </c>
      <c r="BB26" s="305">
        <f t="shared" si="4"/>
        <v>0</v>
      </c>
      <c r="BD26" s="304">
        <f t="shared" si="3"/>
        <v>0</v>
      </c>
    </row>
    <row r="27" spans="1:56" ht="15">
      <c r="A27" s="300" t="s">
        <v>163</v>
      </c>
      <c r="B27" s="259" t="str">
        <f>VLOOKUP(A27,'DFP-Com'!$A$16:$B$50,2,1)</f>
        <v xml:space="preserve">     3.1.a  Student Assessment</v>
      </c>
      <c r="C27" s="250" t="s">
        <v>236</v>
      </c>
      <c r="D27" s="306">
        <v>500000</v>
      </c>
      <c r="E27" s="300" t="s">
        <v>262</v>
      </c>
      <c r="Q27" s="303">
        <v>0.25</v>
      </c>
      <c r="R27" s="303">
        <v>0.25</v>
      </c>
      <c r="S27" s="303">
        <v>0.25</v>
      </c>
      <c r="T27" s="303">
        <v>0.25</v>
      </c>
      <c r="U27" s="303">
        <f t="shared" si="0"/>
        <v>1</v>
      </c>
      <c r="X27" s="305">
        <f t="shared" si="5"/>
        <v>0</v>
      </c>
      <c r="Y27" s="305">
        <f t="shared" si="5"/>
        <v>0</v>
      </c>
      <c r="Z27" s="305">
        <f t="shared" si="5"/>
        <v>0</v>
      </c>
      <c r="AA27" s="305">
        <f t="shared" si="5"/>
        <v>0</v>
      </c>
      <c r="AB27" s="305">
        <f t="shared" si="5"/>
        <v>0</v>
      </c>
      <c r="AC27" s="305">
        <f t="shared" si="5"/>
        <v>0</v>
      </c>
      <c r="AD27" s="305">
        <f t="shared" si="5"/>
        <v>0</v>
      </c>
      <c r="AE27" s="305">
        <f t="shared" si="5"/>
        <v>0</v>
      </c>
      <c r="AF27" s="305">
        <f t="shared" si="5"/>
        <v>0</v>
      </c>
      <c r="AG27" s="305">
        <f t="shared" si="5"/>
        <v>0</v>
      </c>
      <c r="AH27" s="305">
        <f t="shared" si="5"/>
        <v>0</v>
      </c>
      <c r="AI27" s="305">
        <f t="shared" si="5"/>
        <v>125000</v>
      </c>
      <c r="AJ27" s="305">
        <f t="shared" si="5"/>
        <v>125000</v>
      </c>
      <c r="AK27" s="305">
        <f t="shared" si="5"/>
        <v>125000</v>
      </c>
      <c r="AL27" s="305">
        <f t="shared" si="5"/>
        <v>125000</v>
      </c>
      <c r="AM27" s="242"/>
      <c r="AN27" s="305">
        <f t="shared" si="4"/>
        <v>0</v>
      </c>
      <c r="AO27" s="305">
        <f t="shared" si="4"/>
        <v>0</v>
      </c>
      <c r="AP27" s="305">
        <f t="shared" si="4"/>
        <v>0</v>
      </c>
      <c r="AQ27" s="305">
        <f t="shared" si="4"/>
        <v>0</v>
      </c>
      <c r="AR27" s="305">
        <f t="shared" si="4"/>
        <v>0</v>
      </c>
      <c r="AS27" s="305">
        <f t="shared" si="4"/>
        <v>0</v>
      </c>
      <c r="AT27" s="305">
        <f t="shared" si="4"/>
        <v>0</v>
      </c>
      <c r="AU27" s="305">
        <f t="shared" si="4"/>
        <v>0</v>
      </c>
      <c r="AV27" s="305">
        <f t="shared" si="4"/>
        <v>0</v>
      </c>
      <c r="AW27" s="305">
        <f t="shared" si="4"/>
        <v>0</v>
      </c>
      <c r="AX27" s="305">
        <f t="shared" si="4"/>
        <v>0</v>
      </c>
      <c r="AY27" s="305">
        <f t="shared" si="4"/>
        <v>500000</v>
      </c>
      <c r="AZ27" s="305">
        <f t="shared" si="4"/>
        <v>0</v>
      </c>
      <c r="BA27" s="305">
        <f t="shared" si="4"/>
        <v>0</v>
      </c>
      <c r="BB27" s="305">
        <f t="shared" si="4"/>
        <v>0</v>
      </c>
      <c r="BD27" s="304">
        <f t="shared" si="3"/>
        <v>0</v>
      </c>
    </row>
    <row r="28" spans="1:56" ht="15">
      <c r="A28" s="300" t="s">
        <v>163</v>
      </c>
      <c r="B28" s="259" t="str">
        <f>VLOOKUP(A28,'DFP-Com'!$A$16:$B$50,2,1)</f>
        <v xml:space="preserve">     3.1.a  Student Assessment</v>
      </c>
      <c r="C28" s="300" t="s">
        <v>249</v>
      </c>
      <c r="D28" s="236">
        <v>7200</v>
      </c>
      <c r="E28" s="300" t="s">
        <v>223</v>
      </c>
      <c r="H28" s="320"/>
      <c r="I28" s="303">
        <v>0.3</v>
      </c>
      <c r="J28" s="303">
        <v>0.7</v>
      </c>
      <c r="K28" s="303"/>
      <c r="Q28" s="303"/>
      <c r="R28" s="303"/>
      <c r="S28" s="303"/>
      <c r="T28" s="303"/>
      <c r="U28" s="303">
        <f t="shared" si="0"/>
        <v>1</v>
      </c>
      <c r="X28" s="305">
        <f t="shared" si="5"/>
        <v>0</v>
      </c>
      <c r="Y28" s="305">
        <f t="shared" si="5"/>
        <v>0</v>
      </c>
      <c r="Z28" s="305">
        <f t="shared" si="5"/>
        <v>0</v>
      </c>
      <c r="AA28" s="305">
        <f t="shared" si="5"/>
        <v>2160</v>
      </c>
      <c r="AB28" s="305">
        <f t="shared" si="5"/>
        <v>5040</v>
      </c>
      <c r="AC28" s="305">
        <f t="shared" si="5"/>
        <v>0</v>
      </c>
      <c r="AD28" s="305">
        <f t="shared" si="5"/>
        <v>0</v>
      </c>
      <c r="AE28" s="305">
        <f t="shared" si="5"/>
        <v>0</v>
      </c>
      <c r="AF28" s="305">
        <f t="shared" si="5"/>
        <v>0</v>
      </c>
      <c r="AG28" s="305">
        <f t="shared" si="5"/>
        <v>0</v>
      </c>
      <c r="AH28" s="305">
        <f t="shared" si="5"/>
        <v>0</v>
      </c>
      <c r="AI28" s="305">
        <f t="shared" si="5"/>
        <v>0</v>
      </c>
      <c r="AJ28" s="305">
        <f t="shared" si="5"/>
        <v>0</v>
      </c>
      <c r="AK28" s="305">
        <f t="shared" si="5"/>
        <v>0</v>
      </c>
      <c r="AL28" s="305">
        <f t="shared" si="5"/>
        <v>0</v>
      </c>
      <c r="AM28" s="242"/>
      <c r="AN28" s="305">
        <f t="shared" si="4"/>
        <v>0</v>
      </c>
      <c r="AO28" s="305">
        <f t="shared" si="4"/>
        <v>0</v>
      </c>
      <c r="AP28" s="305">
        <f t="shared" si="4"/>
        <v>0</v>
      </c>
      <c r="AQ28" s="305">
        <f t="shared" si="4"/>
        <v>7200</v>
      </c>
      <c r="AR28" s="305">
        <f t="shared" si="4"/>
        <v>0</v>
      </c>
      <c r="AS28" s="305">
        <f t="shared" si="4"/>
        <v>0</v>
      </c>
      <c r="AT28" s="305">
        <f t="shared" si="4"/>
        <v>0</v>
      </c>
      <c r="AU28" s="305">
        <f t="shared" si="4"/>
        <v>0</v>
      </c>
      <c r="AV28" s="305">
        <f t="shared" si="4"/>
        <v>0</v>
      </c>
      <c r="AW28" s="305">
        <f t="shared" si="4"/>
        <v>0</v>
      </c>
      <c r="AX28" s="305">
        <f t="shared" si="4"/>
        <v>0</v>
      </c>
      <c r="AY28" s="305">
        <f t="shared" si="4"/>
        <v>0</v>
      </c>
      <c r="AZ28" s="305">
        <f t="shared" si="4"/>
        <v>0</v>
      </c>
      <c r="BA28" s="305">
        <f t="shared" si="4"/>
        <v>0</v>
      </c>
      <c r="BB28" s="305">
        <f t="shared" si="4"/>
        <v>0</v>
      </c>
      <c r="BD28" s="304"/>
    </row>
    <row r="29" spans="1:56" ht="15">
      <c r="A29" s="300" t="s">
        <v>163</v>
      </c>
      <c r="B29" s="259" t="str">
        <f>VLOOKUP(A29,'DFP-Com'!$A$16:$B$50,2,1)</f>
        <v xml:space="preserve">     3.1.a  Student Assessment</v>
      </c>
      <c r="C29" s="300" t="s">
        <v>250</v>
      </c>
      <c r="D29" s="236">
        <v>19200</v>
      </c>
      <c r="E29" s="300" t="s">
        <v>223</v>
      </c>
      <c r="H29" s="320"/>
      <c r="I29" s="303">
        <v>0.3</v>
      </c>
      <c r="J29" s="303">
        <v>0.7</v>
      </c>
      <c r="K29" s="303"/>
      <c r="Q29" s="303"/>
      <c r="R29" s="303"/>
      <c r="S29" s="303"/>
      <c r="T29" s="303"/>
      <c r="U29" s="303">
        <f t="shared" si="0"/>
        <v>1</v>
      </c>
      <c r="X29" s="305">
        <f t="shared" si="5"/>
        <v>0</v>
      </c>
      <c r="Y29" s="305">
        <f t="shared" si="5"/>
        <v>0</v>
      </c>
      <c r="Z29" s="305">
        <f t="shared" si="5"/>
        <v>0</v>
      </c>
      <c r="AA29" s="305">
        <f t="shared" si="5"/>
        <v>5760</v>
      </c>
      <c r="AB29" s="305">
        <f t="shared" si="5"/>
        <v>13440</v>
      </c>
      <c r="AC29" s="305">
        <f t="shared" si="5"/>
        <v>0</v>
      </c>
      <c r="AD29" s="305">
        <f t="shared" si="5"/>
        <v>0</v>
      </c>
      <c r="AE29" s="305">
        <f t="shared" si="5"/>
        <v>0</v>
      </c>
      <c r="AF29" s="305">
        <f t="shared" si="5"/>
        <v>0</v>
      </c>
      <c r="AG29" s="305">
        <f t="shared" si="5"/>
        <v>0</v>
      </c>
      <c r="AH29" s="305">
        <f t="shared" si="5"/>
        <v>0</v>
      </c>
      <c r="AI29" s="305">
        <f t="shared" si="5"/>
        <v>0</v>
      </c>
      <c r="AJ29" s="305">
        <f t="shared" si="5"/>
        <v>0</v>
      </c>
      <c r="AK29" s="305">
        <f t="shared" si="5"/>
        <v>0</v>
      </c>
      <c r="AL29" s="305">
        <f t="shared" si="5"/>
        <v>0</v>
      </c>
      <c r="AM29" s="242"/>
      <c r="AN29" s="305">
        <f t="shared" si="4"/>
        <v>0</v>
      </c>
      <c r="AO29" s="305">
        <f t="shared" si="4"/>
        <v>0</v>
      </c>
      <c r="AP29" s="305">
        <f t="shared" si="4"/>
        <v>0</v>
      </c>
      <c r="AQ29" s="305">
        <f t="shared" si="4"/>
        <v>19200</v>
      </c>
      <c r="AR29" s="305">
        <f t="shared" si="4"/>
        <v>0</v>
      </c>
      <c r="AS29" s="305">
        <f t="shared" si="4"/>
        <v>0</v>
      </c>
      <c r="AT29" s="305">
        <f t="shared" si="4"/>
        <v>0</v>
      </c>
      <c r="AU29" s="305">
        <f t="shared" si="4"/>
        <v>0</v>
      </c>
      <c r="AV29" s="305">
        <f t="shared" si="4"/>
        <v>0</v>
      </c>
      <c r="AW29" s="305">
        <f t="shared" si="4"/>
        <v>0</v>
      </c>
      <c r="AX29" s="305">
        <f t="shared" si="4"/>
        <v>0</v>
      </c>
      <c r="AY29" s="305">
        <f t="shared" si="4"/>
        <v>0</v>
      </c>
      <c r="AZ29" s="305">
        <f t="shared" si="4"/>
        <v>0</v>
      </c>
      <c r="BA29" s="305">
        <f t="shared" si="4"/>
        <v>0</v>
      </c>
      <c r="BB29" s="305">
        <f t="shared" si="4"/>
        <v>0</v>
      </c>
      <c r="BD29" s="304"/>
    </row>
    <row r="30" spans="1:56" ht="15">
      <c r="A30" s="300" t="s">
        <v>163</v>
      </c>
      <c r="B30" s="259" t="str">
        <f>VLOOKUP(A30,'DFP-Com'!$A$16:$B$50,2,1)</f>
        <v xml:space="preserve">     3.1.a  Student Assessment</v>
      </c>
      <c r="C30" s="300" t="s">
        <v>251</v>
      </c>
      <c r="D30" s="236">
        <v>8000</v>
      </c>
      <c r="E30" s="300" t="s">
        <v>191</v>
      </c>
      <c r="H30" s="320">
        <v>0.5</v>
      </c>
      <c r="I30" s="303">
        <v>0.5</v>
      </c>
      <c r="Q30" s="303"/>
      <c r="R30" s="303"/>
      <c r="S30" s="303"/>
      <c r="T30" s="303"/>
      <c r="U30" s="303">
        <f t="shared" si="0"/>
        <v>1</v>
      </c>
      <c r="X30" s="305">
        <f t="shared" si="5"/>
        <v>0</v>
      </c>
      <c r="Y30" s="305">
        <f t="shared" si="5"/>
        <v>0</v>
      </c>
      <c r="Z30" s="305">
        <f t="shared" si="5"/>
        <v>4000</v>
      </c>
      <c r="AA30" s="305">
        <f t="shared" si="5"/>
        <v>4000</v>
      </c>
      <c r="AB30" s="305">
        <f t="shared" si="5"/>
        <v>0</v>
      </c>
      <c r="AC30" s="305">
        <f t="shared" si="5"/>
        <v>0</v>
      </c>
      <c r="AD30" s="305">
        <f t="shared" si="5"/>
        <v>0</v>
      </c>
      <c r="AE30" s="305">
        <f t="shared" si="5"/>
        <v>0</v>
      </c>
      <c r="AF30" s="305">
        <f t="shared" si="5"/>
        <v>0</v>
      </c>
      <c r="AG30" s="305">
        <f t="shared" si="5"/>
        <v>0</v>
      </c>
      <c r="AH30" s="305">
        <f t="shared" si="5"/>
        <v>0</v>
      </c>
      <c r="AI30" s="305">
        <f t="shared" si="5"/>
        <v>0</v>
      </c>
      <c r="AJ30" s="305">
        <f t="shared" si="5"/>
        <v>0</v>
      </c>
      <c r="AK30" s="305">
        <f t="shared" si="5"/>
        <v>0</v>
      </c>
      <c r="AL30" s="305">
        <f t="shared" si="5"/>
        <v>0</v>
      </c>
      <c r="AM30" s="242"/>
      <c r="AN30" s="305">
        <f t="shared" si="4"/>
        <v>0</v>
      </c>
      <c r="AO30" s="305">
        <f t="shared" si="4"/>
        <v>0</v>
      </c>
      <c r="AP30" s="305">
        <f t="shared" si="4"/>
        <v>8000</v>
      </c>
      <c r="AQ30" s="305">
        <f t="shared" si="4"/>
        <v>0</v>
      </c>
      <c r="AR30" s="305">
        <f t="shared" si="4"/>
        <v>0</v>
      </c>
      <c r="AS30" s="305">
        <f t="shared" si="4"/>
        <v>0</v>
      </c>
      <c r="AT30" s="305">
        <f t="shared" si="4"/>
        <v>0</v>
      </c>
      <c r="AU30" s="305">
        <f t="shared" si="4"/>
        <v>0</v>
      </c>
      <c r="AV30" s="305">
        <f t="shared" si="4"/>
        <v>0</v>
      </c>
      <c r="AW30" s="305">
        <f t="shared" si="4"/>
        <v>0</v>
      </c>
      <c r="AX30" s="305">
        <f t="shared" si="4"/>
        <v>0</v>
      </c>
      <c r="AY30" s="305">
        <f t="shared" si="4"/>
        <v>0</v>
      </c>
      <c r="AZ30" s="305">
        <f t="shared" si="4"/>
        <v>0</v>
      </c>
      <c r="BA30" s="305">
        <f t="shared" si="4"/>
        <v>0</v>
      </c>
      <c r="BB30" s="305">
        <f t="shared" si="4"/>
        <v>0</v>
      </c>
      <c r="BD30" s="304"/>
    </row>
    <row r="31" spans="1:56" ht="15">
      <c r="A31" s="300" t="s">
        <v>163</v>
      </c>
      <c r="B31" s="259" t="str">
        <f>VLOOKUP(A31,'DFP-Com'!$A$16:$B$50,2,1)</f>
        <v xml:space="preserve">     3.1.a  Student Assessment</v>
      </c>
      <c r="C31" s="300" t="s">
        <v>252</v>
      </c>
      <c r="D31" s="236">
        <v>72000</v>
      </c>
      <c r="E31" s="300" t="s">
        <v>191</v>
      </c>
      <c r="H31" s="320">
        <v>0.0833333333333333</v>
      </c>
      <c r="I31" s="303">
        <v>0.0833333333333333</v>
      </c>
      <c r="J31" s="303">
        <v>0.0833333333333333</v>
      </c>
      <c r="K31" s="303">
        <v>0.0833333333333333</v>
      </c>
      <c r="L31" s="303">
        <v>0.0833333333333333</v>
      </c>
      <c r="M31" s="303">
        <v>0.0833333333333333</v>
      </c>
      <c r="N31" s="303">
        <v>0.0833333333333333</v>
      </c>
      <c r="O31" s="303">
        <v>0.0833333333333333</v>
      </c>
      <c r="P31" s="303">
        <v>0.0833333333333333</v>
      </c>
      <c r="Q31" s="303">
        <v>0.0833333333333333</v>
      </c>
      <c r="R31" s="303">
        <v>0.0833333333333333</v>
      </c>
      <c r="S31" s="303">
        <v>0.0833333333333333</v>
      </c>
      <c r="T31" s="303"/>
      <c r="U31" s="303">
        <f t="shared" si="0"/>
        <v>0.9999999999999994</v>
      </c>
      <c r="X31" s="305">
        <f t="shared" si="5"/>
        <v>0</v>
      </c>
      <c r="Y31" s="305">
        <f t="shared" si="5"/>
        <v>0</v>
      </c>
      <c r="Z31" s="305">
        <f t="shared" si="5"/>
        <v>5999.999999999997</v>
      </c>
      <c r="AA31" s="305">
        <f t="shared" si="5"/>
        <v>5999.999999999997</v>
      </c>
      <c r="AB31" s="305">
        <f t="shared" si="5"/>
        <v>5999.999999999997</v>
      </c>
      <c r="AC31" s="305">
        <f t="shared" si="5"/>
        <v>5999.999999999997</v>
      </c>
      <c r="AD31" s="305">
        <f t="shared" si="5"/>
        <v>5999.999999999997</v>
      </c>
      <c r="AE31" s="305">
        <f t="shared" si="5"/>
        <v>5999.999999999997</v>
      </c>
      <c r="AF31" s="305">
        <f t="shared" si="5"/>
        <v>5999.999999999997</v>
      </c>
      <c r="AG31" s="305">
        <f t="shared" si="5"/>
        <v>5999.999999999997</v>
      </c>
      <c r="AH31" s="305">
        <f t="shared" si="5"/>
        <v>5999.999999999997</v>
      </c>
      <c r="AI31" s="305">
        <f t="shared" si="5"/>
        <v>5999.999999999997</v>
      </c>
      <c r="AJ31" s="305">
        <f t="shared" si="5"/>
        <v>5999.999999999997</v>
      </c>
      <c r="AK31" s="305">
        <f t="shared" si="5"/>
        <v>5999.999999999997</v>
      </c>
      <c r="AL31" s="305">
        <f t="shared" si="5"/>
        <v>0</v>
      </c>
      <c r="AM31" s="242"/>
      <c r="AN31" s="305">
        <f t="shared" si="4"/>
        <v>0</v>
      </c>
      <c r="AO31" s="305">
        <f t="shared" si="4"/>
        <v>0</v>
      </c>
      <c r="AP31" s="305">
        <f t="shared" si="4"/>
        <v>72000</v>
      </c>
      <c r="AQ31" s="305">
        <f t="shared" si="4"/>
        <v>0</v>
      </c>
      <c r="AR31" s="305">
        <f t="shared" si="4"/>
        <v>0</v>
      </c>
      <c r="AS31" s="305">
        <f t="shared" si="4"/>
        <v>0</v>
      </c>
      <c r="AT31" s="305">
        <f t="shared" si="4"/>
        <v>0</v>
      </c>
      <c r="AU31" s="305">
        <f t="shared" si="4"/>
        <v>0</v>
      </c>
      <c r="AV31" s="305">
        <f t="shared" si="4"/>
        <v>0</v>
      </c>
      <c r="AW31" s="305">
        <f t="shared" si="4"/>
        <v>0</v>
      </c>
      <c r="AX31" s="305">
        <f t="shared" si="4"/>
        <v>0</v>
      </c>
      <c r="AY31" s="305">
        <f t="shared" si="4"/>
        <v>0</v>
      </c>
      <c r="AZ31" s="305">
        <f t="shared" si="4"/>
        <v>0</v>
      </c>
      <c r="BA31" s="305">
        <f t="shared" si="4"/>
        <v>0</v>
      </c>
      <c r="BB31" s="305">
        <f t="shared" si="4"/>
        <v>0</v>
      </c>
      <c r="BD31" s="304"/>
    </row>
    <row r="32" spans="1:56" ht="15">
      <c r="A32" s="300" t="s">
        <v>164</v>
      </c>
      <c r="B32" s="259" t="str">
        <f>VLOOKUP(A32,'DFP-Com'!$A$16:$B$50,2,1)</f>
        <v xml:space="preserve">     3.1.b  Teacher Evaluations</v>
      </c>
      <c r="C32" s="250" t="s">
        <v>236</v>
      </c>
      <c r="D32" s="236">
        <v>100000</v>
      </c>
      <c r="E32" s="300" t="s">
        <v>223</v>
      </c>
      <c r="I32" s="303">
        <v>0.25</v>
      </c>
      <c r="J32" s="303">
        <v>0.25</v>
      </c>
      <c r="K32" s="303">
        <v>0.25</v>
      </c>
      <c r="L32" s="303">
        <v>0.25</v>
      </c>
      <c r="U32" s="303">
        <f t="shared" si="0"/>
        <v>1</v>
      </c>
      <c r="X32" s="305">
        <f t="shared" si="5"/>
        <v>0</v>
      </c>
      <c r="Y32" s="305">
        <f t="shared" si="5"/>
        <v>0</v>
      </c>
      <c r="Z32" s="305">
        <f t="shared" si="5"/>
        <v>0</v>
      </c>
      <c r="AA32" s="305">
        <f t="shared" si="5"/>
        <v>25000</v>
      </c>
      <c r="AB32" s="305">
        <f t="shared" si="5"/>
        <v>25000</v>
      </c>
      <c r="AC32" s="305">
        <f t="shared" si="5"/>
        <v>25000</v>
      </c>
      <c r="AD32" s="305">
        <f t="shared" si="5"/>
        <v>25000</v>
      </c>
      <c r="AE32" s="305">
        <f t="shared" si="5"/>
        <v>0</v>
      </c>
      <c r="AF32" s="305">
        <f t="shared" si="5"/>
        <v>0</v>
      </c>
      <c r="AG32" s="305">
        <f t="shared" si="5"/>
        <v>0</v>
      </c>
      <c r="AH32" s="305">
        <f t="shared" si="5"/>
        <v>0</v>
      </c>
      <c r="AI32" s="305">
        <f t="shared" si="5"/>
        <v>0</v>
      </c>
      <c r="AJ32" s="305">
        <f t="shared" si="5"/>
        <v>0</v>
      </c>
      <c r="AK32" s="305">
        <f t="shared" si="5"/>
        <v>0</v>
      </c>
      <c r="AL32" s="305">
        <f t="shared" si="5"/>
        <v>0</v>
      </c>
      <c r="AM32" s="242"/>
      <c r="AN32" s="305">
        <f t="shared" si="4"/>
        <v>0</v>
      </c>
      <c r="AO32" s="305">
        <f t="shared" si="4"/>
        <v>0</v>
      </c>
      <c r="AP32" s="305">
        <f t="shared" si="4"/>
        <v>0</v>
      </c>
      <c r="AQ32" s="305">
        <f t="shared" si="4"/>
        <v>100000</v>
      </c>
      <c r="AR32" s="305">
        <f t="shared" si="4"/>
        <v>0</v>
      </c>
      <c r="AS32" s="305">
        <f t="shared" si="4"/>
        <v>0</v>
      </c>
      <c r="AT32" s="305">
        <f t="shared" si="4"/>
        <v>0</v>
      </c>
      <c r="AU32" s="305">
        <f t="shared" si="4"/>
        <v>0</v>
      </c>
      <c r="AV32" s="305">
        <f t="shared" si="4"/>
        <v>0</v>
      </c>
      <c r="AW32" s="305">
        <f t="shared" si="4"/>
        <v>0</v>
      </c>
      <c r="AX32" s="305">
        <f t="shared" si="4"/>
        <v>0</v>
      </c>
      <c r="AY32" s="305">
        <f t="shared" si="4"/>
        <v>0</v>
      </c>
      <c r="AZ32" s="305">
        <f t="shared" si="4"/>
        <v>0</v>
      </c>
      <c r="BA32" s="305">
        <f t="shared" si="4"/>
        <v>0</v>
      </c>
      <c r="BB32" s="305">
        <f t="shared" si="4"/>
        <v>0</v>
      </c>
      <c r="BD32" s="304">
        <f aca="true" t="shared" si="6" ref="BD32:BD38">SUM(X32:AL32)-SUM(AN32:BB32)</f>
        <v>0</v>
      </c>
    </row>
    <row r="33" spans="1:56" ht="15">
      <c r="A33" s="300" t="s">
        <v>164</v>
      </c>
      <c r="B33" s="259" t="str">
        <f>VLOOKUP(A33,'DFP-Com'!$A$16:$B$50,2,1)</f>
        <v xml:space="preserve">     3.1.b  Teacher Evaluations</v>
      </c>
      <c r="C33" s="250" t="s">
        <v>236</v>
      </c>
      <c r="D33" s="236">
        <v>200000</v>
      </c>
      <c r="E33" s="300" t="s">
        <v>237</v>
      </c>
      <c r="Q33" s="303">
        <v>0.25</v>
      </c>
      <c r="R33" s="303">
        <v>0.25</v>
      </c>
      <c r="S33" s="303">
        <v>0.25</v>
      </c>
      <c r="T33" s="303">
        <v>0.25</v>
      </c>
      <c r="U33" s="303">
        <f t="shared" si="0"/>
        <v>1</v>
      </c>
      <c r="X33" s="305">
        <f t="shared" si="5"/>
        <v>0</v>
      </c>
      <c r="Y33" s="305">
        <f t="shared" si="5"/>
        <v>0</v>
      </c>
      <c r="Z33" s="305">
        <f t="shared" si="5"/>
        <v>0</v>
      </c>
      <c r="AA33" s="305">
        <f t="shared" si="5"/>
        <v>0</v>
      </c>
      <c r="AB33" s="305">
        <f t="shared" si="5"/>
        <v>0</v>
      </c>
      <c r="AC33" s="305">
        <f t="shared" si="5"/>
        <v>0</v>
      </c>
      <c r="AD33" s="305">
        <f t="shared" si="5"/>
        <v>0</v>
      </c>
      <c r="AE33" s="305">
        <f t="shared" si="5"/>
        <v>0</v>
      </c>
      <c r="AF33" s="305">
        <f t="shared" si="5"/>
        <v>0</v>
      </c>
      <c r="AG33" s="305">
        <f t="shared" si="5"/>
        <v>0</v>
      </c>
      <c r="AH33" s="305">
        <f t="shared" si="5"/>
        <v>0</v>
      </c>
      <c r="AI33" s="305">
        <f t="shared" si="5"/>
        <v>50000</v>
      </c>
      <c r="AJ33" s="305">
        <f t="shared" si="5"/>
        <v>50000</v>
      </c>
      <c r="AK33" s="305">
        <f t="shared" si="5"/>
        <v>50000</v>
      </c>
      <c r="AL33" s="305">
        <f t="shared" si="5"/>
        <v>50000</v>
      </c>
      <c r="AM33" s="242"/>
      <c r="AN33" s="305">
        <f t="shared" si="4"/>
        <v>0</v>
      </c>
      <c r="AO33" s="305">
        <f t="shared" si="4"/>
        <v>0</v>
      </c>
      <c r="AP33" s="305">
        <f t="shared" si="4"/>
        <v>0</v>
      </c>
      <c r="AQ33" s="305">
        <f t="shared" si="4"/>
        <v>0</v>
      </c>
      <c r="AR33" s="305">
        <f t="shared" si="4"/>
        <v>0</v>
      </c>
      <c r="AS33" s="305">
        <f t="shared" si="4"/>
        <v>0</v>
      </c>
      <c r="AT33" s="305">
        <f t="shared" si="4"/>
        <v>0</v>
      </c>
      <c r="AU33" s="305">
        <f t="shared" si="4"/>
        <v>0</v>
      </c>
      <c r="AV33" s="305">
        <f t="shared" si="4"/>
        <v>0</v>
      </c>
      <c r="AW33" s="305">
        <f t="shared" si="4"/>
        <v>0</v>
      </c>
      <c r="AX33" s="305">
        <f t="shared" si="4"/>
        <v>0</v>
      </c>
      <c r="AY33" s="305">
        <f t="shared" si="4"/>
        <v>0</v>
      </c>
      <c r="AZ33" s="305">
        <f t="shared" si="4"/>
        <v>0</v>
      </c>
      <c r="BA33" s="305">
        <f t="shared" si="4"/>
        <v>0</v>
      </c>
      <c r="BB33" s="305">
        <f t="shared" si="4"/>
        <v>200000</v>
      </c>
      <c r="BD33" s="304">
        <f t="shared" si="6"/>
        <v>0</v>
      </c>
    </row>
    <row r="34" spans="1:56" ht="15">
      <c r="A34" s="300" t="s">
        <v>165</v>
      </c>
      <c r="B34" s="259" t="str">
        <f>VLOOKUP(A34,'DFP-Com'!$A$16:$B$50,2,1)</f>
        <v xml:space="preserve">     3.1.c  Voc Ed Tracer Studies</v>
      </c>
      <c r="C34" s="250" t="s">
        <v>236</v>
      </c>
      <c r="D34" s="236">
        <v>100000</v>
      </c>
      <c r="E34" s="300" t="s">
        <v>205</v>
      </c>
      <c r="L34" s="303">
        <v>0.25</v>
      </c>
      <c r="M34" s="303">
        <v>0.25</v>
      </c>
      <c r="N34" s="303">
        <v>0.25</v>
      </c>
      <c r="O34" s="303">
        <v>0.25</v>
      </c>
      <c r="U34" s="303">
        <f t="shared" si="0"/>
        <v>1</v>
      </c>
      <c r="X34" s="305">
        <f t="shared" si="5"/>
        <v>0</v>
      </c>
      <c r="Y34" s="305">
        <f t="shared" si="5"/>
        <v>0</v>
      </c>
      <c r="Z34" s="305">
        <f t="shared" si="5"/>
        <v>0</v>
      </c>
      <c r="AA34" s="305">
        <f t="shared" si="5"/>
        <v>0</v>
      </c>
      <c r="AB34" s="305">
        <f t="shared" si="5"/>
        <v>0</v>
      </c>
      <c r="AC34" s="305">
        <f t="shared" si="5"/>
        <v>0</v>
      </c>
      <c r="AD34" s="305">
        <f t="shared" si="5"/>
        <v>25000</v>
      </c>
      <c r="AE34" s="305">
        <f t="shared" si="5"/>
        <v>25000</v>
      </c>
      <c r="AF34" s="305">
        <f t="shared" si="5"/>
        <v>25000</v>
      </c>
      <c r="AG34" s="305">
        <f t="shared" si="5"/>
        <v>25000</v>
      </c>
      <c r="AH34" s="305">
        <f t="shared" si="5"/>
        <v>0</v>
      </c>
      <c r="AI34" s="305">
        <f t="shared" si="5"/>
        <v>0</v>
      </c>
      <c r="AJ34" s="305">
        <f t="shared" si="5"/>
        <v>0</v>
      </c>
      <c r="AK34" s="305">
        <f t="shared" si="5"/>
        <v>0</v>
      </c>
      <c r="AL34" s="305">
        <f t="shared" si="5"/>
        <v>0</v>
      </c>
      <c r="AM34" s="242"/>
      <c r="AN34" s="305">
        <f t="shared" si="4"/>
        <v>0</v>
      </c>
      <c r="AO34" s="305">
        <f t="shared" si="4"/>
        <v>0</v>
      </c>
      <c r="AP34" s="305">
        <f t="shared" si="4"/>
        <v>0</v>
      </c>
      <c r="AQ34" s="305">
        <f t="shared" si="4"/>
        <v>0</v>
      </c>
      <c r="AR34" s="305">
        <f t="shared" si="4"/>
        <v>0</v>
      </c>
      <c r="AS34" s="305">
        <f t="shared" si="4"/>
        <v>0</v>
      </c>
      <c r="AT34" s="305">
        <f t="shared" si="4"/>
        <v>100000</v>
      </c>
      <c r="AU34" s="305">
        <f t="shared" si="4"/>
        <v>0</v>
      </c>
      <c r="AV34" s="305">
        <f t="shared" si="4"/>
        <v>0</v>
      </c>
      <c r="AW34" s="305">
        <f t="shared" si="4"/>
        <v>0</v>
      </c>
      <c r="AX34" s="305">
        <f t="shared" si="4"/>
        <v>0</v>
      </c>
      <c r="AY34" s="305">
        <f t="shared" si="4"/>
        <v>0</v>
      </c>
      <c r="AZ34" s="305">
        <f t="shared" si="4"/>
        <v>0</v>
      </c>
      <c r="BA34" s="305">
        <f t="shared" si="4"/>
        <v>0</v>
      </c>
      <c r="BB34" s="305">
        <f t="shared" si="4"/>
        <v>0</v>
      </c>
      <c r="BD34" s="304">
        <f t="shared" si="6"/>
        <v>0</v>
      </c>
    </row>
    <row r="35" spans="1:56" ht="15">
      <c r="A35" s="300" t="s">
        <v>165</v>
      </c>
      <c r="B35" s="259" t="str">
        <f>VLOOKUP(A35,'DFP-Com'!$A$16:$B$50,2,1)</f>
        <v xml:space="preserve">     3.1.c  Voc Ed Tracer Studies</v>
      </c>
      <c r="C35" s="250" t="s">
        <v>236</v>
      </c>
      <c r="D35" s="236">
        <v>200000</v>
      </c>
      <c r="E35" s="300" t="s">
        <v>237</v>
      </c>
      <c r="Q35" s="303">
        <v>0.25</v>
      </c>
      <c r="R35" s="303">
        <v>0.25</v>
      </c>
      <c r="S35" s="303">
        <v>0.25</v>
      </c>
      <c r="T35" s="303">
        <v>0.25</v>
      </c>
      <c r="U35" s="303">
        <f t="shared" si="0"/>
        <v>1</v>
      </c>
      <c r="X35" s="305">
        <f t="shared" si="5"/>
        <v>0</v>
      </c>
      <c r="Y35" s="305">
        <f t="shared" si="5"/>
        <v>0</v>
      </c>
      <c r="Z35" s="305">
        <f t="shared" si="5"/>
        <v>0</v>
      </c>
      <c r="AA35" s="305">
        <f t="shared" si="5"/>
        <v>0</v>
      </c>
      <c r="AB35" s="305">
        <f t="shared" si="5"/>
        <v>0</v>
      </c>
      <c r="AC35" s="305">
        <f t="shared" si="5"/>
        <v>0</v>
      </c>
      <c r="AD35" s="305">
        <f t="shared" si="5"/>
        <v>0</v>
      </c>
      <c r="AE35" s="305">
        <f t="shared" si="5"/>
        <v>0</v>
      </c>
      <c r="AF35" s="305">
        <f t="shared" si="5"/>
        <v>0</v>
      </c>
      <c r="AG35" s="305">
        <f t="shared" si="5"/>
        <v>0</v>
      </c>
      <c r="AH35" s="305">
        <f t="shared" si="5"/>
        <v>0</v>
      </c>
      <c r="AI35" s="305">
        <f t="shared" si="5"/>
        <v>50000</v>
      </c>
      <c r="AJ35" s="305">
        <f t="shared" si="5"/>
        <v>50000</v>
      </c>
      <c r="AK35" s="305">
        <f t="shared" si="5"/>
        <v>50000</v>
      </c>
      <c r="AL35" s="305">
        <f t="shared" si="5"/>
        <v>50000</v>
      </c>
      <c r="AM35" s="242"/>
      <c r="AN35" s="305">
        <f t="shared" si="4"/>
        <v>0</v>
      </c>
      <c r="AO35" s="305">
        <f t="shared" si="4"/>
        <v>0</v>
      </c>
      <c r="AP35" s="305">
        <f t="shared" si="4"/>
        <v>0</v>
      </c>
      <c r="AQ35" s="305">
        <f t="shared" si="4"/>
        <v>0</v>
      </c>
      <c r="AR35" s="305">
        <f t="shared" si="4"/>
        <v>0</v>
      </c>
      <c r="AS35" s="305">
        <f t="shared" si="4"/>
        <v>0</v>
      </c>
      <c r="AT35" s="305">
        <f t="shared" si="4"/>
        <v>0</v>
      </c>
      <c r="AU35" s="305">
        <f t="shared" si="4"/>
        <v>0</v>
      </c>
      <c r="AV35" s="305">
        <f t="shared" si="4"/>
        <v>0</v>
      </c>
      <c r="AW35" s="305">
        <f t="shared" si="4"/>
        <v>0</v>
      </c>
      <c r="AX35" s="305">
        <f t="shared" si="4"/>
        <v>0</v>
      </c>
      <c r="AY35" s="305">
        <f t="shared" si="4"/>
        <v>0</v>
      </c>
      <c r="AZ35" s="305">
        <f t="shared" si="4"/>
        <v>0</v>
      </c>
      <c r="BA35" s="305">
        <f t="shared" si="4"/>
        <v>0</v>
      </c>
      <c r="BB35" s="305">
        <f t="shared" si="4"/>
        <v>200000</v>
      </c>
      <c r="BD35" s="304">
        <f t="shared" si="6"/>
        <v>0</v>
      </c>
    </row>
    <row r="36" spans="1:56" ht="15">
      <c r="A36" s="300" t="s">
        <v>166</v>
      </c>
      <c r="B36" s="259" t="str">
        <f>VLOOKUP(A36,'DFP-Com'!$A$16:$B$50,2,1)</f>
        <v xml:space="preserve">     3.1 d Other</v>
      </c>
      <c r="C36" s="250" t="s">
        <v>236</v>
      </c>
      <c r="D36" s="236">
        <v>200000</v>
      </c>
      <c r="E36" s="300" t="s">
        <v>237</v>
      </c>
      <c r="Q36" s="303">
        <v>0.25</v>
      </c>
      <c r="R36" s="303">
        <v>0.25</v>
      </c>
      <c r="S36" s="303">
        <v>0.25</v>
      </c>
      <c r="T36" s="303">
        <v>0.25</v>
      </c>
      <c r="U36" s="303">
        <f t="shared" si="0"/>
        <v>1</v>
      </c>
      <c r="X36" s="305">
        <f t="shared" si="5"/>
        <v>0</v>
      </c>
      <c r="Y36" s="305">
        <f t="shared" si="5"/>
        <v>0</v>
      </c>
      <c r="Z36" s="305">
        <f t="shared" si="5"/>
        <v>0</v>
      </c>
      <c r="AA36" s="305">
        <f t="shared" si="5"/>
        <v>0</v>
      </c>
      <c r="AB36" s="305">
        <f t="shared" si="5"/>
        <v>0</v>
      </c>
      <c r="AC36" s="305">
        <f t="shared" si="5"/>
        <v>0</v>
      </c>
      <c r="AD36" s="305">
        <f t="shared" si="5"/>
        <v>0</v>
      </c>
      <c r="AE36" s="305">
        <f t="shared" si="5"/>
        <v>0</v>
      </c>
      <c r="AF36" s="305">
        <f t="shared" si="5"/>
        <v>0</v>
      </c>
      <c r="AG36" s="305">
        <f t="shared" si="5"/>
        <v>0</v>
      </c>
      <c r="AH36" s="305">
        <f t="shared" si="5"/>
        <v>0</v>
      </c>
      <c r="AI36" s="305">
        <f t="shared" si="5"/>
        <v>50000</v>
      </c>
      <c r="AJ36" s="305">
        <f t="shared" si="5"/>
        <v>50000</v>
      </c>
      <c r="AK36" s="305">
        <f t="shared" si="5"/>
        <v>50000</v>
      </c>
      <c r="AL36" s="305">
        <f t="shared" si="5"/>
        <v>50000</v>
      </c>
      <c r="AM36" s="242"/>
      <c r="AN36" s="305">
        <f aca="true" t="shared" si="7" ref="AN36:BB38">IF(AN$3=$E36,$D36,0)</f>
        <v>0</v>
      </c>
      <c r="AO36" s="305">
        <f t="shared" si="7"/>
        <v>0</v>
      </c>
      <c r="AP36" s="305">
        <f t="shared" si="7"/>
        <v>0</v>
      </c>
      <c r="AQ36" s="305">
        <f t="shared" si="7"/>
        <v>0</v>
      </c>
      <c r="AR36" s="305">
        <f t="shared" si="7"/>
        <v>0</v>
      </c>
      <c r="AS36" s="305">
        <f t="shared" si="7"/>
        <v>0</v>
      </c>
      <c r="AT36" s="305">
        <f t="shared" si="7"/>
        <v>0</v>
      </c>
      <c r="AU36" s="305">
        <f t="shared" si="7"/>
        <v>0</v>
      </c>
      <c r="AV36" s="305">
        <f t="shared" si="7"/>
        <v>0</v>
      </c>
      <c r="AW36" s="305">
        <f t="shared" si="7"/>
        <v>0</v>
      </c>
      <c r="AX36" s="305">
        <f t="shared" si="7"/>
        <v>0</v>
      </c>
      <c r="AY36" s="305">
        <f t="shared" si="7"/>
        <v>0</v>
      </c>
      <c r="AZ36" s="305">
        <f t="shared" si="7"/>
        <v>0</v>
      </c>
      <c r="BA36" s="305">
        <f t="shared" si="7"/>
        <v>0</v>
      </c>
      <c r="BB36" s="305">
        <f t="shared" si="7"/>
        <v>200000</v>
      </c>
      <c r="BD36" s="304">
        <f t="shared" si="6"/>
        <v>0</v>
      </c>
    </row>
    <row r="37" spans="1:56" ht="15">
      <c r="A37" s="300" t="s">
        <v>169</v>
      </c>
      <c r="B37" s="259" t="str">
        <f>VLOOKUP(A37,'DFP-Com'!$A$16:$B$50,2,1)</f>
        <v xml:space="preserve">     4.1.c  Audit</v>
      </c>
      <c r="C37" s="250" t="s">
        <v>207</v>
      </c>
      <c r="D37" s="326">
        <v>90000</v>
      </c>
      <c r="E37" s="300" t="s">
        <v>220</v>
      </c>
      <c r="K37" s="240"/>
      <c r="L37" s="240">
        <f>1/6</f>
        <v>0.16666666666666666</v>
      </c>
      <c r="M37" s="240">
        <f>1/6</f>
        <v>0.16666666666666666</v>
      </c>
      <c r="P37" s="240">
        <f>1/6</f>
        <v>0.16666666666666666</v>
      </c>
      <c r="Q37" s="240">
        <f>1/6</f>
        <v>0.16666666666666666</v>
      </c>
      <c r="T37" s="240">
        <f>1/3</f>
        <v>0.3333333333333333</v>
      </c>
      <c r="U37" s="303">
        <f t="shared" si="0"/>
        <v>1</v>
      </c>
      <c r="X37" s="305">
        <f t="shared" si="5"/>
        <v>0</v>
      </c>
      <c r="Y37" s="305">
        <f t="shared" si="5"/>
        <v>0</v>
      </c>
      <c r="Z37" s="305">
        <f t="shared" si="5"/>
        <v>0</v>
      </c>
      <c r="AA37" s="305">
        <f t="shared" si="5"/>
        <v>0</v>
      </c>
      <c r="AB37" s="305">
        <f t="shared" si="5"/>
        <v>0</v>
      </c>
      <c r="AC37" s="305">
        <f t="shared" si="5"/>
        <v>0</v>
      </c>
      <c r="AD37" s="305">
        <f t="shared" si="5"/>
        <v>15000</v>
      </c>
      <c r="AE37" s="305">
        <f t="shared" si="5"/>
        <v>15000</v>
      </c>
      <c r="AF37" s="305">
        <f t="shared" si="5"/>
        <v>0</v>
      </c>
      <c r="AG37" s="305">
        <f t="shared" si="5"/>
        <v>0</v>
      </c>
      <c r="AH37" s="305">
        <f t="shared" si="5"/>
        <v>15000</v>
      </c>
      <c r="AI37" s="305">
        <f t="shared" si="5"/>
        <v>15000</v>
      </c>
      <c r="AJ37" s="305">
        <f t="shared" si="5"/>
        <v>0</v>
      </c>
      <c r="AK37" s="305">
        <f t="shared" si="5"/>
        <v>0</v>
      </c>
      <c r="AL37" s="305">
        <f t="shared" si="5"/>
        <v>30000</v>
      </c>
      <c r="AM37" s="242"/>
      <c r="AN37" s="305">
        <f t="shared" si="7"/>
        <v>0</v>
      </c>
      <c r="AO37" s="305">
        <f t="shared" si="7"/>
        <v>0</v>
      </c>
      <c r="AP37" s="305">
        <f t="shared" si="7"/>
        <v>0</v>
      </c>
      <c r="AQ37" s="305">
        <f t="shared" si="7"/>
        <v>0</v>
      </c>
      <c r="AR37" s="305">
        <f t="shared" si="7"/>
        <v>90000</v>
      </c>
      <c r="AS37" s="305">
        <f t="shared" si="7"/>
        <v>0</v>
      </c>
      <c r="AT37" s="305">
        <f t="shared" si="7"/>
        <v>0</v>
      </c>
      <c r="AU37" s="305">
        <f t="shared" si="7"/>
        <v>0</v>
      </c>
      <c r="AV37" s="305">
        <f t="shared" si="7"/>
        <v>0</v>
      </c>
      <c r="AW37" s="305">
        <f t="shared" si="7"/>
        <v>0</v>
      </c>
      <c r="AX37" s="305">
        <f t="shared" si="7"/>
        <v>0</v>
      </c>
      <c r="AY37" s="305">
        <f t="shared" si="7"/>
        <v>0</v>
      </c>
      <c r="AZ37" s="305">
        <f t="shared" si="7"/>
        <v>0</v>
      </c>
      <c r="BA37" s="305">
        <f t="shared" si="7"/>
        <v>0</v>
      </c>
      <c r="BB37" s="305">
        <f t="shared" si="7"/>
        <v>0</v>
      </c>
      <c r="BD37" s="304">
        <f t="shared" si="6"/>
        <v>0</v>
      </c>
    </row>
    <row r="38" spans="1:56" ht="15">
      <c r="A38" s="300" t="s">
        <v>170</v>
      </c>
      <c r="B38" s="259" t="str">
        <f>VLOOKUP(A38,'DFP-Com'!$A$16:$B$50,2,1)</f>
        <v xml:space="preserve">     4.1.d  Other</v>
      </c>
      <c r="C38" s="250" t="s">
        <v>208</v>
      </c>
      <c r="D38" s="316">
        <v>11500</v>
      </c>
      <c r="E38" s="300" t="s">
        <v>219</v>
      </c>
      <c r="G38" s="315">
        <v>0.67</v>
      </c>
      <c r="H38" s="321">
        <v>0.33</v>
      </c>
      <c r="U38" s="303">
        <f t="shared" si="0"/>
        <v>1</v>
      </c>
      <c r="X38" s="305">
        <f aca="true" t="shared" si="8" ref="X38:AL38">F38*$D38</f>
        <v>0</v>
      </c>
      <c r="Y38" s="305">
        <f t="shared" si="8"/>
        <v>7705.000000000001</v>
      </c>
      <c r="Z38" s="305">
        <f t="shared" si="8"/>
        <v>3795</v>
      </c>
      <c r="AA38" s="305">
        <f t="shared" si="8"/>
        <v>0</v>
      </c>
      <c r="AB38" s="305">
        <f t="shared" si="8"/>
        <v>0</v>
      </c>
      <c r="AC38" s="305">
        <f t="shared" si="8"/>
        <v>0</v>
      </c>
      <c r="AD38" s="305">
        <f t="shared" si="8"/>
        <v>0</v>
      </c>
      <c r="AE38" s="305">
        <f t="shared" si="8"/>
        <v>0</v>
      </c>
      <c r="AF38" s="305">
        <f t="shared" si="8"/>
        <v>0</v>
      </c>
      <c r="AG38" s="305">
        <f t="shared" si="8"/>
        <v>0</v>
      </c>
      <c r="AH38" s="305">
        <f t="shared" si="8"/>
        <v>0</v>
      </c>
      <c r="AI38" s="305">
        <f t="shared" si="8"/>
        <v>0</v>
      </c>
      <c r="AJ38" s="305">
        <f t="shared" si="8"/>
        <v>0</v>
      </c>
      <c r="AK38" s="305">
        <f t="shared" si="8"/>
        <v>0</v>
      </c>
      <c r="AL38" s="305">
        <f t="shared" si="8"/>
        <v>0</v>
      </c>
      <c r="AM38" s="242"/>
      <c r="AN38" s="305">
        <f t="shared" si="7"/>
        <v>0</v>
      </c>
      <c r="AO38" s="305">
        <f t="shared" si="7"/>
        <v>11500</v>
      </c>
      <c r="AP38" s="305">
        <f t="shared" si="7"/>
        <v>0</v>
      </c>
      <c r="AQ38" s="305">
        <f t="shared" si="7"/>
        <v>0</v>
      </c>
      <c r="AR38" s="305">
        <f t="shared" si="7"/>
        <v>0</v>
      </c>
      <c r="AS38" s="305">
        <f t="shared" si="7"/>
        <v>0</v>
      </c>
      <c r="AT38" s="305">
        <f t="shared" si="7"/>
        <v>0</v>
      </c>
      <c r="AU38" s="305">
        <f t="shared" si="7"/>
        <v>0</v>
      </c>
      <c r="AV38" s="305">
        <f t="shared" si="7"/>
        <v>0</v>
      </c>
      <c r="AW38" s="305">
        <f t="shared" si="7"/>
        <v>0</v>
      </c>
      <c r="AX38" s="305">
        <f t="shared" si="7"/>
        <v>0</v>
      </c>
      <c r="AY38" s="305">
        <f t="shared" si="7"/>
        <v>0</v>
      </c>
      <c r="AZ38" s="305">
        <f t="shared" si="7"/>
        <v>0</v>
      </c>
      <c r="BA38" s="305">
        <f t="shared" si="7"/>
        <v>0</v>
      </c>
      <c r="BB38" s="305">
        <f t="shared" si="7"/>
        <v>0</v>
      </c>
      <c r="BD38" s="304">
        <f t="shared" si="6"/>
        <v>0</v>
      </c>
    </row>
    <row r="39" spans="2:56" ht="15">
      <c r="B39" s="259"/>
      <c r="C39" s="250"/>
      <c r="D39" s="236"/>
      <c r="Q39" s="303"/>
      <c r="R39" s="303"/>
      <c r="S39" s="303"/>
      <c r="T39" s="303"/>
      <c r="U39" s="303"/>
      <c r="X39" s="305"/>
      <c r="Y39" s="305"/>
      <c r="Z39" s="305"/>
      <c r="AA39" s="305"/>
      <c r="AB39" s="305"/>
      <c r="AC39" s="305"/>
      <c r="AD39" s="305"/>
      <c r="AE39" s="305"/>
      <c r="AF39" s="305"/>
      <c r="AG39" s="305"/>
      <c r="AH39" s="305"/>
      <c r="AI39" s="305"/>
      <c r="AJ39" s="305"/>
      <c r="AK39" s="305"/>
      <c r="AL39" s="305"/>
      <c r="AM39" s="242"/>
      <c r="AN39" s="305"/>
      <c r="AO39" s="305"/>
      <c r="AP39" s="305"/>
      <c r="AQ39" s="305"/>
      <c r="AR39" s="305"/>
      <c r="AS39" s="305"/>
      <c r="AT39" s="305"/>
      <c r="AU39" s="305"/>
      <c r="AV39" s="305"/>
      <c r="AW39" s="305"/>
      <c r="AX39" s="305"/>
      <c r="AY39" s="305"/>
      <c r="AZ39" s="305"/>
      <c r="BA39" s="305"/>
      <c r="BB39" s="305"/>
      <c r="BD39" s="304"/>
    </row>
    <row r="40" spans="2:56" ht="15">
      <c r="B40" s="239" t="e">
        <f>VLOOKUP(A40,'DFP-Com'!$A$16:$B$50,2,1)</f>
        <v>#N/A</v>
      </c>
      <c r="C40" s="300" t="s">
        <v>224</v>
      </c>
      <c r="D40" s="236"/>
      <c r="X40" s="305">
        <f aca="true" t="shared" si="9" ref="X40:AL40">F40*$D40</f>
        <v>0</v>
      </c>
      <c r="Y40" s="305">
        <f t="shared" si="9"/>
        <v>0</v>
      </c>
      <c r="Z40" s="305">
        <f t="shared" si="9"/>
        <v>0</v>
      </c>
      <c r="AA40" s="305">
        <f t="shared" si="9"/>
        <v>0</v>
      </c>
      <c r="AB40" s="305">
        <f t="shared" si="9"/>
        <v>0</v>
      </c>
      <c r="AC40" s="305">
        <f t="shared" si="9"/>
        <v>0</v>
      </c>
      <c r="AD40" s="305">
        <f t="shared" si="9"/>
        <v>0</v>
      </c>
      <c r="AE40" s="305">
        <f t="shared" si="9"/>
        <v>0</v>
      </c>
      <c r="AF40" s="305">
        <f t="shared" si="9"/>
        <v>0</v>
      </c>
      <c r="AG40" s="305">
        <f t="shared" si="9"/>
        <v>0</v>
      </c>
      <c r="AH40" s="305">
        <f t="shared" si="9"/>
        <v>0</v>
      </c>
      <c r="AI40" s="305">
        <f t="shared" si="9"/>
        <v>0</v>
      </c>
      <c r="AJ40" s="305">
        <f t="shared" si="9"/>
        <v>0</v>
      </c>
      <c r="AK40" s="305">
        <f t="shared" si="9"/>
        <v>0</v>
      </c>
      <c r="AL40" s="305">
        <f t="shared" si="9"/>
        <v>0</v>
      </c>
      <c r="AM40" s="242"/>
      <c r="AN40" s="305">
        <f aca="true" t="shared" si="10" ref="AN40:BB40">IF(AN$3=$E40,$D40,0)</f>
        <v>0</v>
      </c>
      <c r="AO40" s="305">
        <f t="shared" si="10"/>
        <v>0</v>
      </c>
      <c r="AP40" s="305">
        <f t="shared" si="10"/>
        <v>0</v>
      </c>
      <c r="AQ40" s="305">
        <f t="shared" si="10"/>
        <v>0</v>
      </c>
      <c r="AR40" s="305">
        <f t="shared" si="10"/>
        <v>0</v>
      </c>
      <c r="AS40" s="305">
        <f t="shared" si="10"/>
        <v>0</v>
      </c>
      <c r="AT40" s="305">
        <f t="shared" si="10"/>
        <v>0</v>
      </c>
      <c r="AU40" s="305">
        <f t="shared" si="10"/>
        <v>0</v>
      </c>
      <c r="AV40" s="305">
        <f t="shared" si="10"/>
        <v>0</v>
      </c>
      <c r="AW40" s="305">
        <f t="shared" si="10"/>
        <v>0</v>
      </c>
      <c r="AX40" s="305">
        <f t="shared" si="10"/>
        <v>0</v>
      </c>
      <c r="AY40" s="305">
        <f t="shared" si="10"/>
        <v>0</v>
      </c>
      <c r="AZ40" s="305">
        <f t="shared" si="10"/>
        <v>0</v>
      </c>
      <c r="BA40" s="305">
        <f t="shared" si="10"/>
        <v>0</v>
      </c>
      <c r="BB40" s="305">
        <f t="shared" si="10"/>
        <v>0</v>
      </c>
      <c r="BD40" s="304">
        <f aca="true" t="shared" si="11" ref="BD40:BD55">SUM(X40:AL40)-SUM(AN40:BB40)</f>
        <v>0</v>
      </c>
    </row>
    <row r="41" spans="4:56" ht="15">
      <c r="D41" s="300" t="s">
        <v>189</v>
      </c>
      <c r="F41" s="300" t="s">
        <v>172</v>
      </c>
      <c r="G41" s="300" t="s">
        <v>176</v>
      </c>
      <c r="H41" s="317" t="s">
        <v>177</v>
      </c>
      <c r="I41" s="300" t="s">
        <v>178</v>
      </c>
      <c r="J41" s="300" t="s">
        <v>179</v>
      </c>
      <c r="K41" s="300" t="s">
        <v>180</v>
      </c>
      <c r="L41" s="300" t="s">
        <v>181</v>
      </c>
      <c r="M41" s="300" t="s">
        <v>182</v>
      </c>
      <c r="N41" s="300" t="s">
        <v>183</v>
      </c>
      <c r="O41" s="300" t="s">
        <v>184</v>
      </c>
      <c r="P41" s="300" t="s">
        <v>185</v>
      </c>
      <c r="Q41" s="300" t="s">
        <v>186</v>
      </c>
      <c r="R41" s="300" t="s">
        <v>187</v>
      </c>
      <c r="S41" s="300" t="s">
        <v>188</v>
      </c>
      <c r="T41" s="300" t="s">
        <v>190</v>
      </c>
      <c r="U41" s="300" t="s">
        <v>189</v>
      </c>
      <c r="X41" s="305"/>
      <c r="Y41" s="305"/>
      <c r="Z41" s="305"/>
      <c r="AA41" s="305"/>
      <c r="AB41" s="305"/>
      <c r="AC41" s="305"/>
      <c r="AD41" s="305"/>
      <c r="AE41" s="305"/>
      <c r="AF41" s="305"/>
      <c r="AG41" s="305"/>
      <c r="AH41" s="305"/>
      <c r="AI41" s="305"/>
      <c r="AJ41" s="305"/>
      <c r="AK41" s="305"/>
      <c r="AL41" s="305"/>
      <c r="AM41" s="242"/>
      <c r="AN41" s="242"/>
      <c r="AO41" s="242"/>
      <c r="AP41" s="242"/>
      <c r="AQ41" s="242"/>
      <c r="AR41" s="242"/>
      <c r="AS41" s="242"/>
      <c r="AT41" s="242"/>
      <c r="AU41" s="242"/>
      <c r="AV41" s="242"/>
      <c r="AW41" s="242"/>
      <c r="AX41" s="242"/>
      <c r="AY41" s="242"/>
      <c r="AZ41" s="242"/>
      <c r="BA41" s="242"/>
      <c r="BB41" s="242"/>
      <c r="BD41" s="304">
        <f t="shared" si="11"/>
        <v>0</v>
      </c>
    </row>
    <row r="42" spans="1:56" ht="15">
      <c r="A42" s="238" t="s">
        <v>216</v>
      </c>
      <c r="B42" s="238"/>
      <c r="D42" s="236"/>
      <c r="X42" s="254"/>
      <c r="Y42" s="305"/>
      <c r="Z42" s="305"/>
      <c r="AA42" s="305"/>
      <c r="AB42" s="305"/>
      <c r="AC42" s="305"/>
      <c r="AD42" s="305"/>
      <c r="AE42" s="305"/>
      <c r="AF42" s="305"/>
      <c r="AG42" s="305"/>
      <c r="AH42" s="305"/>
      <c r="AI42" s="305"/>
      <c r="AJ42" s="305"/>
      <c r="AK42" s="305"/>
      <c r="AL42" s="305"/>
      <c r="AM42" s="242"/>
      <c r="AN42" s="241" t="s">
        <v>172</v>
      </c>
      <c r="AO42" s="241" t="s">
        <v>176</v>
      </c>
      <c r="AP42" s="241" t="s">
        <v>177</v>
      </c>
      <c r="AQ42" s="241" t="s">
        <v>178</v>
      </c>
      <c r="AR42" s="241" t="s">
        <v>172</v>
      </c>
      <c r="AS42" s="241" t="s">
        <v>176</v>
      </c>
      <c r="AT42" s="241" t="s">
        <v>177</v>
      </c>
      <c r="AU42" s="241" t="s">
        <v>178</v>
      </c>
      <c r="AV42" s="241" t="s">
        <v>172</v>
      </c>
      <c r="AW42" s="241" t="s">
        <v>176</v>
      </c>
      <c r="AX42" s="241" t="s">
        <v>177</v>
      </c>
      <c r="AY42" s="241" t="s">
        <v>178</v>
      </c>
      <c r="AZ42" s="241" t="s">
        <v>172</v>
      </c>
      <c r="BA42" s="241" t="s">
        <v>176</v>
      </c>
      <c r="BB42" s="241" t="s">
        <v>177</v>
      </c>
      <c r="BD42" s="304">
        <f t="shared" si="11"/>
        <v>0</v>
      </c>
    </row>
    <row r="43" spans="1:56" ht="15">
      <c r="A43" s="300" t="s">
        <v>157</v>
      </c>
      <c r="B43" s="248" t="str">
        <f>VLOOKUP(A43,'DFP-Com'!$A$16:$B$50,2,1)</f>
        <v xml:space="preserve">     1.3.b  Education Project Coordination team*</v>
      </c>
      <c r="C43" s="300" t="s">
        <v>195</v>
      </c>
      <c r="D43" s="236">
        <f aca="true" t="shared" si="12" ref="D43:D49">SUM(F43:T43)</f>
        <v>121400</v>
      </c>
      <c r="E43" s="300" t="s">
        <v>219</v>
      </c>
      <c r="G43" s="307">
        <v>4400</v>
      </c>
      <c r="H43" s="322">
        <v>9000</v>
      </c>
      <c r="I43" s="307">
        <v>9000</v>
      </c>
      <c r="J43" s="307">
        <v>9000</v>
      </c>
      <c r="K43" s="307">
        <v>9000</v>
      </c>
      <c r="L43" s="307">
        <v>9000</v>
      </c>
      <c r="M43" s="307">
        <v>9000</v>
      </c>
      <c r="N43" s="307">
        <v>9000</v>
      </c>
      <c r="O43" s="307">
        <v>9000</v>
      </c>
      <c r="P43" s="307">
        <v>9000</v>
      </c>
      <c r="Q43" s="307">
        <v>9000</v>
      </c>
      <c r="R43" s="307">
        <v>9000</v>
      </c>
      <c r="S43" s="307">
        <v>9000</v>
      </c>
      <c r="T43" s="307">
        <v>9000</v>
      </c>
      <c r="U43" s="307">
        <f>SUM(F43:T43)</f>
        <v>121400</v>
      </c>
      <c r="X43" s="254">
        <f aca="true" t="shared" si="13" ref="X43:AL51">F43</f>
        <v>0</v>
      </c>
      <c r="Y43" s="305">
        <f t="shared" si="13"/>
        <v>4400</v>
      </c>
      <c r="Z43" s="305">
        <f t="shared" si="13"/>
        <v>9000</v>
      </c>
      <c r="AA43" s="305">
        <f t="shared" si="13"/>
        <v>9000</v>
      </c>
      <c r="AB43" s="305">
        <f t="shared" si="13"/>
        <v>9000</v>
      </c>
      <c r="AC43" s="305">
        <f t="shared" si="13"/>
        <v>9000</v>
      </c>
      <c r="AD43" s="305">
        <f t="shared" si="13"/>
        <v>9000</v>
      </c>
      <c r="AE43" s="305">
        <f t="shared" si="13"/>
        <v>9000</v>
      </c>
      <c r="AF43" s="305">
        <f t="shared" si="13"/>
        <v>9000</v>
      </c>
      <c r="AG43" s="305">
        <f t="shared" si="13"/>
        <v>9000</v>
      </c>
      <c r="AH43" s="305">
        <f t="shared" si="13"/>
        <v>9000</v>
      </c>
      <c r="AI43" s="305">
        <f t="shared" si="13"/>
        <v>9000</v>
      </c>
      <c r="AJ43" s="305">
        <f t="shared" si="13"/>
        <v>9000</v>
      </c>
      <c r="AK43" s="305">
        <f t="shared" si="13"/>
        <v>9000</v>
      </c>
      <c r="AL43" s="305">
        <f t="shared" si="13"/>
        <v>9000</v>
      </c>
      <c r="AM43" s="242"/>
      <c r="AN43" s="305">
        <f>IF(AN$42=$E43,SUM(X43:AA43),0)</f>
        <v>0</v>
      </c>
      <c r="AO43" s="305">
        <f aca="true" t="shared" si="14" ref="AO43:AY51">IF(AO$42=$E43,SUM(Y43:AB43),0)</f>
        <v>31400</v>
      </c>
      <c r="AP43" s="305">
        <f t="shared" si="14"/>
        <v>0</v>
      </c>
      <c r="AQ43" s="305">
        <f t="shared" si="14"/>
        <v>0</v>
      </c>
      <c r="AR43" s="305">
        <f t="shared" si="14"/>
        <v>0</v>
      </c>
      <c r="AS43" s="305">
        <f t="shared" si="14"/>
        <v>36000</v>
      </c>
      <c r="AT43" s="305">
        <f t="shared" si="14"/>
        <v>0</v>
      </c>
      <c r="AU43" s="305">
        <f t="shared" si="14"/>
        <v>0</v>
      </c>
      <c r="AV43" s="305">
        <f t="shared" si="14"/>
        <v>0</v>
      </c>
      <c r="AW43" s="305">
        <f t="shared" si="14"/>
        <v>36000</v>
      </c>
      <c r="AX43" s="305">
        <f t="shared" si="14"/>
        <v>0</v>
      </c>
      <c r="AY43" s="305">
        <f t="shared" si="14"/>
        <v>0</v>
      </c>
      <c r="AZ43" s="305">
        <f>IF(AZ$42=$E43,SUM(AJ43:$AL43),0)</f>
        <v>0</v>
      </c>
      <c r="BA43" s="305">
        <f>IF(BA$42=$E43,SUM(AK43:$AL43),0)</f>
        <v>18000</v>
      </c>
      <c r="BB43" s="305">
        <f>IF(BB$42=$E43,SUM(AL43:$AL43),0)</f>
        <v>0</v>
      </c>
      <c r="BD43" s="304">
        <f t="shared" si="11"/>
        <v>0</v>
      </c>
    </row>
    <row r="44" spans="1:56" ht="15">
      <c r="A44" s="300" t="s">
        <v>157</v>
      </c>
      <c r="B44" s="248" t="str">
        <f>VLOOKUP(A44,'DFP-Com'!$A$16:$B$50,2,1)</f>
        <v xml:space="preserve">     1.3.b  Education Project Coordination team*</v>
      </c>
      <c r="C44" s="300" t="s">
        <v>214</v>
      </c>
      <c r="D44" s="236">
        <f t="shared" si="12"/>
        <v>57000</v>
      </c>
      <c r="E44" s="300" t="s">
        <v>191</v>
      </c>
      <c r="G44" s="300">
        <v>0</v>
      </c>
      <c r="H44" s="322">
        <v>3000</v>
      </c>
      <c r="I44" s="307">
        <v>4500</v>
      </c>
      <c r="J44" s="307">
        <v>4500</v>
      </c>
      <c r="K44" s="307">
        <v>4500</v>
      </c>
      <c r="L44" s="307">
        <v>4500</v>
      </c>
      <c r="M44" s="307">
        <v>4500</v>
      </c>
      <c r="N44" s="307">
        <v>4500</v>
      </c>
      <c r="O44" s="307">
        <v>4500</v>
      </c>
      <c r="P44" s="307">
        <v>4500</v>
      </c>
      <c r="Q44" s="307">
        <v>4500</v>
      </c>
      <c r="R44" s="307">
        <v>4500</v>
      </c>
      <c r="S44" s="307">
        <v>4500</v>
      </c>
      <c r="T44" s="307">
        <v>4500</v>
      </c>
      <c r="U44" s="307">
        <f aca="true" t="shared" si="15" ref="U44:U55">SUM(F44:T44)</f>
        <v>57000</v>
      </c>
      <c r="X44" s="254">
        <f t="shared" si="13"/>
        <v>0</v>
      </c>
      <c r="Y44" s="305">
        <f t="shared" si="13"/>
        <v>0</v>
      </c>
      <c r="Z44" s="305">
        <f t="shared" si="13"/>
        <v>3000</v>
      </c>
      <c r="AA44" s="305">
        <f t="shared" si="13"/>
        <v>4500</v>
      </c>
      <c r="AB44" s="305">
        <f t="shared" si="13"/>
        <v>4500</v>
      </c>
      <c r="AC44" s="305">
        <f t="shared" si="13"/>
        <v>4500</v>
      </c>
      <c r="AD44" s="305">
        <f t="shared" si="13"/>
        <v>4500</v>
      </c>
      <c r="AE44" s="305">
        <f t="shared" si="13"/>
        <v>4500</v>
      </c>
      <c r="AF44" s="305">
        <f t="shared" si="13"/>
        <v>4500</v>
      </c>
      <c r="AG44" s="305">
        <f t="shared" si="13"/>
        <v>4500</v>
      </c>
      <c r="AH44" s="305">
        <f t="shared" si="13"/>
        <v>4500</v>
      </c>
      <c r="AI44" s="305">
        <f t="shared" si="13"/>
        <v>4500</v>
      </c>
      <c r="AJ44" s="305">
        <f t="shared" si="13"/>
        <v>4500</v>
      </c>
      <c r="AK44" s="305">
        <f t="shared" si="13"/>
        <v>4500</v>
      </c>
      <c r="AL44" s="305">
        <f t="shared" si="13"/>
        <v>4500</v>
      </c>
      <c r="AM44" s="242"/>
      <c r="AN44" s="305">
        <f aca="true" t="shared" si="16" ref="AN44:AN51">IF(AN$42=$E44,SUM(X44:AA44),0)</f>
        <v>0</v>
      </c>
      <c r="AO44" s="305">
        <f t="shared" si="14"/>
        <v>0</v>
      </c>
      <c r="AP44" s="305">
        <f t="shared" si="14"/>
        <v>16500</v>
      </c>
      <c r="AQ44" s="305">
        <f t="shared" si="14"/>
        <v>0</v>
      </c>
      <c r="AR44" s="305">
        <f t="shared" si="14"/>
        <v>0</v>
      </c>
      <c r="AS44" s="305">
        <f t="shared" si="14"/>
        <v>0</v>
      </c>
      <c r="AT44" s="305">
        <f t="shared" si="14"/>
        <v>18000</v>
      </c>
      <c r="AU44" s="305">
        <f t="shared" si="14"/>
        <v>0</v>
      </c>
      <c r="AV44" s="305">
        <f t="shared" si="14"/>
        <v>0</v>
      </c>
      <c r="AW44" s="305">
        <f t="shared" si="14"/>
        <v>0</v>
      </c>
      <c r="AX44" s="305">
        <f t="shared" si="14"/>
        <v>18000</v>
      </c>
      <c r="AY44" s="305">
        <f t="shared" si="14"/>
        <v>0</v>
      </c>
      <c r="AZ44" s="305">
        <f>IF(AZ$42=$E44,SUM(AJ44:$AL44),0)</f>
        <v>0</v>
      </c>
      <c r="BA44" s="305">
        <f>IF(BA$42=$E44,SUM(AK44:$AL44),0)</f>
        <v>0</v>
      </c>
      <c r="BB44" s="305">
        <f>IF(BB$42=$E44,SUM(AL44:$AL44),0)</f>
        <v>4500</v>
      </c>
      <c r="BD44" s="304">
        <f t="shared" si="11"/>
        <v>0</v>
      </c>
    </row>
    <row r="45" spans="1:56" ht="15">
      <c r="A45" s="300" t="s">
        <v>167</v>
      </c>
      <c r="B45" s="259" t="str">
        <f>VLOOKUP(A45,'DFP-Com'!$A$16:$B$50,2,1)</f>
        <v xml:space="preserve">     4.1.a  Staff Compensation*</v>
      </c>
      <c r="C45" s="300" t="s">
        <v>206</v>
      </c>
      <c r="D45" s="236">
        <f t="shared" si="12"/>
        <v>181000</v>
      </c>
      <c r="E45" s="300" t="s">
        <v>221</v>
      </c>
      <c r="F45" s="307">
        <v>10000</v>
      </c>
      <c r="G45" s="307">
        <f>15000</f>
        <v>15000</v>
      </c>
      <c r="H45" s="322">
        <v>12000</v>
      </c>
      <c r="I45" s="307">
        <v>12000</v>
      </c>
      <c r="J45" s="307">
        <v>12000</v>
      </c>
      <c r="K45" s="307">
        <v>12000</v>
      </c>
      <c r="L45" s="307">
        <v>12000</v>
      </c>
      <c r="M45" s="307">
        <v>12000</v>
      </c>
      <c r="N45" s="307">
        <v>12000</v>
      </c>
      <c r="O45" s="307">
        <v>12000</v>
      </c>
      <c r="P45" s="307">
        <v>12000</v>
      </c>
      <c r="Q45" s="307">
        <v>12000</v>
      </c>
      <c r="R45" s="307">
        <v>12000</v>
      </c>
      <c r="S45" s="307">
        <v>12000</v>
      </c>
      <c r="T45" s="307">
        <v>12000</v>
      </c>
      <c r="U45" s="307">
        <f t="shared" si="15"/>
        <v>181000</v>
      </c>
      <c r="X45" s="254">
        <f t="shared" si="13"/>
        <v>10000</v>
      </c>
      <c r="Y45" s="305">
        <f t="shared" si="13"/>
        <v>15000</v>
      </c>
      <c r="Z45" s="305">
        <f t="shared" si="13"/>
        <v>12000</v>
      </c>
      <c r="AA45" s="305">
        <f t="shared" si="13"/>
        <v>12000</v>
      </c>
      <c r="AB45" s="305">
        <f t="shared" si="13"/>
        <v>12000</v>
      </c>
      <c r="AC45" s="305">
        <f t="shared" si="13"/>
        <v>12000</v>
      </c>
      <c r="AD45" s="305">
        <f t="shared" si="13"/>
        <v>12000</v>
      </c>
      <c r="AE45" s="305">
        <f t="shared" si="13"/>
        <v>12000</v>
      </c>
      <c r="AF45" s="305">
        <f t="shared" si="13"/>
        <v>12000</v>
      </c>
      <c r="AG45" s="305">
        <f t="shared" si="13"/>
        <v>12000</v>
      </c>
      <c r="AH45" s="305">
        <f t="shared" si="13"/>
        <v>12000</v>
      </c>
      <c r="AI45" s="305">
        <f t="shared" si="13"/>
        <v>12000</v>
      </c>
      <c r="AJ45" s="305">
        <f t="shared" si="13"/>
        <v>12000</v>
      </c>
      <c r="AK45" s="305">
        <f t="shared" si="13"/>
        <v>12000</v>
      </c>
      <c r="AL45" s="305">
        <f t="shared" si="13"/>
        <v>12000</v>
      </c>
      <c r="AM45" s="242"/>
      <c r="AN45" s="305">
        <f t="shared" si="16"/>
        <v>49000</v>
      </c>
      <c r="AO45" s="305">
        <f t="shared" si="14"/>
        <v>0</v>
      </c>
      <c r="AP45" s="305">
        <f t="shared" si="14"/>
        <v>0</v>
      </c>
      <c r="AQ45" s="305">
        <f t="shared" si="14"/>
        <v>0</v>
      </c>
      <c r="AR45" s="305">
        <f t="shared" si="14"/>
        <v>48000</v>
      </c>
      <c r="AS45" s="305">
        <f t="shared" si="14"/>
        <v>0</v>
      </c>
      <c r="AT45" s="305">
        <f t="shared" si="14"/>
        <v>0</v>
      </c>
      <c r="AU45" s="305">
        <f t="shared" si="14"/>
        <v>0</v>
      </c>
      <c r="AV45" s="305">
        <f t="shared" si="14"/>
        <v>48000</v>
      </c>
      <c r="AW45" s="305">
        <f t="shared" si="14"/>
        <v>0</v>
      </c>
      <c r="AX45" s="305">
        <f t="shared" si="14"/>
        <v>0</v>
      </c>
      <c r="AY45" s="305">
        <f t="shared" si="14"/>
        <v>0</v>
      </c>
      <c r="AZ45" s="305">
        <f>IF(AZ$42=$E45,SUM(AJ45:$AL45),0)</f>
        <v>36000</v>
      </c>
      <c r="BA45" s="305">
        <f>IF(BA$42=$E45,SUM(AK45:$AL45),0)</f>
        <v>0</v>
      </c>
      <c r="BB45" s="305">
        <f>IF(BB$42=$E45,SUM(AL45:$AL45),0)</f>
        <v>0</v>
      </c>
      <c r="BD45" s="304">
        <f t="shared" si="11"/>
        <v>0</v>
      </c>
    </row>
    <row r="46" spans="1:56" ht="15">
      <c r="A46" s="300" t="s">
        <v>167</v>
      </c>
      <c r="B46" s="259" t="str">
        <f>VLOOKUP(A46,'DFP-Com'!$A$16:$B$50,2,1)</f>
        <v xml:space="preserve">     4.1.a  Staff Compensation*</v>
      </c>
      <c r="C46" s="300" t="s">
        <v>261</v>
      </c>
      <c r="D46" s="236">
        <f t="shared" si="12"/>
        <v>57000</v>
      </c>
      <c r="E46" s="300" t="s">
        <v>191</v>
      </c>
      <c r="G46" s="307">
        <v>0</v>
      </c>
      <c r="H46" s="322">
        <f>3000</f>
        <v>3000</v>
      </c>
      <c r="I46" s="307">
        <v>4500</v>
      </c>
      <c r="J46" s="307">
        <v>4500</v>
      </c>
      <c r="K46" s="307">
        <v>4500</v>
      </c>
      <c r="L46" s="307">
        <v>4500</v>
      </c>
      <c r="M46" s="307">
        <v>4500</v>
      </c>
      <c r="N46" s="307">
        <v>4500</v>
      </c>
      <c r="O46" s="307">
        <v>4500</v>
      </c>
      <c r="P46" s="307">
        <v>4500</v>
      </c>
      <c r="Q46" s="307">
        <v>4500</v>
      </c>
      <c r="R46" s="307">
        <v>4500</v>
      </c>
      <c r="S46" s="307">
        <v>4500</v>
      </c>
      <c r="T46" s="307">
        <v>4500</v>
      </c>
      <c r="U46" s="307">
        <f t="shared" si="15"/>
        <v>57000</v>
      </c>
      <c r="X46" s="254">
        <f t="shared" si="13"/>
        <v>0</v>
      </c>
      <c r="Y46" s="305">
        <f t="shared" si="13"/>
        <v>0</v>
      </c>
      <c r="Z46" s="305">
        <f t="shared" si="13"/>
        <v>3000</v>
      </c>
      <c r="AA46" s="305">
        <f t="shared" si="13"/>
        <v>4500</v>
      </c>
      <c r="AB46" s="305">
        <f t="shared" si="13"/>
        <v>4500</v>
      </c>
      <c r="AC46" s="305">
        <f t="shared" si="13"/>
        <v>4500</v>
      </c>
      <c r="AD46" s="305">
        <f t="shared" si="13"/>
        <v>4500</v>
      </c>
      <c r="AE46" s="305">
        <f t="shared" si="13"/>
        <v>4500</v>
      </c>
      <c r="AF46" s="305">
        <f t="shared" si="13"/>
        <v>4500</v>
      </c>
      <c r="AG46" s="305">
        <f t="shared" si="13"/>
        <v>4500</v>
      </c>
      <c r="AH46" s="305">
        <f t="shared" si="13"/>
        <v>4500</v>
      </c>
      <c r="AI46" s="305">
        <f t="shared" si="13"/>
        <v>4500</v>
      </c>
      <c r="AJ46" s="305">
        <f t="shared" si="13"/>
        <v>4500</v>
      </c>
      <c r="AK46" s="305">
        <f t="shared" si="13"/>
        <v>4500</v>
      </c>
      <c r="AL46" s="305">
        <f t="shared" si="13"/>
        <v>4500</v>
      </c>
      <c r="AM46" s="242"/>
      <c r="AN46" s="305">
        <f t="shared" si="16"/>
        <v>0</v>
      </c>
      <c r="AO46" s="305">
        <f t="shared" si="14"/>
        <v>0</v>
      </c>
      <c r="AP46" s="305">
        <f>IF(AP$42=$E46,SUM(Z46:AC46),0)</f>
        <v>16500</v>
      </c>
      <c r="AQ46" s="305">
        <f t="shared" si="14"/>
        <v>0</v>
      </c>
      <c r="AR46" s="305">
        <f t="shared" si="14"/>
        <v>0</v>
      </c>
      <c r="AS46" s="305">
        <f t="shared" si="14"/>
        <v>0</v>
      </c>
      <c r="AT46" s="305">
        <f t="shared" si="14"/>
        <v>18000</v>
      </c>
      <c r="AU46" s="305">
        <f t="shared" si="14"/>
        <v>0</v>
      </c>
      <c r="AV46" s="305">
        <f t="shared" si="14"/>
        <v>0</v>
      </c>
      <c r="AW46" s="305">
        <f t="shared" si="14"/>
        <v>0</v>
      </c>
      <c r="AX46" s="305">
        <f t="shared" si="14"/>
        <v>18000</v>
      </c>
      <c r="AY46" s="305">
        <f t="shared" si="14"/>
        <v>0</v>
      </c>
      <c r="AZ46" s="305">
        <f>IF(AZ$42=$E46,SUM(AJ46:$AL46),0)</f>
        <v>0</v>
      </c>
      <c r="BA46" s="305">
        <f>IF(BA$42=$E46,SUM(AK46:$AL46),0)</f>
        <v>0</v>
      </c>
      <c r="BB46" s="305">
        <f>IF(BB$42=$E46,SUM(AL46:$AL46),0)</f>
        <v>4500</v>
      </c>
      <c r="BD46" s="304">
        <f t="shared" si="11"/>
        <v>0</v>
      </c>
    </row>
    <row r="47" spans="1:56" ht="15">
      <c r="A47" s="300" t="s">
        <v>167</v>
      </c>
      <c r="B47" s="259" t="str">
        <f>VLOOKUP(A47,'DFP-Com'!$A$16:$B$50,2,1)</f>
        <v xml:space="preserve">     4.1.a  Staff Compensation*</v>
      </c>
      <c r="C47" s="300" t="s">
        <v>211</v>
      </c>
      <c r="D47" s="236">
        <f t="shared" si="12"/>
        <v>147000</v>
      </c>
      <c r="E47" s="300" t="s">
        <v>219</v>
      </c>
      <c r="G47" s="307">
        <v>10500</v>
      </c>
      <c r="H47" s="322">
        <f>3500*3</f>
        <v>10500</v>
      </c>
      <c r="I47" s="307">
        <v>10500</v>
      </c>
      <c r="J47" s="307">
        <v>10500</v>
      </c>
      <c r="K47" s="307">
        <v>10500</v>
      </c>
      <c r="L47" s="307">
        <v>10500</v>
      </c>
      <c r="M47" s="307">
        <v>10500</v>
      </c>
      <c r="N47" s="307">
        <v>10500</v>
      </c>
      <c r="O47" s="307">
        <v>10500</v>
      </c>
      <c r="P47" s="307">
        <v>10500</v>
      </c>
      <c r="Q47" s="307">
        <v>10500</v>
      </c>
      <c r="R47" s="307">
        <v>10500</v>
      </c>
      <c r="S47" s="307">
        <v>10500</v>
      </c>
      <c r="T47" s="307">
        <v>10500</v>
      </c>
      <c r="U47" s="307">
        <f t="shared" si="15"/>
        <v>147000</v>
      </c>
      <c r="X47" s="254">
        <f t="shared" si="13"/>
        <v>0</v>
      </c>
      <c r="Y47" s="305">
        <f t="shared" si="13"/>
        <v>10500</v>
      </c>
      <c r="Z47" s="305">
        <f t="shared" si="13"/>
        <v>10500</v>
      </c>
      <c r="AA47" s="305">
        <f t="shared" si="13"/>
        <v>10500</v>
      </c>
      <c r="AB47" s="305">
        <f t="shared" si="13"/>
        <v>10500</v>
      </c>
      <c r="AC47" s="305">
        <f t="shared" si="13"/>
        <v>10500</v>
      </c>
      <c r="AD47" s="305">
        <f t="shared" si="13"/>
        <v>10500</v>
      </c>
      <c r="AE47" s="305">
        <f t="shared" si="13"/>
        <v>10500</v>
      </c>
      <c r="AF47" s="305">
        <f t="shared" si="13"/>
        <v>10500</v>
      </c>
      <c r="AG47" s="305">
        <f t="shared" si="13"/>
        <v>10500</v>
      </c>
      <c r="AH47" s="305">
        <f t="shared" si="13"/>
        <v>10500</v>
      </c>
      <c r="AI47" s="305">
        <f t="shared" si="13"/>
        <v>10500</v>
      </c>
      <c r="AJ47" s="305">
        <f t="shared" si="13"/>
        <v>10500</v>
      </c>
      <c r="AK47" s="305">
        <f t="shared" si="13"/>
        <v>10500</v>
      </c>
      <c r="AL47" s="305">
        <f t="shared" si="13"/>
        <v>10500</v>
      </c>
      <c r="AM47" s="242"/>
      <c r="AN47" s="305">
        <f t="shared" si="16"/>
        <v>0</v>
      </c>
      <c r="AO47" s="305">
        <f t="shared" si="14"/>
        <v>42000</v>
      </c>
      <c r="AP47" s="305">
        <f t="shared" si="14"/>
        <v>0</v>
      </c>
      <c r="AQ47" s="305">
        <f t="shared" si="14"/>
        <v>0</v>
      </c>
      <c r="AR47" s="305">
        <f t="shared" si="14"/>
        <v>0</v>
      </c>
      <c r="AS47" s="305">
        <f t="shared" si="14"/>
        <v>42000</v>
      </c>
      <c r="AT47" s="305">
        <f t="shared" si="14"/>
        <v>0</v>
      </c>
      <c r="AU47" s="305">
        <f t="shared" si="14"/>
        <v>0</v>
      </c>
      <c r="AV47" s="305">
        <f t="shared" si="14"/>
        <v>0</v>
      </c>
      <c r="AW47" s="305">
        <f t="shared" si="14"/>
        <v>42000</v>
      </c>
      <c r="AX47" s="305">
        <f t="shared" si="14"/>
        <v>0</v>
      </c>
      <c r="AY47" s="305">
        <f t="shared" si="14"/>
        <v>0</v>
      </c>
      <c r="AZ47" s="305">
        <f>IF(AZ$42=$E47,SUM(AJ47:$AL47),0)</f>
        <v>0</v>
      </c>
      <c r="BA47" s="305">
        <f>IF(BA$42=$E47,SUM(AK47:$AL47),0)</f>
        <v>21000</v>
      </c>
      <c r="BB47" s="305">
        <f>IF(BB$42=$E47,SUM(AL47:$AL47),0)</f>
        <v>0</v>
      </c>
      <c r="BD47" s="304">
        <f t="shared" si="11"/>
        <v>0</v>
      </c>
    </row>
    <row r="48" spans="1:56" ht="15">
      <c r="A48" s="300" t="s">
        <v>167</v>
      </c>
      <c r="B48" s="259" t="str">
        <f>VLOOKUP(A48,'DFP-Com'!$A$16:$B$50,2,1)</f>
        <v xml:space="preserve">     4.1.a  Staff Compensation*</v>
      </c>
      <c r="C48" s="300" t="s">
        <v>212</v>
      </c>
      <c r="D48" s="236">
        <f t="shared" si="12"/>
        <v>89760</v>
      </c>
      <c r="E48" s="300" t="s">
        <v>219</v>
      </c>
      <c r="G48" s="307">
        <v>3960</v>
      </c>
      <c r="H48" s="322">
        <f>2200*3</f>
        <v>6600</v>
      </c>
      <c r="I48" s="307">
        <f aca="true" t="shared" si="17" ref="I48:T49">2200*3</f>
        <v>6600</v>
      </c>
      <c r="J48" s="307">
        <f t="shared" si="17"/>
        <v>6600</v>
      </c>
      <c r="K48" s="307">
        <f t="shared" si="17"/>
        <v>6600</v>
      </c>
      <c r="L48" s="307">
        <f t="shared" si="17"/>
        <v>6600</v>
      </c>
      <c r="M48" s="307">
        <f t="shared" si="17"/>
        <v>6600</v>
      </c>
      <c r="N48" s="307">
        <f t="shared" si="17"/>
        <v>6600</v>
      </c>
      <c r="O48" s="307">
        <f t="shared" si="17"/>
        <v>6600</v>
      </c>
      <c r="P48" s="307">
        <f t="shared" si="17"/>
        <v>6600</v>
      </c>
      <c r="Q48" s="307">
        <f t="shared" si="17"/>
        <v>6600</v>
      </c>
      <c r="R48" s="307">
        <f t="shared" si="17"/>
        <v>6600</v>
      </c>
      <c r="S48" s="307">
        <f t="shared" si="17"/>
        <v>6600</v>
      </c>
      <c r="T48" s="307">
        <f t="shared" si="17"/>
        <v>6600</v>
      </c>
      <c r="U48" s="307">
        <f t="shared" si="15"/>
        <v>89760</v>
      </c>
      <c r="X48" s="254">
        <f t="shared" si="13"/>
        <v>0</v>
      </c>
      <c r="Y48" s="305">
        <f t="shared" si="13"/>
        <v>3960</v>
      </c>
      <c r="Z48" s="305">
        <f t="shared" si="13"/>
        <v>6600</v>
      </c>
      <c r="AA48" s="305">
        <f t="shared" si="13"/>
        <v>6600</v>
      </c>
      <c r="AB48" s="305">
        <f t="shared" si="13"/>
        <v>6600</v>
      </c>
      <c r="AC48" s="305">
        <f t="shared" si="13"/>
        <v>6600</v>
      </c>
      <c r="AD48" s="305">
        <f t="shared" si="13"/>
        <v>6600</v>
      </c>
      <c r="AE48" s="305">
        <f t="shared" si="13"/>
        <v>6600</v>
      </c>
      <c r="AF48" s="305">
        <f t="shared" si="13"/>
        <v>6600</v>
      </c>
      <c r="AG48" s="305">
        <f t="shared" si="13"/>
        <v>6600</v>
      </c>
      <c r="AH48" s="305">
        <f t="shared" si="13"/>
        <v>6600</v>
      </c>
      <c r="AI48" s="305">
        <f t="shared" si="13"/>
        <v>6600</v>
      </c>
      <c r="AJ48" s="305">
        <f t="shared" si="13"/>
        <v>6600</v>
      </c>
      <c r="AK48" s="305">
        <f t="shared" si="13"/>
        <v>6600</v>
      </c>
      <c r="AL48" s="305">
        <f t="shared" si="13"/>
        <v>6600</v>
      </c>
      <c r="AM48" s="242"/>
      <c r="AN48" s="305">
        <f t="shared" si="16"/>
        <v>0</v>
      </c>
      <c r="AO48" s="305">
        <f t="shared" si="14"/>
        <v>23760</v>
      </c>
      <c r="AP48" s="305">
        <f t="shared" si="14"/>
        <v>0</v>
      </c>
      <c r="AQ48" s="305">
        <f t="shared" si="14"/>
        <v>0</v>
      </c>
      <c r="AR48" s="305">
        <f t="shared" si="14"/>
        <v>0</v>
      </c>
      <c r="AS48" s="305">
        <f t="shared" si="14"/>
        <v>26400</v>
      </c>
      <c r="AT48" s="305">
        <f t="shared" si="14"/>
        <v>0</v>
      </c>
      <c r="AU48" s="305">
        <f t="shared" si="14"/>
        <v>0</v>
      </c>
      <c r="AV48" s="305">
        <f t="shared" si="14"/>
        <v>0</v>
      </c>
      <c r="AW48" s="305">
        <f t="shared" si="14"/>
        <v>26400</v>
      </c>
      <c r="AX48" s="305">
        <f t="shared" si="14"/>
        <v>0</v>
      </c>
      <c r="AY48" s="305">
        <f t="shared" si="14"/>
        <v>0</v>
      </c>
      <c r="AZ48" s="305">
        <f>IF(AZ$42=$E48,SUM(AJ48:$AL48),0)</f>
        <v>0</v>
      </c>
      <c r="BA48" s="305">
        <f>IF(BA$42=$E48,SUM(AK48:$AL48),0)</f>
        <v>13200</v>
      </c>
      <c r="BB48" s="305">
        <f>IF(BB$42=$E48,SUM(AL48:$AL48),0)</f>
        <v>0</v>
      </c>
      <c r="BD48" s="304">
        <f t="shared" si="11"/>
        <v>0</v>
      </c>
    </row>
    <row r="49" spans="1:56" ht="15">
      <c r="A49" s="300" t="s">
        <v>167</v>
      </c>
      <c r="B49" s="259" t="str">
        <f>VLOOKUP(A49,'DFP-Com'!$A$16:$B$50,2,1)</f>
        <v xml:space="preserve">     4.1.a  Staff Compensation*</v>
      </c>
      <c r="C49" s="300" t="s">
        <v>213</v>
      </c>
      <c r="D49" s="236">
        <f t="shared" si="12"/>
        <v>89760</v>
      </c>
      <c r="E49" s="300" t="s">
        <v>219</v>
      </c>
      <c r="G49" s="307">
        <v>3960</v>
      </c>
      <c r="H49" s="322">
        <f>2200*3</f>
        <v>6600</v>
      </c>
      <c r="I49" s="307">
        <f t="shared" si="17"/>
        <v>6600</v>
      </c>
      <c r="J49" s="307">
        <f t="shared" si="17"/>
        <v>6600</v>
      </c>
      <c r="K49" s="307">
        <f t="shared" si="17"/>
        <v>6600</v>
      </c>
      <c r="L49" s="307">
        <f t="shared" si="17"/>
        <v>6600</v>
      </c>
      <c r="M49" s="307">
        <f t="shared" si="17"/>
        <v>6600</v>
      </c>
      <c r="N49" s="307">
        <f t="shared" si="17"/>
        <v>6600</v>
      </c>
      <c r="O49" s="307">
        <f t="shared" si="17"/>
        <v>6600</v>
      </c>
      <c r="P49" s="307">
        <f t="shared" si="17"/>
        <v>6600</v>
      </c>
      <c r="Q49" s="307">
        <f t="shared" si="17"/>
        <v>6600</v>
      </c>
      <c r="R49" s="307">
        <f t="shared" si="17"/>
        <v>6600</v>
      </c>
      <c r="S49" s="307">
        <f t="shared" si="17"/>
        <v>6600</v>
      </c>
      <c r="T49" s="307">
        <f t="shared" si="17"/>
        <v>6600</v>
      </c>
      <c r="U49" s="307">
        <f t="shared" si="15"/>
        <v>89760</v>
      </c>
      <c r="X49" s="254">
        <f t="shared" si="13"/>
        <v>0</v>
      </c>
      <c r="Y49" s="305">
        <f t="shared" si="13"/>
        <v>3960</v>
      </c>
      <c r="Z49" s="305">
        <f t="shared" si="13"/>
        <v>6600</v>
      </c>
      <c r="AA49" s="305">
        <f t="shared" si="13"/>
        <v>6600</v>
      </c>
      <c r="AB49" s="305">
        <f t="shared" si="13"/>
        <v>6600</v>
      </c>
      <c r="AC49" s="305">
        <f t="shared" si="13"/>
        <v>6600</v>
      </c>
      <c r="AD49" s="305">
        <f t="shared" si="13"/>
        <v>6600</v>
      </c>
      <c r="AE49" s="305">
        <f t="shared" si="13"/>
        <v>6600</v>
      </c>
      <c r="AF49" s="305">
        <f t="shared" si="13"/>
        <v>6600</v>
      </c>
      <c r="AG49" s="305">
        <f t="shared" si="13"/>
        <v>6600</v>
      </c>
      <c r="AH49" s="305">
        <f t="shared" si="13"/>
        <v>6600</v>
      </c>
      <c r="AI49" s="305">
        <f t="shared" si="13"/>
        <v>6600</v>
      </c>
      <c r="AJ49" s="305">
        <f t="shared" si="13"/>
        <v>6600</v>
      </c>
      <c r="AK49" s="305">
        <f t="shared" si="13"/>
        <v>6600</v>
      </c>
      <c r="AL49" s="305">
        <f t="shared" si="13"/>
        <v>6600</v>
      </c>
      <c r="AM49" s="242"/>
      <c r="AN49" s="305">
        <f t="shared" si="16"/>
        <v>0</v>
      </c>
      <c r="AO49" s="305">
        <f t="shared" si="14"/>
        <v>23760</v>
      </c>
      <c r="AP49" s="305">
        <f t="shared" si="14"/>
        <v>0</v>
      </c>
      <c r="AQ49" s="305">
        <f t="shared" si="14"/>
        <v>0</v>
      </c>
      <c r="AR49" s="305">
        <f t="shared" si="14"/>
        <v>0</v>
      </c>
      <c r="AS49" s="305">
        <f t="shared" si="14"/>
        <v>26400</v>
      </c>
      <c r="AT49" s="305">
        <f t="shared" si="14"/>
        <v>0</v>
      </c>
      <c r="AU49" s="305">
        <f t="shared" si="14"/>
        <v>0</v>
      </c>
      <c r="AV49" s="305">
        <f t="shared" si="14"/>
        <v>0</v>
      </c>
      <c r="AW49" s="305">
        <f t="shared" si="14"/>
        <v>26400</v>
      </c>
      <c r="AX49" s="305">
        <f t="shared" si="14"/>
        <v>0</v>
      </c>
      <c r="AY49" s="305">
        <f t="shared" si="14"/>
        <v>0</v>
      </c>
      <c r="AZ49" s="305">
        <f>IF(AZ$42=$E49,SUM(AJ49:$AL49),0)</f>
        <v>0</v>
      </c>
      <c r="BA49" s="305">
        <f>IF(BA$42=$E49,SUM(AK49:$AL49),0)</f>
        <v>13200</v>
      </c>
      <c r="BB49" s="305">
        <f>IF(BB$42=$E49,SUM(AL49:$AL49),0)</f>
        <v>0</v>
      </c>
      <c r="BD49" s="304">
        <f t="shared" si="11"/>
        <v>0</v>
      </c>
    </row>
    <row r="50" spans="1:56" ht="15">
      <c r="A50" s="300" t="s">
        <v>167</v>
      </c>
      <c r="B50" s="259" t="str">
        <f>VLOOKUP(A50,'DFP-Com'!$A$16:$B$50,2,1)</f>
        <v xml:space="preserve">     4.1.a  Staff Compensation*</v>
      </c>
      <c r="C50" s="300" t="s">
        <v>263</v>
      </c>
      <c r="D50" s="236">
        <f>3000*24</f>
        <v>72000</v>
      </c>
      <c r="E50" s="300" t="s">
        <v>223</v>
      </c>
      <c r="G50" s="307"/>
      <c r="H50" s="322"/>
      <c r="I50" s="307">
        <f>3000*3</f>
        <v>9000</v>
      </c>
      <c r="J50" s="307">
        <f aca="true" t="shared" si="18" ref="J50:P50">3000*3</f>
        <v>9000</v>
      </c>
      <c r="K50" s="307">
        <f t="shared" si="18"/>
        <v>9000</v>
      </c>
      <c r="L50" s="307">
        <f t="shared" si="18"/>
        <v>9000</v>
      </c>
      <c r="M50" s="307">
        <f t="shared" si="18"/>
        <v>9000</v>
      </c>
      <c r="N50" s="307">
        <f t="shared" si="18"/>
        <v>9000</v>
      </c>
      <c r="O50" s="307">
        <f t="shared" si="18"/>
        <v>9000</v>
      </c>
      <c r="P50" s="307">
        <f t="shared" si="18"/>
        <v>9000</v>
      </c>
      <c r="Q50" s="307"/>
      <c r="R50" s="307"/>
      <c r="S50" s="307"/>
      <c r="T50" s="307"/>
      <c r="U50" s="307">
        <f t="shared" si="15"/>
        <v>72000</v>
      </c>
      <c r="X50" s="254"/>
      <c r="Y50" s="305"/>
      <c r="Z50" s="305"/>
      <c r="AA50" s="305"/>
      <c r="AB50" s="305"/>
      <c r="AC50" s="305"/>
      <c r="AD50" s="305"/>
      <c r="AE50" s="305"/>
      <c r="AF50" s="305"/>
      <c r="AG50" s="305"/>
      <c r="AH50" s="305"/>
      <c r="AI50" s="305"/>
      <c r="AJ50" s="305"/>
      <c r="AK50" s="305"/>
      <c r="AL50" s="305"/>
      <c r="AM50" s="242"/>
      <c r="AN50" s="305"/>
      <c r="AO50" s="305"/>
      <c r="AP50" s="305"/>
      <c r="AQ50" s="305"/>
      <c r="AR50" s="305"/>
      <c r="AS50" s="305"/>
      <c r="AT50" s="305"/>
      <c r="AU50" s="305"/>
      <c r="AV50" s="305"/>
      <c r="AW50" s="305"/>
      <c r="AX50" s="305"/>
      <c r="AY50" s="305"/>
      <c r="AZ50" s="305"/>
      <c r="BA50" s="305"/>
      <c r="BB50" s="305"/>
      <c r="BD50" s="304"/>
    </row>
    <row r="51" spans="1:56" ht="15">
      <c r="A51" s="300" t="s">
        <v>155</v>
      </c>
      <c r="B51" s="248" t="str">
        <f>VLOOKUP(A51,'DFP-Com'!$A$16:$B$50,2,1)</f>
        <v xml:space="preserve">     1.2.a  TVET</v>
      </c>
      <c r="C51" s="300" t="s">
        <v>230</v>
      </c>
      <c r="D51" s="236">
        <f aca="true" t="shared" si="19" ref="D51">SUM(F51:T51)</f>
        <v>144000</v>
      </c>
      <c r="E51" s="300" t="s">
        <v>223</v>
      </c>
      <c r="G51" s="307"/>
      <c r="H51" s="322">
        <v>0</v>
      </c>
      <c r="I51" s="307">
        <v>12000</v>
      </c>
      <c r="J51" s="307">
        <v>12000</v>
      </c>
      <c r="K51" s="307">
        <v>12000</v>
      </c>
      <c r="L51" s="307">
        <v>12000</v>
      </c>
      <c r="M51" s="307">
        <v>12000</v>
      </c>
      <c r="N51" s="307">
        <v>12000</v>
      </c>
      <c r="O51" s="307">
        <v>12000</v>
      </c>
      <c r="P51" s="307">
        <v>12000</v>
      </c>
      <c r="Q51" s="307">
        <v>12000</v>
      </c>
      <c r="R51" s="307">
        <v>12000</v>
      </c>
      <c r="S51" s="307">
        <v>12000</v>
      </c>
      <c r="T51" s="307">
        <v>12000</v>
      </c>
      <c r="U51" s="307">
        <f t="shared" si="15"/>
        <v>144000</v>
      </c>
      <c r="X51" s="254">
        <f t="shared" si="13"/>
        <v>0</v>
      </c>
      <c r="Y51" s="305">
        <f t="shared" si="13"/>
        <v>0</v>
      </c>
      <c r="Z51" s="305">
        <f t="shared" si="13"/>
        <v>0</v>
      </c>
      <c r="AA51" s="305">
        <f t="shared" si="13"/>
        <v>12000</v>
      </c>
      <c r="AB51" s="305">
        <f t="shared" si="13"/>
        <v>12000</v>
      </c>
      <c r="AC51" s="305">
        <f t="shared" si="13"/>
        <v>12000</v>
      </c>
      <c r="AD51" s="305">
        <f t="shared" si="13"/>
        <v>12000</v>
      </c>
      <c r="AE51" s="305">
        <f t="shared" si="13"/>
        <v>12000</v>
      </c>
      <c r="AF51" s="305">
        <f t="shared" si="13"/>
        <v>12000</v>
      </c>
      <c r="AG51" s="305">
        <f t="shared" si="13"/>
        <v>12000</v>
      </c>
      <c r="AH51" s="305">
        <f t="shared" si="13"/>
        <v>12000</v>
      </c>
      <c r="AI51" s="305">
        <f t="shared" si="13"/>
        <v>12000</v>
      </c>
      <c r="AJ51" s="305">
        <f t="shared" si="13"/>
        <v>12000</v>
      </c>
      <c r="AK51" s="305">
        <f t="shared" si="13"/>
        <v>12000</v>
      </c>
      <c r="AL51" s="305">
        <f t="shared" si="13"/>
        <v>12000</v>
      </c>
      <c r="AM51" s="242"/>
      <c r="AN51" s="305">
        <f t="shared" si="16"/>
        <v>0</v>
      </c>
      <c r="AO51" s="305">
        <f t="shared" si="14"/>
        <v>0</v>
      </c>
      <c r="AP51" s="305">
        <f t="shared" si="14"/>
        <v>0</v>
      </c>
      <c r="AQ51" s="305">
        <f t="shared" si="14"/>
        <v>48000</v>
      </c>
      <c r="AR51" s="305">
        <f t="shared" si="14"/>
        <v>0</v>
      </c>
      <c r="AS51" s="305">
        <f t="shared" si="14"/>
        <v>0</v>
      </c>
      <c r="AT51" s="305">
        <f t="shared" si="14"/>
        <v>0</v>
      </c>
      <c r="AU51" s="305">
        <f t="shared" si="14"/>
        <v>48000</v>
      </c>
      <c r="AV51" s="305">
        <f t="shared" si="14"/>
        <v>0</v>
      </c>
      <c r="AW51" s="305">
        <f t="shared" si="14"/>
        <v>0</v>
      </c>
      <c r="AX51" s="305">
        <f t="shared" si="14"/>
        <v>0</v>
      </c>
      <c r="AY51" s="305">
        <f t="shared" si="14"/>
        <v>48000</v>
      </c>
      <c r="AZ51" s="305">
        <f>IF(AZ$42=$E51,SUM(AJ51:$AL51),0)</f>
        <v>0</v>
      </c>
      <c r="BA51" s="305">
        <f>IF(BA$42=$E51,SUM(AK51:$AL51),0)</f>
        <v>0</v>
      </c>
      <c r="BB51" s="305">
        <f>IF(BB$42=$E51,SUM(AL51:$AL51),0)</f>
        <v>0</v>
      </c>
      <c r="BD51" s="304">
        <f t="shared" si="11"/>
        <v>0</v>
      </c>
    </row>
    <row r="52" spans="7:56" ht="15">
      <c r="G52" s="307"/>
      <c r="H52" s="322"/>
      <c r="I52" s="307"/>
      <c r="J52" s="307"/>
      <c r="K52" s="307"/>
      <c r="L52" s="307"/>
      <c r="M52" s="307"/>
      <c r="N52" s="307"/>
      <c r="O52" s="307"/>
      <c r="P52" s="307"/>
      <c r="Q52" s="307"/>
      <c r="R52" s="307"/>
      <c r="S52" s="307"/>
      <c r="T52" s="307"/>
      <c r="U52" s="307"/>
      <c r="X52" s="241"/>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D52" s="304">
        <f t="shared" si="11"/>
        <v>0</v>
      </c>
    </row>
    <row r="53" spans="1:56" ht="15">
      <c r="A53" s="238" t="s">
        <v>215</v>
      </c>
      <c r="B53" s="238"/>
      <c r="C53" s="238"/>
      <c r="D53" s="238"/>
      <c r="E53" s="238"/>
      <c r="G53" s="307"/>
      <c r="H53" s="322"/>
      <c r="I53" s="307"/>
      <c r="J53" s="307"/>
      <c r="K53" s="307"/>
      <c r="L53" s="307"/>
      <c r="M53" s="307"/>
      <c r="N53" s="307"/>
      <c r="O53" s="307"/>
      <c r="P53" s="307"/>
      <c r="Q53" s="307"/>
      <c r="R53" s="307"/>
      <c r="S53" s="307"/>
      <c r="T53" s="307"/>
      <c r="U53" s="307"/>
      <c r="X53" s="241"/>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D53" s="304">
        <f t="shared" si="11"/>
        <v>0</v>
      </c>
    </row>
    <row r="54" spans="1:56" ht="15">
      <c r="A54" s="300" t="s">
        <v>170</v>
      </c>
      <c r="B54" s="259" t="str">
        <f>VLOOKUP(A54,'DFP-Com'!$A$16:$B$50,2,1)</f>
        <v xml:space="preserve">     4.1.d  Other</v>
      </c>
      <c r="C54" s="300" t="s">
        <v>209</v>
      </c>
      <c r="D54" s="236">
        <v>20000</v>
      </c>
      <c r="G54" s="307">
        <v>1267.82</v>
      </c>
      <c r="H54" s="322">
        <v>2000</v>
      </c>
      <c r="I54" s="307">
        <v>1400</v>
      </c>
      <c r="J54" s="307">
        <v>1400</v>
      </c>
      <c r="K54" s="307">
        <v>1400</v>
      </c>
      <c r="L54" s="307">
        <v>1400</v>
      </c>
      <c r="M54" s="307">
        <v>1400</v>
      </c>
      <c r="N54" s="307">
        <v>1400</v>
      </c>
      <c r="O54" s="307">
        <v>1400</v>
      </c>
      <c r="P54" s="307">
        <v>1400</v>
      </c>
      <c r="Q54" s="307">
        <v>1400</v>
      </c>
      <c r="R54" s="307">
        <v>1400</v>
      </c>
      <c r="S54" s="307">
        <v>1400</v>
      </c>
      <c r="T54" s="307">
        <f>1400-68</f>
        <v>1332</v>
      </c>
      <c r="U54" s="307">
        <f t="shared" si="15"/>
        <v>19999.82</v>
      </c>
      <c r="X54" s="254">
        <f aca="true" t="shared" si="20" ref="X54:AL55">F54</f>
        <v>0</v>
      </c>
      <c r="Y54" s="305">
        <f t="shared" si="20"/>
        <v>1267.82</v>
      </c>
      <c r="Z54" s="305">
        <f t="shared" si="20"/>
        <v>2000</v>
      </c>
      <c r="AA54" s="305">
        <f t="shared" si="20"/>
        <v>1400</v>
      </c>
      <c r="AB54" s="305">
        <f t="shared" si="20"/>
        <v>1400</v>
      </c>
      <c r="AC54" s="305">
        <f t="shared" si="20"/>
        <v>1400</v>
      </c>
      <c r="AD54" s="305">
        <f t="shared" si="20"/>
        <v>1400</v>
      </c>
      <c r="AE54" s="305">
        <f t="shared" si="20"/>
        <v>1400</v>
      </c>
      <c r="AF54" s="305">
        <f t="shared" si="20"/>
        <v>1400</v>
      </c>
      <c r="AG54" s="305">
        <f t="shared" si="20"/>
        <v>1400</v>
      </c>
      <c r="AH54" s="305">
        <f t="shared" si="20"/>
        <v>1400</v>
      </c>
      <c r="AI54" s="305">
        <f t="shared" si="20"/>
        <v>1400</v>
      </c>
      <c r="AJ54" s="305">
        <f t="shared" si="20"/>
        <v>1400</v>
      </c>
      <c r="AK54" s="305">
        <f t="shared" si="20"/>
        <v>1400</v>
      </c>
      <c r="AL54" s="305">
        <f t="shared" si="20"/>
        <v>1332</v>
      </c>
      <c r="AM54" s="242"/>
      <c r="AN54" s="305">
        <f>X54</f>
        <v>0</v>
      </c>
      <c r="AO54" s="305">
        <f aca="true" t="shared" si="21" ref="AO54:BB55">Y54</f>
        <v>1267.82</v>
      </c>
      <c r="AP54" s="305">
        <f t="shared" si="21"/>
        <v>2000</v>
      </c>
      <c r="AQ54" s="305">
        <f t="shared" si="21"/>
        <v>1400</v>
      </c>
      <c r="AR54" s="305">
        <f t="shared" si="21"/>
        <v>1400</v>
      </c>
      <c r="AS54" s="305">
        <f t="shared" si="21"/>
        <v>1400</v>
      </c>
      <c r="AT54" s="305">
        <f t="shared" si="21"/>
        <v>1400</v>
      </c>
      <c r="AU54" s="305">
        <f t="shared" si="21"/>
        <v>1400</v>
      </c>
      <c r="AV54" s="305">
        <f t="shared" si="21"/>
        <v>1400</v>
      </c>
      <c r="AW54" s="305">
        <f t="shared" si="21"/>
        <v>1400</v>
      </c>
      <c r="AX54" s="305">
        <f t="shared" si="21"/>
        <v>1400</v>
      </c>
      <c r="AY54" s="305">
        <f t="shared" si="21"/>
        <v>1400</v>
      </c>
      <c r="AZ54" s="305">
        <f t="shared" si="21"/>
        <v>1400</v>
      </c>
      <c r="BA54" s="305">
        <f t="shared" si="21"/>
        <v>1400</v>
      </c>
      <c r="BB54" s="305">
        <f t="shared" si="21"/>
        <v>1332</v>
      </c>
      <c r="BD54" s="304">
        <f t="shared" si="11"/>
        <v>0</v>
      </c>
    </row>
    <row r="55" spans="1:56" ht="15">
      <c r="A55" s="300" t="s">
        <v>168</v>
      </c>
      <c r="B55" s="259" t="str">
        <f>VLOOKUP(A55,'DFP-Com'!$A$16:$B$50,2,1)</f>
        <v xml:space="preserve">     4.1.b  Travel*</v>
      </c>
      <c r="C55" s="300" t="s">
        <v>210</v>
      </c>
      <c r="D55" s="236">
        <v>35000</v>
      </c>
      <c r="G55" s="307">
        <v>0</v>
      </c>
      <c r="H55" s="322">
        <v>4000</v>
      </c>
      <c r="I55" s="307">
        <v>2500</v>
      </c>
      <c r="J55" s="307">
        <v>2500</v>
      </c>
      <c r="K55" s="307">
        <v>2500</v>
      </c>
      <c r="L55" s="307">
        <v>3500</v>
      </c>
      <c r="M55" s="307">
        <v>2500</v>
      </c>
      <c r="N55" s="307">
        <v>2500</v>
      </c>
      <c r="O55" s="307">
        <v>2500</v>
      </c>
      <c r="P55" s="307">
        <v>2500</v>
      </c>
      <c r="Q55" s="307">
        <v>2500</v>
      </c>
      <c r="R55" s="307">
        <v>2500</v>
      </c>
      <c r="S55" s="307">
        <v>2500</v>
      </c>
      <c r="T55" s="307">
        <v>2500</v>
      </c>
      <c r="U55" s="307">
        <f t="shared" si="15"/>
        <v>35000</v>
      </c>
      <c r="X55" s="254">
        <f t="shared" si="20"/>
        <v>0</v>
      </c>
      <c r="Y55" s="305">
        <f t="shared" si="20"/>
        <v>0</v>
      </c>
      <c r="Z55" s="305">
        <f t="shared" si="20"/>
        <v>4000</v>
      </c>
      <c r="AA55" s="305">
        <f t="shared" si="20"/>
        <v>2500</v>
      </c>
      <c r="AB55" s="305">
        <f t="shared" si="20"/>
        <v>2500</v>
      </c>
      <c r="AC55" s="305">
        <f t="shared" si="20"/>
        <v>2500</v>
      </c>
      <c r="AD55" s="305">
        <f t="shared" si="20"/>
        <v>3500</v>
      </c>
      <c r="AE55" s="305">
        <f t="shared" si="20"/>
        <v>2500</v>
      </c>
      <c r="AF55" s="305">
        <f t="shared" si="20"/>
        <v>2500</v>
      </c>
      <c r="AG55" s="305">
        <f t="shared" si="20"/>
        <v>2500</v>
      </c>
      <c r="AH55" s="305">
        <f t="shared" si="20"/>
        <v>2500</v>
      </c>
      <c r="AI55" s="305">
        <f t="shared" si="20"/>
        <v>2500</v>
      </c>
      <c r="AJ55" s="305">
        <f t="shared" si="20"/>
        <v>2500</v>
      </c>
      <c r="AK55" s="305">
        <f t="shared" si="20"/>
        <v>2500</v>
      </c>
      <c r="AL55" s="305">
        <f t="shared" si="20"/>
        <v>2500</v>
      </c>
      <c r="AM55" s="242"/>
      <c r="AN55" s="305">
        <f>X55</f>
        <v>0</v>
      </c>
      <c r="AO55" s="305">
        <f t="shared" si="21"/>
        <v>0</v>
      </c>
      <c r="AP55" s="305">
        <f t="shared" si="21"/>
        <v>4000</v>
      </c>
      <c r="AQ55" s="305">
        <f t="shared" si="21"/>
        <v>2500</v>
      </c>
      <c r="AR55" s="305">
        <f t="shared" si="21"/>
        <v>2500</v>
      </c>
      <c r="AS55" s="305">
        <f t="shared" si="21"/>
        <v>2500</v>
      </c>
      <c r="AT55" s="305">
        <f t="shared" si="21"/>
        <v>3500</v>
      </c>
      <c r="AU55" s="305">
        <f t="shared" si="21"/>
        <v>2500</v>
      </c>
      <c r="AV55" s="305">
        <f t="shared" si="21"/>
        <v>2500</v>
      </c>
      <c r="AW55" s="305">
        <f t="shared" si="21"/>
        <v>2500</v>
      </c>
      <c r="AX55" s="305">
        <f t="shared" si="21"/>
        <v>2500</v>
      </c>
      <c r="AY55" s="305">
        <f t="shared" si="21"/>
        <v>2500</v>
      </c>
      <c r="AZ55" s="305">
        <f t="shared" si="21"/>
        <v>2500</v>
      </c>
      <c r="BA55" s="305">
        <f t="shared" si="21"/>
        <v>2500</v>
      </c>
      <c r="BB55" s="305">
        <f t="shared" si="21"/>
        <v>2500</v>
      </c>
      <c r="BD55" s="304">
        <f t="shared" si="11"/>
        <v>0</v>
      </c>
    </row>
    <row r="56" spans="1:38" s="250" customFormat="1" ht="15">
      <c r="A56" s="251"/>
      <c r="D56" s="252"/>
      <c r="H56" s="323"/>
      <c r="U56" s="253"/>
      <c r="V56" s="300"/>
      <c r="W56" s="300"/>
      <c r="X56" s="247"/>
      <c r="Y56" s="247"/>
      <c r="Z56" s="247"/>
      <c r="AA56" s="247"/>
      <c r="AB56" s="247"/>
      <c r="AC56" s="247"/>
      <c r="AD56" s="247"/>
      <c r="AE56" s="247"/>
      <c r="AF56" s="247"/>
      <c r="AG56" s="247"/>
      <c r="AH56" s="247"/>
      <c r="AI56" s="247"/>
      <c r="AJ56" s="247"/>
      <c r="AK56" s="247"/>
      <c r="AL56" s="247"/>
    </row>
    <row r="57" spans="2:24" ht="15">
      <c r="B57" s="241" t="s">
        <v>234</v>
      </c>
      <c r="D57" s="254">
        <f>SUM(D4:D55)</f>
        <v>23584570</v>
      </c>
      <c r="E57" s="241"/>
      <c r="F57" s="241"/>
      <c r="G57" s="241"/>
      <c r="H57" s="324"/>
      <c r="I57" s="241"/>
      <c r="J57" s="241"/>
      <c r="K57" s="241"/>
      <c r="L57" s="241"/>
      <c r="M57" s="241"/>
      <c r="N57" s="241"/>
      <c r="O57" s="241"/>
      <c r="P57" s="241"/>
      <c r="Q57" s="241"/>
      <c r="R57" s="241"/>
      <c r="T57" s="241"/>
      <c r="U57" s="241"/>
      <c r="X57" s="304" t="s">
        <v>128</v>
      </c>
    </row>
    <row r="58" spans="4:24" ht="15">
      <c r="D58" s="257"/>
      <c r="E58" s="258"/>
      <c r="F58" s="258"/>
      <c r="G58" s="258"/>
      <c r="H58" s="323"/>
      <c r="I58" s="258"/>
      <c r="J58" s="258"/>
      <c r="K58" s="258"/>
      <c r="L58" s="258"/>
      <c r="M58" s="258"/>
      <c r="N58" s="258"/>
      <c r="O58" s="258"/>
      <c r="P58" s="258"/>
      <c r="Q58" s="258"/>
      <c r="R58" s="258"/>
      <c r="S58" s="258"/>
      <c r="T58" s="258"/>
      <c r="U58" s="258"/>
      <c r="X58" s="304"/>
    </row>
    <row r="59" spans="1:4" ht="15">
      <c r="A59" s="300" t="s">
        <v>152</v>
      </c>
      <c r="B59" s="417" t="str">
        <f>VLOOKUP(A59,'DFP-Com'!$A$16:$B$50,2,1)</f>
        <v xml:space="preserve">     1.1.a  Education Project Implementation Contract</v>
      </c>
      <c r="C59" s="417"/>
      <c r="D59" s="236">
        <f>SUMIF($A$4:$A$56,"="&amp;A59,$D$4:$D$56)</f>
        <v>8700000</v>
      </c>
    </row>
    <row r="60" spans="1:4" ht="15">
      <c r="A60" s="300" t="s">
        <v>153</v>
      </c>
      <c r="B60" s="417" t="str">
        <f>VLOOKUP(A60,'DFP-Com'!$A$16:$B$50,2,1)</f>
        <v xml:space="preserve">     1.1.b  Grants to Universities for Teacher Training (Diplomados)</v>
      </c>
      <c r="C60" s="417"/>
      <c r="D60" s="236">
        <f>SUMIF($A$4:$A$56,"="&amp;A60,$D$4:$D$56)</f>
        <v>3000000</v>
      </c>
    </row>
    <row r="61" spans="1:4" ht="15">
      <c r="A61" s="300" t="s">
        <v>155</v>
      </c>
      <c r="B61" s="417" t="str">
        <f>VLOOKUP(A61,'DFP-Com'!$A$16:$B$50,2,1)</f>
        <v xml:space="preserve">     1.2.a  TVET</v>
      </c>
      <c r="C61" s="417"/>
      <c r="D61" s="236">
        <f>SUMIF($A$4:$A$56,"="&amp;A61,$D$4:$D$56)</f>
        <v>4144000</v>
      </c>
    </row>
    <row r="62" spans="1:4" ht="15">
      <c r="A62" s="300" t="s">
        <v>156</v>
      </c>
      <c r="B62" s="417" t="str">
        <f>VLOOKUP(A62,'DFP-Com'!$A$16:$B$50,2,1)</f>
        <v xml:space="preserve">     1.3.a  Education Project Implementation Contract</v>
      </c>
      <c r="C62" s="417"/>
      <c r="D62" s="236">
        <f>SUMIF($A$4:$A$56,"="&amp;A62,$D$4:$D$56)</f>
        <v>2500000</v>
      </c>
    </row>
    <row r="63" spans="1:4" ht="15">
      <c r="A63" s="300" t="s">
        <v>157</v>
      </c>
      <c r="B63" s="417" t="str">
        <f>VLOOKUP(A63,'DFP-Com'!$A$16:$B$50,2,1)</f>
        <v xml:space="preserve">     1.3.b  Education Project Coordination team*</v>
      </c>
      <c r="C63" s="417"/>
      <c r="D63" s="236">
        <f>SUMIF($A$4:$A$56,"="&amp;A63,$D$4:$D$56)</f>
        <v>178400</v>
      </c>
    </row>
    <row r="64" spans="2:6" ht="15">
      <c r="B64" s="309" t="s">
        <v>253</v>
      </c>
      <c r="C64" s="309"/>
      <c r="D64" s="310">
        <f>SUM(D59:D63)</f>
        <v>18522400</v>
      </c>
      <c r="E64" s="246">
        <f>'QFR - B'!G14</f>
        <v>19300000</v>
      </c>
      <c r="F64" s="304">
        <f>E64-D64</f>
        <v>777600</v>
      </c>
    </row>
    <row r="65" spans="1:4" ht="15">
      <c r="A65" s="300" t="s">
        <v>159</v>
      </c>
      <c r="B65" s="417" t="str">
        <f>VLOOKUP(A65,'DFP-Com'!$A$16:$B$50,2,1)</f>
        <v xml:space="preserve">     2.1.a  Tax and Customs</v>
      </c>
      <c r="C65" s="417"/>
      <c r="D65" s="236">
        <f>SUMIF($A$4:$A$56,"="&amp;A65,$D$4:$D$56)</f>
        <v>384000</v>
      </c>
    </row>
    <row r="66" spans="2:6" ht="15">
      <c r="B66" s="309" t="s">
        <v>254</v>
      </c>
      <c r="C66" s="309"/>
      <c r="D66" s="311">
        <f>D65</f>
        <v>384000</v>
      </c>
      <c r="E66" s="246">
        <f>'QFR - B'!G20</f>
        <v>800000</v>
      </c>
      <c r="F66" s="304">
        <f>E66-D66</f>
        <v>416000</v>
      </c>
    </row>
    <row r="67" spans="1:4" ht="15">
      <c r="A67" s="300" t="s">
        <v>160</v>
      </c>
      <c r="B67" s="417" t="str">
        <f>VLOOKUP(A67,'DFP-Com'!$A$16:$B$50,2,1)</f>
        <v xml:space="preserve">     2.2.a  Advisors</v>
      </c>
      <c r="C67" s="417"/>
      <c r="D67" s="236">
        <f>SUMIF($A$4:$A$56,"="&amp;A67,$D$4:$D$56)</f>
        <v>728750</v>
      </c>
    </row>
    <row r="68" spans="1:4" ht="15">
      <c r="A68" s="300" t="s">
        <v>161</v>
      </c>
      <c r="B68" s="417" t="str">
        <f>VLOOKUP(A68,'DFP-Com'!$A$16:$B$50,2,1)</f>
        <v xml:space="preserve">     2.2.b  Feasiblity Studies/  Transaction Advisory Services</v>
      </c>
      <c r="C68" s="417"/>
      <c r="D68" s="236">
        <f>SUMIF($A$4:$A$56,"="&amp;A68,$D$4:$D$56)</f>
        <v>1650000</v>
      </c>
    </row>
    <row r="69" spans="2:6" ht="15">
      <c r="B69" s="309" t="s">
        <v>255</v>
      </c>
      <c r="C69" s="309"/>
      <c r="D69" s="311">
        <f>SUM(D67:D68)</f>
        <v>2378750</v>
      </c>
      <c r="E69" s="246">
        <f>'QFR - B'!G21</f>
        <v>3600000</v>
      </c>
      <c r="F69" s="304">
        <f>E69-D69</f>
        <v>1221250</v>
      </c>
    </row>
    <row r="70" spans="1:4" ht="15">
      <c r="A70" s="300" t="s">
        <v>163</v>
      </c>
      <c r="B70" s="417" t="str">
        <f>VLOOKUP(A70,'DFP-Com'!$A$16:$B$50,2,1)</f>
        <v xml:space="preserve">     3.1.a  Student Assessment</v>
      </c>
      <c r="C70" s="417"/>
      <c r="D70" s="236">
        <f>SUMIF($A$4:$A$56,"="&amp;A70,$D$4:$D$56)</f>
        <v>706400</v>
      </c>
    </row>
    <row r="71" spans="1:4" ht="15">
      <c r="A71" s="300" t="s">
        <v>164</v>
      </c>
      <c r="B71" s="417" t="str">
        <f>VLOOKUP(A71,'DFP-Com'!$A$16:$B$50,2,1)</f>
        <v xml:space="preserve">     3.1.b  Teacher Evaluations</v>
      </c>
      <c r="C71" s="417"/>
      <c r="D71" s="236">
        <f>SUMIF($A$4:$A$56,"="&amp;A71,$D$4:$D$56)</f>
        <v>300000</v>
      </c>
    </row>
    <row r="72" spans="1:4" ht="15">
      <c r="A72" s="300" t="s">
        <v>165</v>
      </c>
      <c r="B72" s="417" t="str">
        <f>VLOOKUP(A72,'DFP-Com'!$A$16:$B$50,2,1)</f>
        <v xml:space="preserve">     3.1.c  Voc Ed Tracer Studies</v>
      </c>
      <c r="C72" s="417"/>
      <c r="D72" s="236">
        <f>SUMIF($A$4:$A$56,"="&amp;A72,$D$4:$D$56)</f>
        <v>300000</v>
      </c>
    </row>
    <row r="73" spans="1:4" ht="15">
      <c r="A73" s="300" t="s">
        <v>166</v>
      </c>
      <c r="B73" s="417" t="str">
        <f>VLOOKUP(A73,'DFP-Com'!$A$16:$B$50,2,1)</f>
        <v xml:space="preserve">     3.1 d Other</v>
      </c>
      <c r="C73" s="417"/>
      <c r="D73" s="236">
        <f>SUMIF($A$4:$A$56,"="&amp;A73,$D$4:$D$56)</f>
        <v>200000</v>
      </c>
    </row>
    <row r="74" spans="2:6" ht="15">
      <c r="B74" s="309" t="s">
        <v>233</v>
      </c>
      <c r="C74" s="309"/>
      <c r="D74" s="311">
        <f>SUM(D70:D73)</f>
        <v>1506400</v>
      </c>
      <c r="E74" s="246">
        <f>'QFR - B'!G24</f>
        <v>1700000</v>
      </c>
      <c r="F74" s="304">
        <f>E74-D74</f>
        <v>193600</v>
      </c>
    </row>
    <row r="75" spans="1:4" ht="15">
      <c r="A75" s="300" t="s">
        <v>167</v>
      </c>
      <c r="B75" s="417" t="str">
        <f>VLOOKUP(A75,'DFP-Com'!$A$16:$B$50,2,1)</f>
        <v xml:space="preserve">     4.1.a  Staff Compensation*</v>
      </c>
      <c r="C75" s="417"/>
      <c r="D75" s="236">
        <f>SUMIF($A$4:$A$56,"="&amp;A75,$D$4:$D$56)</f>
        <v>636520</v>
      </c>
    </row>
    <row r="76" spans="1:4" ht="15">
      <c r="A76" s="300" t="s">
        <v>168</v>
      </c>
      <c r="B76" s="417" t="str">
        <f>VLOOKUP(A76,'DFP-Com'!$A$16:$B$50,2,1)</f>
        <v xml:space="preserve">     4.1.b  Travel*</v>
      </c>
      <c r="C76" s="417"/>
      <c r="D76" s="236">
        <f>SUMIF($A$4:$A$56,"="&amp;A76,$D$4:$D$56)</f>
        <v>35000</v>
      </c>
    </row>
    <row r="77" spans="1:4" ht="15">
      <c r="A77" s="300" t="s">
        <v>169</v>
      </c>
      <c r="B77" s="417" t="str">
        <f>VLOOKUP(A77,'DFP-Com'!$A$16:$B$50,2,1)</f>
        <v xml:space="preserve">     4.1.c  Audit</v>
      </c>
      <c r="C77" s="417"/>
      <c r="D77" s="236">
        <f>SUMIF($A$4:$A$56,"="&amp;A77,$D$4:$D$56)</f>
        <v>90000</v>
      </c>
    </row>
    <row r="78" spans="1:4" ht="15">
      <c r="A78" s="300" t="s">
        <v>170</v>
      </c>
      <c r="B78" s="417" t="str">
        <f>VLOOKUP(A78,'DFP-Com'!$A$16:$B$50,2,1)</f>
        <v xml:space="preserve">     4.1.d  Other</v>
      </c>
      <c r="C78" s="417"/>
      <c r="D78" s="236">
        <f>SUMIF($A$4:$A$56,"="&amp;A78,$D$4:$D$56)</f>
        <v>31500</v>
      </c>
    </row>
    <row r="79" spans="2:6" ht="15">
      <c r="B79" s="309" t="s">
        <v>256</v>
      </c>
      <c r="C79" s="309"/>
      <c r="D79" s="311">
        <f>SUM(D75:D78)</f>
        <v>793020</v>
      </c>
      <c r="E79" s="246">
        <f>'QFR - B'!G27</f>
        <v>800000</v>
      </c>
      <c r="F79" s="304">
        <f>E79-D79</f>
        <v>6980</v>
      </c>
    </row>
  </sheetData>
  <autoFilter ref="A3:BD38"/>
  <mergeCells count="16">
    <mergeCell ref="B65:C65"/>
    <mergeCell ref="B59:C59"/>
    <mergeCell ref="B60:C60"/>
    <mergeCell ref="B61:C61"/>
    <mergeCell ref="B62:C62"/>
    <mergeCell ref="B63:C63"/>
    <mergeCell ref="B75:C75"/>
    <mergeCell ref="B76:C76"/>
    <mergeCell ref="B77:C77"/>
    <mergeCell ref="B78:C78"/>
    <mergeCell ref="B67:C67"/>
    <mergeCell ref="B68:C68"/>
    <mergeCell ref="B70:C70"/>
    <mergeCell ref="B71:C71"/>
    <mergeCell ref="B72:C72"/>
    <mergeCell ref="B73:C7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3.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8D9C3E-8C92-4208-8A5B-5D97F1107407}">
  <ds:schemaRefs>
    <ds:schemaRef ds:uri="http://schemas.microsoft.com/sharepoint/events"/>
  </ds:schemaRefs>
</ds:datastoreItem>
</file>

<file path=customXml/itemProps2.xml><?xml version="1.0" encoding="utf-8"?>
<ds:datastoreItem xmlns:ds="http://schemas.openxmlformats.org/officeDocument/2006/customXml" ds:itemID="{2A3C046C-33C0-43F6-B7B3-4A615857768F}">
  <ds:schemaRefs>
    <ds:schemaRef ds:uri="http://purl.org/dc/terms/"/>
    <ds:schemaRef ds:uri="http://schemas.microsoft.com/office/2006/metadata/properties"/>
    <ds:schemaRef ds:uri="133de3ae-5bb8-4cbb-9752-c1040d721e37"/>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d3b91ed5-3f36-4885-8f16-366304d6a523"/>
    <ds:schemaRef ds:uri="c6aa829a-de30-4eeb-a917-5f1e16f11f75"/>
    <ds:schemaRef ds:uri="http://www.w3.org/XML/1998/namespace"/>
  </ds:schemaRefs>
</ds:datastoreItem>
</file>

<file path=customXml/itemProps3.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C1C87B-2292-46AA-AF9B-7AA0FD922D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Wingle, John F (DPE/POL-CPI)</dc:creator>
  <cp:keywords/>
  <dc:description/>
  <cp:lastModifiedBy>Josué Ricart</cp:lastModifiedBy>
  <cp:lastPrinted>2017-09-21T21:08:09Z</cp:lastPrinted>
  <dcterms:created xsi:type="dcterms:W3CDTF">2016-05-12T16:21:20Z</dcterms:created>
  <dcterms:modified xsi:type="dcterms:W3CDTF">2021-12-21T03:44:49Z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